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21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shares'!$A$1:$FA$231</definedName>
    <definedName name="Expry_Roll___20" localSheetId="17">'NIFTY GRP'!$A$1:$EY$51</definedName>
    <definedName name="fii" localSheetId="18">FII!$A$1:$N$16</definedName>
    <definedName name="_xlnm.Print_Area" localSheetId="14">Disclaimar!$A$1:$A$24</definedName>
    <definedName name="stats__2" localSheetId="15">'Data Vlaue (Cr)'!$A$1:$FB$231</definedName>
  </definedNames>
  <calcPr calcId="144525" calcMode="manual"/>
</workbook>
</file>

<file path=xl/calcChain.xml><?xml version="1.0" encoding="utf-8"?>
<calcChain xmlns="http://schemas.openxmlformats.org/spreadsheetml/2006/main">
  <c r="I3" i="21" l="1"/>
  <c r="F164" i="18" l="1"/>
  <c r="F191" i="18"/>
  <c r="F48" i="18"/>
  <c r="B20" i="28" l="1"/>
  <c r="B21" i="28"/>
  <c r="B22" i="28"/>
  <c r="L3" i="21"/>
  <c r="L4" i="21"/>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62" i="18"/>
  <c r="F62" i="18"/>
  <c r="E160" i="18"/>
  <c r="F160" i="18"/>
  <c r="E9" i="18"/>
  <c r="F9" i="18"/>
  <c r="E176" i="18"/>
  <c r="F176" i="18"/>
  <c r="E140" i="18"/>
  <c r="F140" i="18"/>
  <c r="E22" i="18"/>
  <c r="F22" i="18"/>
  <c r="E217" i="18"/>
  <c r="F217" i="18"/>
  <c r="E120" i="18"/>
  <c r="F120" i="18"/>
  <c r="E92" i="18"/>
  <c r="F92" i="18"/>
  <c r="E144" i="18"/>
  <c r="F144" i="18"/>
  <c r="E173" i="18"/>
  <c r="F173" i="18"/>
  <c r="E121" i="18"/>
  <c r="F121" i="18"/>
  <c r="E175" i="18"/>
  <c r="F175" i="18"/>
  <c r="E142" i="18"/>
  <c r="F142" i="18"/>
  <c r="E155" i="18"/>
  <c r="F155" i="18"/>
  <c r="E194" i="18"/>
  <c r="F194" i="18"/>
  <c r="E200" i="18"/>
  <c r="F200" i="18"/>
  <c r="E97" i="18"/>
  <c r="F97" i="18"/>
  <c r="E64" i="18"/>
  <c r="F64" i="18"/>
  <c r="E174" i="18"/>
  <c r="F174" i="18"/>
  <c r="E170" i="18"/>
  <c r="F170" i="18"/>
  <c r="E112" i="18"/>
  <c r="F112" i="18"/>
  <c r="E69" i="18"/>
  <c r="F69" i="18"/>
  <c r="E156" i="18"/>
  <c r="F156" i="18"/>
  <c r="E199" i="18"/>
  <c r="F199" i="18"/>
  <c r="E103" i="18"/>
  <c r="F103" i="18"/>
  <c r="E7" i="18"/>
  <c r="F7" i="18"/>
  <c r="E35" i="18"/>
  <c r="F35" i="18"/>
  <c r="E84" i="18"/>
  <c r="F84" i="18"/>
  <c r="F196" i="18"/>
  <c r="E133" i="18"/>
  <c r="F133" i="18"/>
  <c r="E98" i="18"/>
  <c r="F98" i="18"/>
  <c r="E26" i="18"/>
  <c r="F26" i="18"/>
  <c r="E167" i="18"/>
  <c r="F167" i="18"/>
  <c r="E165" i="18"/>
  <c r="F165" i="18"/>
  <c r="E134" i="18"/>
  <c r="F134" i="18"/>
  <c r="E79" i="18"/>
  <c r="F79" i="18"/>
  <c r="E11" i="18"/>
  <c r="F11" i="18"/>
  <c r="E27" i="18"/>
  <c r="F27" i="18"/>
  <c r="E197" i="18"/>
  <c r="F197" i="18"/>
  <c r="E19" i="18"/>
  <c r="F19" i="18"/>
  <c r="E52" i="18"/>
  <c r="F52" i="18"/>
  <c r="E106" i="18"/>
  <c r="F106" i="18"/>
  <c r="E80" i="18"/>
  <c r="F80" i="18"/>
  <c r="E113" i="18"/>
  <c r="F113" i="18"/>
  <c r="E149" i="18"/>
  <c r="F149" i="18"/>
  <c r="E76" i="18"/>
  <c r="F76" i="18"/>
  <c r="E187" i="18"/>
  <c r="F187" i="18"/>
  <c r="E180" i="18"/>
  <c r="F180" i="18"/>
  <c r="E204" i="18"/>
  <c r="F204" i="18"/>
  <c r="E218" i="18"/>
  <c r="F218" i="18"/>
  <c r="E53" i="18"/>
  <c r="F53" i="18"/>
  <c r="E83" i="18"/>
  <c r="F83" i="18"/>
  <c r="E226" i="18"/>
  <c r="F226" i="18"/>
  <c r="E85" i="18"/>
  <c r="F85" i="18"/>
  <c r="E44" i="18"/>
  <c r="F44" i="18"/>
  <c r="E212" i="18"/>
  <c r="F212" i="18"/>
  <c r="E195" i="18"/>
  <c r="F195" i="18"/>
  <c r="E141" i="18"/>
  <c r="F141" i="18"/>
  <c r="E47" i="18"/>
  <c r="F47" i="18"/>
  <c r="E37" i="18"/>
  <c r="F37" i="18"/>
  <c r="E126" i="18"/>
  <c r="F126" i="18"/>
  <c r="E40" i="18"/>
  <c r="F40" i="18"/>
  <c r="E75" i="18"/>
  <c r="F75" i="18"/>
  <c r="E209" i="18"/>
  <c r="F209" i="18"/>
  <c r="E17" i="18"/>
  <c r="F17" i="18"/>
  <c r="E184" i="18"/>
  <c r="F184" i="18"/>
  <c r="E59" i="18"/>
  <c r="F59" i="18"/>
  <c r="E214" i="18"/>
  <c r="F214" i="18"/>
  <c r="E15" i="18"/>
  <c r="F15" i="18"/>
  <c r="E61" i="18"/>
  <c r="F61" i="18"/>
  <c r="E16" i="18"/>
  <c r="F16" i="18"/>
  <c r="E78" i="18"/>
  <c r="F78" i="18"/>
  <c r="E89" i="18"/>
  <c r="F89" i="18"/>
  <c r="E12" i="18"/>
  <c r="F12" i="18"/>
  <c r="E193" i="18"/>
  <c r="F193" i="18"/>
  <c r="E178" i="18"/>
  <c r="F178" i="18"/>
  <c r="E215" i="18"/>
  <c r="F215" i="18"/>
  <c r="E105" i="18"/>
  <c r="F105" i="18"/>
  <c r="E139" i="18"/>
  <c r="F139" i="18"/>
  <c r="E131" i="18"/>
  <c r="F131" i="18"/>
  <c r="E128" i="18"/>
  <c r="F128" i="18"/>
  <c r="E198" i="18"/>
  <c r="F198" i="18"/>
  <c r="E186" i="18"/>
  <c r="F186" i="18"/>
  <c r="E168" i="18"/>
  <c r="F168" i="18"/>
  <c r="E219" i="18"/>
  <c r="F219" i="18"/>
  <c r="E20" i="18"/>
  <c r="F20" i="18"/>
  <c r="E135" i="18"/>
  <c r="F135" i="18"/>
  <c r="E161" i="18"/>
  <c r="F161" i="18"/>
  <c r="E6" i="18"/>
  <c r="F6" i="18"/>
  <c r="E70" i="18"/>
  <c r="F70" i="18"/>
  <c r="E31" i="18"/>
  <c r="F31" i="18"/>
  <c r="E171" i="18"/>
  <c r="F171" i="18"/>
  <c r="E5" i="18"/>
  <c r="F5" i="18"/>
  <c r="E65" i="18"/>
  <c r="F65" i="18"/>
  <c r="E72" i="18"/>
  <c r="F72" i="18"/>
  <c r="E49" i="18"/>
  <c r="F49" i="18"/>
  <c r="E129" i="18"/>
  <c r="F129" i="18"/>
  <c r="E201" i="18"/>
  <c r="F201" i="18"/>
  <c r="E108" i="18"/>
  <c r="F108" i="18"/>
  <c r="E213" i="18"/>
  <c r="F213" i="18"/>
  <c r="E87" i="18"/>
  <c r="F87" i="18"/>
  <c r="E55" i="18"/>
  <c r="F55" i="18"/>
  <c r="E125" i="18"/>
  <c r="F125" i="18"/>
  <c r="E177" i="18"/>
  <c r="F177" i="18"/>
  <c r="E162" i="18"/>
  <c r="F162" i="18"/>
  <c r="F109" i="18"/>
  <c r="E94" i="18"/>
  <c r="F94" i="18"/>
  <c r="E28" i="18"/>
  <c r="F28" i="18"/>
  <c r="E39" i="18"/>
  <c r="F39" i="18"/>
  <c r="E67" i="18"/>
  <c r="F67" i="18"/>
  <c r="E228" i="18"/>
  <c r="F228" i="18"/>
  <c r="E60" i="18"/>
  <c r="F60" i="18"/>
  <c r="E203" i="18"/>
  <c r="F203" i="18"/>
  <c r="E172" i="18"/>
  <c r="F172" i="18"/>
  <c r="E220" i="18"/>
  <c r="F220" i="18"/>
  <c r="E137" i="18"/>
  <c r="F137" i="18"/>
  <c r="E202" i="18"/>
  <c r="F202" i="18"/>
  <c r="E169" i="18"/>
  <c r="F169" i="18"/>
  <c r="E50" i="18"/>
  <c r="F50" i="18"/>
  <c r="E179" i="18"/>
  <c r="F179" i="18"/>
  <c r="E223" i="18"/>
  <c r="F223" i="18"/>
  <c r="E110" i="18"/>
  <c r="F110" i="18"/>
  <c r="E30" i="18"/>
  <c r="F30" i="18"/>
  <c r="E159" i="18"/>
  <c r="F159" i="18"/>
  <c r="E82" i="18"/>
  <c r="F82" i="18"/>
  <c r="E206" i="18"/>
  <c r="F206" i="18"/>
  <c r="E154" i="18"/>
  <c r="F154" i="18"/>
  <c r="E147" i="18"/>
  <c r="F147" i="18"/>
  <c r="E205" i="18"/>
  <c r="F205" i="18"/>
  <c r="E123" i="18"/>
  <c r="F123" i="18"/>
  <c r="E102" i="18"/>
  <c r="F102" i="18"/>
  <c r="E166" i="18"/>
  <c r="F166" i="18"/>
  <c r="E130" i="18"/>
  <c r="F130" i="18"/>
  <c r="E51" i="18"/>
  <c r="F51" i="18"/>
  <c r="E153" i="18"/>
  <c r="F153" i="18"/>
  <c r="E10" i="18"/>
  <c r="F10" i="18"/>
  <c r="F81" i="18"/>
  <c r="E119" i="18"/>
  <c r="F119" i="18"/>
  <c r="E93" i="18"/>
  <c r="F93" i="18"/>
  <c r="E46" i="18"/>
  <c r="F46" i="18"/>
  <c r="E163" i="18"/>
  <c r="F163" i="18"/>
  <c r="E90" i="18"/>
  <c r="F90" i="18"/>
  <c r="E185" i="18"/>
  <c r="F185" i="18"/>
  <c r="E13" i="18"/>
  <c r="F13" i="18"/>
  <c r="E25" i="18"/>
  <c r="F25" i="18"/>
  <c r="E42" i="18"/>
  <c r="F42" i="18"/>
  <c r="E14" i="18"/>
  <c r="F14" i="18"/>
  <c r="E146" i="18"/>
  <c r="F146" i="18"/>
  <c r="E148" i="18"/>
  <c r="F148" i="18"/>
  <c r="E211" i="18"/>
  <c r="F211" i="18"/>
  <c r="E150" i="18"/>
  <c r="F150" i="18"/>
  <c r="E115" i="18"/>
  <c r="F115" i="18"/>
  <c r="E210" i="18"/>
  <c r="F210" i="18"/>
  <c r="E34" i="18"/>
  <c r="F34" i="18"/>
  <c r="E101" i="18"/>
  <c r="F101" i="18"/>
  <c r="E136" i="18"/>
  <c r="F136" i="18"/>
  <c r="E122" i="18"/>
  <c r="F122" i="18"/>
  <c r="E86" i="18"/>
  <c r="F86" i="18"/>
  <c r="E151" i="18"/>
  <c r="F151" i="18"/>
  <c r="E71" i="18"/>
  <c r="F71" i="18"/>
  <c r="E91" i="18"/>
  <c r="F91" i="18"/>
  <c r="E221" i="18"/>
  <c r="F221" i="18"/>
  <c r="E157" i="18"/>
  <c r="F157" i="18"/>
  <c r="E118" i="18"/>
  <c r="F118" i="18"/>
  <c r="E152" i="18"/>
  <c r="F152" i="18"/>
  <c r="E74" i="18"/>
  <c r="F74" i="18"/>
  <c r="E38" i="18"/>
  <c r="F38" i="18"/>
  <c r="E104" i="18"/>
  <c r="F104" i="18"/>
  <c r="E208" i="18"/>
  <c r="F208" i="18"/>
  <c r="E63" i="18"/>
  <c r="F63" i="18"/>
  <c r="E145" i="18"/>
  <c r="F145" i="18"/>
  <c r="E29" i="18"/>
  <c r="F29" i="18"/>
  <c r="E96" i="18"/>
  <c r="F96" i="18"/>
  <c r="E8" i="18"/>
  <c r="F8" i="18"/>
  <c r="E127" i="18"/>
  <c r="F127" i="18"/>
  <c r="E66" i="18"/>
  <c r="F66" i="18"/>
  <c r="E57" i="18"/>
  <c r="F57" i="18"/>
  <c r="E99" i="18"/>
  <c r="F99" i="18"/>
  <c r="E117" i="18"/>
  <c r="F117" i="18"/>
  <c r="E45" i="18"/>
  <c r="F45" i="18"/>
  <c r="E54" i="18"/>
  <c r="F54" i="18"/>
  <c r="E188" i="18"/>
  <c r="F188" i="18"/>
  <c r="E68" i="18"/>
  <c r="F68" i="18"/>
  <c r="E100" i="18"/>
  <c r="F100" i="18"/>
  <c r="E207" i="18"/>
  <c r="F207" i="18"/>
  <c r="E77" i="18"/>
  <c r="F77" i="18"/>
  <c r="E189" i="18"/>
  <c r="F189" i="18"/>
  <c r="E43" i="18"/>
  <c r="F43" i="18"/>
  <c r="E216" i="18"/>
  <c r="F216" i="18"/>
  <c r="E32" i="18"/>
  <c r="F32" i="18"/>
  <c r="E21" i="18"/>
  <c r="F21" i="18"/>
  <c r="E95" i="18"/>
  <c r="F95" i="18"/>
  <c r="F58" i="18"/>
  <c r="E222" i="18"/>
  <c r="F222" i="18"/>
  <c r="E182" i="18"/>
  <c r="F182" i="18"/>
  <c r="E224" i="18"/>
  <c r="F224" i="18"/>
  <c r="E111" i="18"/>
  <c r="F111" i="18"/>
  <c r="E36" i="18"/>
  <c r="F36" i="18"/>
  <c r="E23" i="18"/>
  <c r="F23" i="18"/>
  <c r="E33" i="18"/>
  <c r="F33" i="18"/>
  <c r="E192" i="18"/>
  <c r="F192" i="18"/>
  <c r="E132" i="18"/>
  <c r="F132" i="18"/>
  <c r="E116" i="18"/>
  <c r="F116" i="18"/>
  <c r="E227" i="18"/>
  <c r="F227" i="18"/>
  <c r="E114" i="18"/>
  <c r="F114" i="18"/>
  <c r="E138" i="18"/>
  <c r="F138" i="18"/>
  <c r="E73" i="18"/>
  <c r="F73" i="18"/>
  <c r="E107" i="18"/>
  <c r="F107" i="18"/>
  <c r="E158" i="18"/>
  <c r="F158" i="18"/>
  <c r="E88" i="18"/>
  <c r="F88" i="18"/>
  <c r="E225" i="18"/>
  <c r="F225" i="18"/>
  <c r="E181" i="18"/>
  <c r="F181" i="18"/>
  <c r="E41" i="18"/>
  <c r="F41" i="18"/>
  <c r="E190" i="18"/>
  <c r="F190" i="18"/>
  <c r="E143" i="18"/>
  <c r="F143" i="18"/>
  <c r="E124" i="18"/>
  <c r="F124" i="18"/>
  <c r="E183" i="18"/>
  <c r="F183" i="18"/>
  <c r="E56" i="18"/>
  <c r="F56" i="18"/>
  <c r="E18" i="18"/>
  <c r="F18" i="18"/>
  <c r="E24" i="18"/>
  <c r="F24" i="18"/>
  <c r="A7" i="14"/>
  <c r="C7" i="14" s="1"/>
  <c r="A8" i="14"/>
  <c r="B8" i="14" s="1"/>
  <c r="A9" i="14"/>
  <c r="B9" i="14" s="1"/>
  <c r="A10" i="14"/>
  <c r="C10" i="14" s="1"/>
  <c r="A11" i="14"/>
  <c r="C11" i="14" s="1"/>
  <c r="A12" i="14"/>
  <c r="B12" i="14" s="1"/>
  <c r="A13" i="14"/>
  <c r="D13" i="14" s="1"/>
  <c r="A14" i="14"/>
  <c r="C14" i="14" s="1"/>
  <c r="A15" i="14"/>
  <c r="C15" i="14" s="1"/>
  <c r="A16" i="14"/>
  <c r="B16" i="14" s="1"/>
  <c r="A17" i="14"/>
  <c r="D17" i="14" s="1"/>
  <c r="A18" i="14"/>
  <c r="C18" i="14" s="1"/>
  <c r="A19" i="14"/>
  <c r="C19" i="14" s="1"/>
  <c r="F19" i="14"/>
  <c r="A20" i="14"/>
  <c r="B20" i="14" s="1"/>
  <c r="A21" i="14"/>
  <c r="D21" i="14" s="1"/>
  <c r="A22" i="14"/>
  <c r="A23" i="14"/>
  <c r="C23" i="14" s="1"/>
  <c r="A24" i="14"/>
  <c r="C24" i="14" s="1"/>
  <c r="A25" i="14"/>
  <c r="D25" i="14" s="1"/>
  <c r="A26" i="14"/>
  <c r="C26" i="14" s="1"/>
  <c r="A27" i="14"/>
  <c r="C27" i="14" s="1"/>
  <c r="A28" i="14"/>
  <c r="C28" i="14" s="1"/>
  <c r="A29" i="14"/>
  <c r="C29" i="14" s="1"/>
  <c r="A30" i="14"/>
  <c r="E30" i="14" s="1"/>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A45" i="14"/>
  <c r="A46" i="14"/>
  <c r="E46" i="14" s="1"/>
  <c r="A47" i="14"/>
  <c r="F47" i="14" s="1"/>
  <c r="A48" i="14"/>
  <c r="D48" i="14" s="1"/>
  <c r="A49" i="14"/>
  <c r="C49" i="14" s="1"/>
  <c r="A50" i="14"/>
  <c r="E50" i="14" s="1"/>
  <c r="A51" i="14"/>
  <c r="C51" i="14" s="1"/>
  <c r="A52" i="14"/>
  <c r="D52" i="14" s="1"/>
  <c r="A53" i="14"/>
  <c r="D53" i="14" s="1"/>
  <c r="A54" i="14"/>
  <c r="C54" i="14" s="1"/>
  <c r="A55" i="14"/>
  <c r="C55" i="14" s="1"/>
  <c r="A56" i="14"/>
  <c r="D56" i="14" s="1"/>
  <c r="A57" i="14"/>
  <c r="D57" i="14" s="1"/>
  <c r="A58" i="14"/>
  <c r="A59" i="14"/>
  <c r="C59" i="14" s="1"/>
  <c r="A60" i="14"/>
  <c r="D60" i="14" s="1"/>
  <c r="A61" i="14"/>
  <c r="C61" i="14" s="1"/>
  <c r="A62" i="14"/>
  <c r="C62" i="14" s="1"/>
  <c r="A63" i="14"/>
  <c r="C63" i="14" s="1"/>
  <c r="A64" i="14"/>
  <c r="A65" i="14"/>
  <c r="C65" i="14" s="1"/>
  <c r="A66" i="14"/>
  <c r="C66" i="14" s="1"/>
  <c r="A67" i="14"/>
  <c r="C67" i="14" s="1"/>
  <c r="A68" i="14"/>
  <c r="A69" i="14"/>
  <c r="C69" i="14" s="1"/>
  <c r="A70" i="14"/>
  <c r="C70" i="14" s="1"/>
  <c r="A71" i="14"/>
  <c r="C71" i="14" s="1"/>
  <c r="A72" i="14"/>
  <c r="A73" i="14"/>
  <c r="C73" i="14" s="1"/>
  <c r="A74" i="14"/>
  <c r="C74" i="14" s="1"/>
  <c r="A75" i="14"/>
  <c r="C75" i="14" s="1"/>
  <c r="A76" i="14"/>
  <c r="A77" i="14"/>
  <c r="C77" i="14" s="1"/>
  <c r="A78" i="14"/>
  <c r="C78" i="14" s="1"/>
  <c r="A79" i="14"/>
  <c r="C79" i="14" s="1"/>
  <c r="A80" i="14"/>
  <c r="A81" i="14"/>
  <c r="E81" i="14" s="1"/>
  <c r="A82" i="14"/>
  <c r="E82" i="14" s="1"/>
  <c r="A83" i="14"/>
  <c r="F83" i="14" s="1"/>
  <c r="A84" i="14"/>
  <c r="B84" i="14" s="1"/>
  <c r="A85" i="14"/>
  <c r="E85" i="14" s="1"/>
  <c r="A86" i="14"/>
  <c r="C86" i="14" s="1"/>
  <c r="A87" i="14"/>
  <c r="C87" i="14" s="1"/>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A112" i="14"/>
  <c r="C112" i="14" s="1"/>
  <c r="A113" i="14"/>
  <c r="D113" i="14" s="1"/>
  <c r="A114" i="14"/>
  <c r="C114" i="14" s="1"/>
  <c r="A115" i="14"/>
  <c r="C115" i="14" s="1"/>
  <c r="A116" i="14"/>
  <c r="A117" i="14"/>
  <c r="C117" i="14" s="1"/>
  <c r="A118" i="14"/>
  <c r="C118" i="14" s="1"/>
  <c r="A119" i="14"/>
  <c r="C119" i="14" s="1"/>
  <c r="A120" i="14"/>
  <c r="C120" i="14" s="1"/>
  <c r="A121" i="14"/>
  <c r="A122" i="14"/>
  <c r="A123" i="14"/>
  <c r="C123" i="14" s="1"/>
  <c r="A124" i="14"/>
  <c r="C124" i="14" s="1"/>
  <c r="A125" i="14"/>
  <c r="C125" i="14" s="1"/>
  <c r="A126" i="14"/>
  <c r="C126" i="14" s="1"/>
  <c r="A127" i="14"/>
  <c r="C127" i="14" s="1"/>
  <c r="A128" i="14"/>
  <c r="A129" i="14"/>
  <c r="B129" i="14" s="1"/>
  <c r="A130" i="14"/>
  <c r="C130" i="14" s="1"/>
  <c r="A131" i="14"/>
  <c r="D131" i="14" s="1"/>
  <c r="A132" i="14"/>
  <c r="A133" i="14"/>
  <c r="C133" i="14" s="1"/>
  <c r="A134" i="14"/>
  <c r="A135" i="14"/>
  <c r="D135" i="14" s="1"/>
  <c r="A136" i="14"/>
  <c r="D136" i="14" s="1"/>
  <c r="A137" i="14"/>
  <c r="C137" i="14" s="1"/>
  <c r="A138" i="14"/>
  <c r="C138" i="14" s="1"/>
  <c r="A139" i="14"/>
  <c r="C139" i="14" s="1"/>
  <c r="A140" i="14"/>
  <c r="C140" i="14" s="1"/>
  <c r="A141" i="14"/>
  <c r="C141" i="14" s="1"/>
  <c r="A142" i="14"/>
  <c r="C142" i="14" s="1"/>
  <c r="A143" i="14"/>
  <c r="E143" i="14" s="1"/>
  <c r="A144" i="14"/>
  <c r="F144" i="14" s="1"/>
  <c r="A145" i="14"/>
  <c r="A146" i="14"/>
  <c r="A147" i="14"/>
  <c r="A148" i="14"/>
  <c r="D148" i="14" s="1"/>
  <c r="A149" i="14"/>
  <c r="D149" i="14" s="1"/>
  <c r="A150" i="14"/>
  <c r="A151" i="14"/>
  <c r="F151" i="14" s="1"/>
  <c r="A152" i="14"/>
  <c r="D152" i="14" s="1"/>
  <c r="A153" i="14"/>
  <c r="C153" i="14" s="1"/>
  <c r="A154" i="14"/>
  <c r="A155" i="14"/>
  <c r="A156" i="14"/>
  <c r="D156" i="14" s="1"/>
  <c r="A157" i="14"/>
  <c r="C157" i="14" s="1"/>
  <c r="A158" i="14"/>
  <c r="C158" i="14" s="1"/>
  <c r="A159" i="14"/>
  <c r="B159" i="14" s="1"/>
  <c r="A160" i="14"/>
  <c r="D160" i="14" s="1"/>
  <c r="A161" i="14"/>
  <c r="D161" i="14" s="1"/>
  <c r="A162" i="14"/>
  <c r="A163" i="14"/>
  <c r="A164" i="14"/>
  <c r="A165" i="14"/>
  <c r="B165" i="14" s="1"/>
  <c r="A166" i="14"/>
  <c r="A167" i="14"/>
  <c r="D167" i="14" s="1"/>
  <c r="A168" i="14"/>
  <c r="F168" i="14" s="1"/>
  <c r="A169" i="14"/>
  <c r="C169" i="14" s="1"/>
  <c r="A170" i="14"/>
  <c r="A171" i="14"/>
  <c r="C171" i="14" s="1"/>
  <c r="A172" i="14"/>
  <c r="C172" i="14" s="1"/>
  <c r="A173" i="14"/>
  <c r="E173" i="14" s="1"/>
  <c r="A174" i="14"/>
  <c r="E174" i="14" s="1"/>
  <c r="A175" i="14"/>
  <c r="E175" i="14" s="1"/>
  <c r="A176" i="14"/>
  <c r="E176" i="14" s="1"/>
  <c r="A177" i="14"/>
  <c r="E177" i="14" s="1"/>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A10" i="13"/>
  <c r="A11" i="13"/>
  <c r="D11" i="13" s="1"/>
  <c r="A12" i="13"/>
  <c r="C12" i="13" s="1"/>
  <c r="A13" i="13"/>
  <c r="D13" i="13" s="1"/>
  <c r="A14" i="13"/>
  <c r="C14" i="13" s="1"/>
  <c r="A15" i="13"/>
  <c r="A16" i="13"/>
  <c r="A17" i="13"/>
  <c r="A18" i="13"/>
  <c r="C18" i="13" s="1"/>
  <c r="A19" i="13"/>
  <c r="E19" i="13" s="1"/>
  <c r="A20" i="13"/>
  <c r="E20" i="13" s="1"/>
  <c r="A21" i="13"/>
  <c r="E21" i="13" s="1"/>
  <c r="A22" i="13"/>
  <c r="C22" i="13" s="1"/>
  <c r="A23" i="13"/>
  <c r="D23" i="13" s="1"/>
  <c r="A24" i="13"/>
  <c r="C24" i="13" s="1"/>
  <c r="A25" i="13"/>
  <c r="C25" i="13" s="1"/>
  <c r="A26" i="13"/>
  <c r="A27" i="13"/>
  <c r="D27" i="13" s="1"/>
  <c r="A28" i="13"/>
  <c r="C28" i="13" s="1"/>
  <c r="A29" i="13"/>
  <c r="D29" i="13" s="1"/>
  <c r="A30" i="13"/>
  <c r="C30" i="13" s="1"/>
  <c r="A31" i="13"/>
  <c r="A32" i="13"/>
  <c r="A33" i="13"/>
  <c r="A34" i="13"/>
  <c r="C34" i="13" s="1"/>
  <c r="A35" i="13"/>
  <c r="F35" i="13" s="1"/>
  <c r="A36" i="13"/>
  <c r="D36" i="13" s="1"/>
  <c r="A37" i="13"/>
  <c r="E37" i="13" s="1"/>
  <c r="A38" i="13"/>
  <c r="D38" i="13" s="1"/>
  <c r="A39" i="13"/>
  <c r="A40" i="13"/>
  <c r="D40" i="13" s="1"/>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A70" i="13"/>
  <c r="D70" i="13" s="1"/>
  <c r="A71" i="13"/>
  <c r="A72" i="13"/>
  <c r="G72" i="13" s="1"/>
  <c r="A73" i="13"/>
  <c r="E73" i="13" s="1"/>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A87" i="13"/>
  <c r="C87" i="13" s="1"/>
  <c r="A88" i="13"/>
  <c r="A89" i="13"/>
  <c r="E89" i="13" s="1"/>
  <c r="A90" i="13"/>
  <c r="C90" i="13" s="1"/>
  <c r="A91" i="13"/>
  <c r="C91" i="13" s="1"/>
  <c r="A92" i="13"/>
  <c r="C92" i="13" s="1"/>
  <c r="A93" i="13"/>
  <c r="E93" i="13" s="1"/>
  <c r="A94" i="13"/>
  <c r="C94" i="13" s="1"/>
  <c r="A95" i="13"/>
  <c r="C95" i="13" s="1"/>
  <c r="A96" i="13"/>
  <c r="C96" i="13" s="1"/>
  <c r="A97" i="13"/>
  <c r="A98" i="13"/>
  <c r="C98" i="13" s="1"/>
  <c r="A99" i="13"/>
  <c r="C99" i="13" s="1"/>
  <c r="A100" i="13"/>
  <c r="C100" i="13" s="1"/>
  <c r="A101" i="13"/>
  <c r="A102" i="13"/>
  <c r="F102" i="13" s="1"/>
  <c r="A103" i="13"/>
  <c r="C103" i="13" s="1"/>
  <c r="A104" i="13"/>
  <c r="C104" i="13" s="1"/>
  <c r="B104" i="13"/>
  <c r="A105" i="13"/>
  <c r="A106" i="13"/>
  <c r="F106" i="13" s="1"/>
  <c r="A107" i="13"/>
  <c r="C107" i="13" s="1"/>
  <c r="A108" i="13"/>
  <c r="C108" i="13" s="1"/>
  <c r="A109" i="13"/>
  <c r="A110" i="13"/>
  <c r="D110" i="13" s="1"/>
  <c r="A111" i="13"/>
  <c r="C111" i="13" s="1"/>
  <c r="A112" i="13"/>
  <c r="C112" i="13" s="1"/>
  <c r="A113" i="13"/>
  <c r="A114" i="13"/>
  <c r="E114" i="13" s="1"/>
  <c r="A115" i="13"/>
  <c r="C115" i="13" s="1"/>
  <c r="A116" i="13"/>
  <c r="C116" i="13" s="1"/>
  <c r="A117" i="13"/>
  <c r="A118" i="13"/>
  <c r="B118" i="13" s="1"/>
  <c r="A119" i="13"/>
  <c r="C119" i="13" s="1"/>
  <c r="A120" i="13"/>
  <c r="A121" i="13"/>
  <c r="A122" i="13"/>
  <c r="C122" i="13" s="1"/>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s="1"/>
  <c r="A30" i="12"/>
  <c r="C30" i="12" s="1"/>
  <c r="A31" i="12"/>
  <c r="C31" i="12" s="1"/>
  <c r="A32" i="12"/>
  <c r="C32" i="12" s="1"/>
  <c r="A33" i="12"/>
  <c r="A34" i="12"/>
  <c r="G34" i="12" s="1"/>
  <c r="A35" i="12"/>
  <c r="A36" i="12"/>
  <c r="B36" i="12" s="1"/>
  <c r="A37" i="12"/>
  <c r="A38" i="12"/>
  <c r="D38" i="12" s="1"/>
  <c r="A39" i="12"/>
  <c r="E39" i="12" s="1"/>
  <c r="A40" i="12"/>
  <c r="C40" i="12" s="1"/>
  <c r="A41" i="12"/>
  <c r="A42" i="12"/>
  <c r="A43" i="12"/>
  <c r="B43" i="12" s="1"/>
  <c r="A44" i="12"/>
  <c r="A45" i="12"/>
  <c r="B45" i="12" s="1"/>
  <c r="A46" i="12"/>
  <c r="E46" i="12" s="1"/>
  <c r="A47" i="12"/>
  <c r="D47" i="12" s="1"/>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A78" i="12"/>
  <c r="C78" i="12" s="1"/>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A168" i="12"/>
  <c r="C168" i="12" s="1"/>
  <c r="A169" i="12"/>
  <c r="G169" i="12" s="1"/>
  <c r="A170" i="12"/>
  <c r="G170" i="12" s="1"/>
  <c r="A171" i="12"/>
  <c r="E171" i="12" s="1"/>
  <c r="A172" i="12"/>
  <c r="C172" i="12" s="1"/>
  <c r="A173" i="12"/>
  <c r="D173" i="12" s="1"/>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A33" i="11"/>
  <c r="K33" i="11" s="1"/>
  <c r="A34" i="11"/>
  <c r="B34" i="11" s="1"/>
  <c r="A35" i="11"/>
  <c r="C35" i="11" s="1"/>
  <c r="A36" i="11"/>
  <c r="N36" i="11" s="1"/>
  <c r="A37" i="11"/>
  <c r="A38" i="11"/>
  <c r="C38" i="11" s="1"/>
  <c r="A39" i="11"/>
  <c r="C39" i="11" s="1"/>
  <c r="A40" i="11"/>
  <c r="B40" i="11" s="1"/>
  <c r="A41" i="11"/>
  <c r="B41" i="11" s="1"/>
  <c r="A42" i="11"/>
  <c r="C42" i="11" s="1"/>
  <c r="A43" i="11"/>
  <c r="D43" i="11" s="1"/>
  <c r="A44" i="11"/>
  <c r="B44" i="11" s="1"/>
  <c r="A45" i="11"/>
  <c r="B45" i="11" s="1"/>
  <c r="A46" i="11"/>
  <c r="B46" i="11" s="1"/>
  <c r="A47" i="11"/>
  <c r="A48" i="11"/>
  <c r="C48" i="11" s="1"/>
  <c r="A49" i="11"/>
  <c r="A50" i="11"/>
  <c r="F50" i="11" s="1"/>
  <c r="A51" i="11"/>
  <c r="B51" i="11" s="1"/>
  <c r="A52" i="11"/>
  <c r="I52" i="11" s="1"/>
  <c r="A53" i="11"/>
  <c r="D53" i="11" s="1"/>
  <c r="A54" i="11"/>
  <c r="E54" i="11" s="1"/>
  <c r="A55" i="11"/>
  <c r="B55" i="11" s="1"/>
  <c r="A56" i="11"/>
  <c r="A57" i="11"/>
  <c r="D57" i="11" s="1"/>
  <c r="A58" i="11"/>
  <c r="C58" i="11" s="1"/>
  <c r="A59" i="11"/>
  <c r="A60" i="11"/>
  <c r="C60" i="11" s="1"/>
  <c r="A61" i="11"/>
  <c r="K61" i="11" s="1"/>
  <c r="A62" i="11"/>
  <c r="F62" i="11" s="1"/>
  <c r="A63" i="11"/>
  <c r="E63" i="11" s="1"/>
  <c r="A64" i="11"/>
  <c r="B64" i="11" s="1"/>
  <c r="A65" i="11"/>
  <c r="I65" i="11" s="1"/>
  <c r="A66" i="11"/>
  <c r="E66" i="11" s="1"/>
  <c r="A67" i="11"/>
  <c r="E67" i="11" s="1"/>
  <c r="A68" i="11"/>
  <c r="C68" i="11" s="1"/>
  <c r="A69" i="11"/>
  <c r="I69" i="11" s="1"/>
  <c r="A70" i="11"/>
  <c r="E70" i="11" s="1"/>
  <c r="A71" i="11"/>
  <c r="C71" i="11" s="1"/>
  <c r="A72" i="11"/>
  <c r="C72" i="11" s="1"/>
  <c r="A73" i="11"/>
  <c r="G73" i="11" s="1"/>
  <c r="A74" i="11"/>
  <c r="E74" i="11" s="1"/>
  <c r="A75" i="11"/>
  <c r="C75" i="11" s="1"/>
  <c r="A76" i="11"/>
  <c r="C76" i="11" s="1"/>
  <c r="A77" i="11"/>
  <c r="E77" i="11" s="1"/>
  <c r="A78" i="11"/>
  <c r="A79" i="11"/>
  <c r="A80" i="11"/>
  <c r="C80" i="11" s="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A95" i="11"/>
  <c r="E95" i="11" s="1"/>
  <c r="A96" i="11"/>
  <c r="F96" i="11" s="1"/>
  <c r="A97" i="11"/>
  <c r="N97" i="11" s="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A109" i="11"/>
  <c r="K109" i="11" s="1"/>
  <c r="A110" i="11"/>
  <c r="L110" i="11" s="1"/>
  <c r="A111" i="11"/>
  <c r="E111" i="11" s="1"/>
  <c r="A112" i="11"/>
  <c r="F112" i="11" s="1"/>
  <c r="A113" i="11"/>
  <c r="C113" i="11" s="1"/>
  <c r="A114" i="11"/>
  <c r="E114" i="11" s="1"/>
  <c r="A115" i="11"/>
  <c r="G115" i="11" s="1"/>
  <c r="A116" i="11"/>
  <c r="B116" i="11" s="1"/>
  <c r="A117" i="11"/>
  <c r="C117" i="11" s="1"/>
  <c r="A118" i="11"/>
  <c r="E118" i="11" s="1"/>
  <c r="A119" i="11"/>
  <c r="H119" i="11" s="1"/>
  <c r="A120" i="11"/>
  <c r="A121" i="11"/>
  <c r="G121" i="11" s="1"/>
  <c r="A122" i="11"/>
  <c r="B122" i="11" s="1"/>
  <c r="A123" i="11"/>
  <c r="C123" i="11" s="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A147" i="11"/>
  <c r="B147" i="11" s="1"/>
  <c r="A148" i="11"/>
  <c r="B148" i="11" s="1"/>
  <c r="A149" i="11"/>
  <c r="A150" i="11"/>
  <c r="E150" i="11" s="1"/>
  <c r="A151" i="11"/>
  <c r="L151" i="11" s="1"/>
  <c r="A152" i="11"/>
  <c r="B152" i="11" s="1"/>
  <c r="A153" i="11"/>
  <c r="D153" i="11" s="1"/>
  <c r="A154" i="11"/>
  <c r="C154" i="11" s="1"/>
  <c r="A155" i="11"/>
  <c r="B155" i="11" s="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A14" i="10"/>
  <c r="B14" i="10" s="1"/>
  <c r="A15" i="10"/>
  <c r="B15" i="10" s="1"/>
  <c r="A16" i="10"/>
  <c r="G16" i="10" s="1"/>
  <c r="A17" i="10"/>
  <c r="B17" i="10" s="1"/>
  <c r="A18" i="10"/>
  <c r="F18" i="10" s="1"/>
  <c r="A19" i="10"/>
  <c r="E19" i="10" s="1"/>
  <c r="A20" i="10"/>
  <c r="C20" i="10" s="1"/>
  <c r="A21" i="10"/>
  <c r="F21" i="10" s="1"/>
  <c r="A22" i="10"/>
  <c r="B22" i="10" s="1"/>
  <c r="A23" i="10"/>
  <c r="A24" i="10"/>
  <c r="D24" i="10" s="1"/>
  <c r="A25" i="10"/>
  <c r="C25" i="10" s="1"/>
  <c r="A26" i="10"/>
  <c r="B26" i="10" s="1"/>
  <c r="A27" i="10"/>
  <c r="A28" i="10"/>
  <c r="A29" i="10"/>
  <c r="E29" i="10" s="1"/>
  <c r="A30" i="10"/>
  <c r="B30" i="10" s="1"/>
  <c r="A31" i="10"/>
  <c r="E31" i="10" s="1"/>
  <c r="A32" i="10"/>
  <c r="F32" i="10" s="1"/>
  <c r="A33" i="10"/>
  <c r="E33" i="10" s="1"/>
  <c r="A34" i="10"/>
  <c r="B34" i="10" s="1"/>
  <c r="A35" i="10"/>
  <c r="A36" i="10"/>
  <c r="A37" i="10"/>
  <c r="C37" i="10" s="1"/>
  <c r="A38" i="10"/>
  <c r="B38" i="10" s="1"/>
  <c r="A39" i="10"/>
  <c r="E39" i="10" s="1"/>
  <c r="A40" i="10"/>
  <c r="D40" i="10" s="1"/>
  <c r="A41" i="10"/>
  <c r="B41" i="10" s="1"/>
  <c r="A42" i="10"/>
  <c r="B42" i="10" s="1"/>
  <c r="A43" i="10"/>
  <c r="A44" i="10"/>
  <c r="D44" i="10" s="1"/>
  <c r="A45" i="10"/>
  <c r="D45" i="10" s="1"/>
  <c r="A46" i="10"/>
  <c r="B46" i="10" s="1"/>
  <c r="A47" i="10"/>
  <c r="A48" i="10"/>
  <c r="N48" i="10" s="1"/>
  <c r="A49" i="10"/>
  <c r="B49" i="10" s="1"/>
  <c r="A50" i="10"/>
  <c r="B50" i="10" s="1"/>
  <c r="A51" i="10"/>
  <c r="A52" i="10"/>
  <c r="D52" i="10" s="1"/>
  <c r="A53" i="10"/>
  <c r="B53" i="10" s="1"/>
  <c r="A54" i="10"/>
  <c r="E54" i="10" s="1"/>
  <c r="A55" i="10"/>
  <c r="E55" i="10" s="1"/>
  <c r="A56" i="10"/>
  <c r="D56" i="10" s="1"/>
  <c r="A57" i="10"/>
  <c r="B57" i="10" s="1"/>
  <c r="A58" i="10"/>
  <c r="A59" i="10"/>
  <c r="A60" i="10"/>
  <c r="C60" i="10" s="1"/>
  <c r="A61" i="10"/>
  <c r="B61" i="10" s="1"/>
  <c r="A62" i="10"/>
  <c r="B62" i="10" s="1"/>
  <c r="A63" i="10"/>
  <c r="E63" i="10" s="1"/>
  <c r="A64" i="10"/>
  <c r="A65" i="10"/>
  <c r="B65" i="10" s="1"/>
  <c r="A66" i="10"/>
  <c r="A67" i="10"/>
  <c r="A68" i="10"/>
  <c r="D68" i="10" s="1"/>
  <c r="A69" i="10"/>
  <c r="D69" i="10" s="1"/>
  <c r="A70" i="10"/>
  <c r="B70" i="10" s="1"/>
  <c r="A71" i="10"/>
  <c r="E71" i="10" s="1"/>
  <c r="A72" i="10"/>
  <c r="D72" i="10" s="1"/>
  <c r="A73" i="10"/>
  <c r="A74" i="10"/>
  <c r="A75" i="10"/>
  <c r="A76" i="10"/>
  <c r="K76" i="10" s="1"/>
  <c r="A77" i="10"/>
  <c r="C77" i="10" s="1"/>
  <c r="A78" i="10"/>
  <c r="A79" i="10"/>
  <c r="E79" i="10" s="1"/>
  <c r="A80" i="10"/>
  <c r="D80" i="10" s="1"/>
  <c r="A81" i="10"/>
  <c r="I81" i="10" s="1"/>
  <c r="A82" i="10"/>
  <c r="E82" i="10" s="1"/>
  <c r="A83" i="10"/>
  <c r="A84" i="10"/>
  <c r="C84" i="10" s="1"/>
  <c r="A85" i="10"/>
  <c r="C85" i="10" s="1"/>
  <c r="A86" i="10"/>
  <c r="B86" i="10" s="1"/>
  <c r="A87" i="10"/>
  <c r="E87" i="10" s="1"/>
  <c r="A88" i="10"/>
  <c r="D88" i="10" s="1"/>
  <c r="A89" i="10"/>
  <c r="C89" i="10" s="1"/>
  <c r="A90" i="10"/>
  <c r="I90" i="10" s="1"/>
  <c r="A91" i="10"/>
  <c r="A92" i="10"/>
  <c r="A93" i="10"/>
  <c r="B93" i="10" s="1"/>
  <c r="A94" i="10"/>
  <c r="B94" i="10" s="1"/>
  <c r="A95" i="10"/>
  <c r="A96" i="10"/>
  <c r="D96" i="10" s="1"/>
  <c r="A97" i="10"/>
  <c r="I97" i="10" s="1"/>
  <c r="A98" i="10"/>
  <c r="L98" i="10" s="1"/>
  <c r="A99" i="10"/>
  <c r="A100" i="10"/>
  <c r="B100" i="10" s="1"/>
  <c r="A101" i="10"/>
  <c r="I101" i="10" s="1"/>
  <c r="A102" i="10"/>
  <c r="A103" i="10"/>
  <c r="E103" i="10" s="1"/>
  <c r="A104" i="10"/>
  <c r="E104" i="10" s="1"/>
  <c r="A105" i="10"/>
  <c r="A106" i="10"/>
  <c r="E106" i="10" s="1"/>
  <c r="A107" i="10"/>
  <c r="A108" i="10"/>
  <c r="C108" i="10" s="1"/>
  <c r="A109" i="10"/>
  <c r="C109" i="10" s="1"/>
  <c r="A110" i="10"/>
  <c r="B110" i="10" s="1"/>
  <c r="A111" i="10"/>
  <c r="A112" i="10"/>
  <c r="A113" i="10"/>
  <c r="C113" i="10" s="1"/>
  <c r="A114" i="10"/>
  <c r="B114" i="10" s="1"/>
  <c r="A115" i="10"/>
  <c r="A116" i="10"/>
  <c r="A117" i="10"/>
  <c r="E117" i="10" s="1"/>
  <c r="A118" i="10"/>
  <c r="A119" i="10"/>
  <c r="B119" i="10" s="1"/>
  <c r="A120" i="10"/>
  <c r="D120" i="10" s="1"/>
  <c r="A121" i="10"/>
  <c r="C121" i="10" s="1"/>
  <c r="A122" i="10"/>
  <c r="H122" i="10" s="1"/>
  <c r="A123" i="10"/>
  <c r="I123" i="10" s="1"/>
  <c r="A124" i="10"/>
  <c r="A125" i="10"/>
  <c r="C125" i="10" s="1"/>
  <c r="A126" i="10"/>
  <c r="H126" i="10" s="1"/>
  <c r="A127" i="10"/>
  <c r="I127" i="10" s="1"/>
  <c r="A128" i="10"/>
  <c r="I128" i="10" s="1"/>
  <c r="A129" i="10"/>
  <c r="I129" i="10" s="1"/>
  <c r="A130" i="10"/>
  <c r="A131" i="10"/>
  <c r="A132" i="10"/>
  <c r="D132" i="10" s="1"/>
  <c r="A133" i="10"/>
  <c r="B133" i="10" s="1"/>
  <c r="A134" i="10"/>
  <c r="E134" i="10" s="1"/>
  <c r="A135" i="10"/>
  <c r="A136" i="10"/>
  <c r="B136" i="10" s="1"/>
  <c r="A137" i="10"/>
  <c r="L137" i="10" s="1"/>
  <c r="A138" i="10"/>
  <c r="D138" i="10" s="1"/>
  <c r="A139" i="10"/>
  <c r="A140" i="10"/>
  <c r="A141" i="10"/>
  <c r="E141" i="10" s="1"/>
  <c r="A142" i="10"/>
  <c r="D142" i="10" s="1"/>
  <c r="A143" i="10"/>
  <c r="E143" i="10" s="1"/>
  <c r="A144" i="10"/>
  <c r="C144" i="10" s="1"/>
  <c r="A145" i="10"/>
  <c r="C145" i="10" s="1"/>
  <c r="A146" i="10"/>
  <c r="A147" i="10"/>
  <c r="A148" i="10"/>
  <c r="A149" i="10"/>
  <c r="A150" i="10"/>
  <c r="A151" i="10"/>
  <c r="L151" i="10" s="1"/>
  <c r="A152" i="10"/>
  <c r="A153" i="10"/>
  <c r="B153" i="10" s="1"/>
  <c r="A154" i="10"/>
  <c r="D154" i="10" s="1"/>
  <c r="A155" i="10"/>
  <c r="F155" i="10" s="1"/>
  <c r="A156" i="10"/>
  <c r="C156" i="10" s="1"/>
  <c r="A157" i="10"/>
  <c r="D157" i="10" s="1"/>
  <c r="A158" i="10"/>
  <c r="E158" i="10" s="1"/>
  <c r="A159" i="10"/>
  <c r="L159" i="10" s="1"/>
  <c r="A160" i="10"/>
  <c r="A161" i="10"/>
  <c r="B161" i="10" s="1"/>
  <c r="A162" i="10"/>
  <c r="A163" i="10"/>
  <c r="A164" i="10"/>
  <c r="C164" i="10" s="1"/>
  <c r="A165" i="10"/>
  <c r="A166" i="10"/>
  <c r="L166" i="10" s="1"/>
  <c r="A167" i="10"/>
  <c r="D167" i="10" s="1"/>
  <c r="A168" i="10"/>
  <c r="A169" i="10"/>
  <c r="C169" i="10" s="1"/>
  <c r="A170" i="10"/>
  <c r="A171" i="10"/>
  <c r="D171" i="10" s="1"/>
  <c r="A172" i="10"/>
  <c r="C172" i="10" s="1"/>
  <c r="A173" i="10"/>
  <c r="A174" i="10"/>
  <c r="E174" i="10" s="1"/>
  <c r="A175" i="10"/>
  <c r="A176" i="10"/>
  <c r="B176" i="10" s="1"/>
  <c r="A177" i="10"/>
  <c r="A178" i="10"/>
  <c r="L178" i="10" s="1"/>
  <c r="A179" i="10"/>
  <c r="M179" i="10" s="1"/>
  <c r="A180" i="10"/>
  <c r="C180" i="10" s="1"/>
  <c r="A181" i="10"/>
  <c r="I181" i="10" s="1"/>
  <c r="A182" i="10"/>
  <c r="H182" i="10" s="1"/>
  <c r="A183" i="10"/>
  <c r="A184" i="10"/>
  <c r="M184" i="10" s="1"/>
  <c r="A185" i="10"/>
  <c r="C185" i="10" s="1"/>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A19" i="8"/>
  <c r="D19" i="8" s="1"/>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8" i="6"/>
  <c r="C8" i="6" s="1"/>
  <c r="A9" i="6"/>
  <c r="E9" i="6" s="1"/>
  <c r="A10" i="6"/>
  <c r="G10" i="6" s="1"/>
  <c r="A11" i="6"/>
  <c r="B11" i="6" s="1"/>
  <c r="A12" i="6"/>
  <c r="A13" i="6"/>
  <c r="I13" i="6" s="1"/>
  <c r="A14" i="6"/>
  <c r="A15" i="6"/>
  <c r="A16" i="6"/>
  <c r="C16" i="6" s="1"/>
  <c r="A17" i="6"/>
  <c r="B17" i="6" s="1"/>
  <c r="A18" i="6"/>
  <c r="A18" i="7" s="1"/>
  <c r="A19" i="6"/>
  <c r="A20" i="6"/>
  <c r="A20" i="7" s="1"/>
  <c r="I20" i="7" s="1"/>
  <c r="A21" i="6"/>
  <c r="D21" i="6" s="1"/>
  <c r="A22" i="6"/>
  <c r="D22" i="6" s="1"/>
  <c r="A23" i="6"/>
  <c r="I23" i="6" s="1"/>
  <c r="A24" i="6"/>
  <c r="E24" i="6" s="1"/>
  <c r="A25" i="6"/>
  <c r="D25" i="6" s="1"/>
  <c r="A26" i="6"/>
  <c r="G26" i="6" s="1"/>
  <c r="A27" i="6"/>
  <c r="A28" i="6"/>
  <c r="A29" i="6"/>
  <c r="F29" i="6" s="1"/>
  <c r="A30" i="6"/>
  <c r="M30" i="6" s="1"/>
  <c r="A31" i="6"/>
  <c r="A31" i="7" s="1"/>
  <c r="B31" i="7" s="1"/>
  <c r="A32" i="6"/>
  <c r="L32" i="6" s="1"/>
  <c r="A33" i="6"/>
  <c r="B33" i="6" s="1"/>
  <c r="A34" i="6"/>
  <c r="C34" i="6" s="1"/>
  <c r="A35" i="6"/>
  <c r="C35" i="6" s="1"/>
  <c r="A36" i="6"/>
  <c r="G36" i="6" s="1"/>
  <c r="A37" i="6"/>
  <c r="L37" i="6" s="1"/>
  <c r="A38" i="6"/>
  <c r="B38" i="6" s="1"/>
  <c r="A39" i="6"/>
  <c r="C39" i="6" s="1"/>
  <c r="A40" i="6"/>
  <c r="L40" i="6" s="1"/>
  <c r="A41" i="6"/>
  <c r="A41" i="7" s="1"/>
  <c r="H41" i="7" s="1"/>
  <c r="A42" i="6"/>
  <c r="A43" i="6"/>
  <c r="C43" i="6" s="1"/>
  <c r="A44" i="6"/>
  <c r="L44" i="6" s="1"/>
  <c r="A45" i="6"/>
  <c r="D45" i="6" s="1"/>
  <c r="A46" i="6"/>
  <c r="I46" i="6" s="1"/>
  <c r="A47" i="6"/>
  <c r="D47" i="6" s="1"/>
  <c r="A48" i="6"/>
  <c r="I48" i="6" s="1"/>
  <c r="A49" i="6"/>
  <c r="L49" i="6" s="1"/>
  <c r="A50" i="6"/>
  <c r="K50" i="6" s="1"/>
  <c r="A51" i="6"/>
  <c r="K51" i="6" s="1"/>
  <c r="A52" i="6"/>
  <c r="E52" i="6" s="1"/>
  <c r="A53" i="6"/>
  <c r="I53" i="6" s="1"/>
  <c r="A54" i="6"/>
  <c r="A55" i="6"/>
  <c r="B55" i="6" s="1"/>
  <c r="A56" i="6"/>
  <c r="O56" i="6" s="1"/>
  <c r="A57" i="6"/>
  <c r="F57" i="6" s="1"/>
  <c r="A58" i="6"/>
  <c r="K58" i="6" s="1"/>
  <c r="A59" i="6"/>
  <c r="F59" i="6" s="1"/>
  <c r="A60" i="6"/>
  <c r="E60" i="6" s="1"/>
  <c r="A61" i="6"/>
  <c r="L61" i="6" s="1"/>
  <c r="A62" i="6"/>
  <c r="A63" i="6"/>
  <c r="A63" i="7" s="1"/>
  <c r="A64" i="6"/>
  <c r="A65" i="6"/>
  <c r="E65" i="6" s="1"/>
  <c r="A66" i="6"/>
  <c r="A67" i="6"/>
  <c r="E67" i="6" s="1"/>
  <c r="A68" i="6"/>
  <c r="K68" i="6" s="1"/>
  <c r="A69" i="6"/>
  <c r="F69" i="6" s="1"/>
  <c r="A70" i="6"/>
  <c r="I70" i="6" s="1"/>
  <c r="A71" i="6"/>
  <c r="A72" i="6"/>
  <c r="A73" i="6"/>
  <c r="J73" i="6" s="1"/>
  <c r="A74" i="6"/>
  <c r="I74" i="6" s="1"/>
  <c r="A75" i="6"/>
  <c r="E75" i="6" s="1"/>
  <c r="A76" i="6"/>
  <c r="A77" i="6"/>
  <c r="D77" i="6" s="1"/>
  <c r="A78" i="6"/>
  <c r="I78" i="6" s="1"/>
  <c r="A79" i="6"/>
  <c r="A80" i="6"/>
  <c r="C80" i="6" s="1"/>
  <c r="A81" i="6"/>
  <c r="A82" i="6"/>
  <c r="I82" i="6" s="1"/>
  <c r="A83" i="6"/>
  <c r="A84" i="6"/>
  <c r="C84" i="6" s="1"/>
  <c r="A85" i="6"/>
  <c r="F85" i="6" s="1"/>
  <c r="A86" i="6"/>
  <c r="I86" i="6" s="1"/>
  <c r="A87" i="6"/>
  <c r="L87" i="6" s="1"/>
  <c r="A88" i="6"/>
  <c r="C88" i="6" s="1"/>
  <c r="A89" i="6"/>
  <c r="B89" i="6" s="1"/>
  <c r="A90" i="6"/>
  <c r="I90" i="6" s="1"/>
  <c r="A91" i="6"/>
  <c r="C91" i="6" s="1"/>
  <c r="A92" i="6"/>
  <c r="G92" i="6" s="1"/>
  <c r="A93" i="6"/>
  <c r="A94" i="6"/>
  <c r="M94" i="6" s="1"/>
  <c r="A95" i="6"/>
  <c r="A96" i="6"/>
  <c r="K96" i="6" s="1"/>
  <c r="A97" i="6"/>
  <c r="E97" i="6" s="1"/>
  <c r="A98" i="6"/>
  <c r="I98" i="6" s="1"/>
  <c r="A99" i="6"/>
  <c r="E99" i="6" s="1"/>
  <c r="A100" i="6"/>
  <c r="G100" i="6" s="1"/>
  <c r="A101" i="6"/>
  <c r="L101" i="6" s="1"/>
  <c r="A102" i="6"/>
  <c r="A103" i="6"/>
  <c r="D103" i="6" s="1"/>
  <c r="A104" i="6"/>
  <c r="C104" i="6" s="1"/>
  <c r="A105" i="6"/>
  <c r="B105" i="6" s="1"/>
  <c r="A106" i="6"/>
  <c r="I106" i="6" s="1"/>
  <c r="A107" i="6"/>
  <c r="C107" i="6" s="1"/>
  <c r="A108" i="6"/>
  <c r="G108" i="6" s="1"/>
  <c r="A109" i="6"/>
  <c r="E109" i="6" s="1"/>
  <c r="A110" i="6"/>
  <c r="A111" i="6"/>
  <c r="C111" i="6" s="1"/>
  <c r="A112" i="6"/>
  <c r="A113" i="6"/>
  <c r="F113" i="6" s="1"/>
  <c r="A114" i="6"/>
  <c r="J114" i="6" s="1"/>
  <c r="A115" i="6"/>
  <c r="B115" i="6" s="1"/>
  <c r="A116" i="6"/>
  <c r="G116" i="6" s="1"/>
  <c r="A117" i="6"/>
  <c r="D117" i="6" s="1"/>
  <c r="A118" i="6"/>
  <c r="F118" i="6" s="1"/>
  <c r="A119" i="6"/>
  <c r="B119" i="6" s="1"/>
  <c r="A120" i="6"/>
  <c r="E120" i="6" s="1"/>
  <c r="A121" i="6"/>
  <c r="I121" i="6" s="1"/>
  <c r="A122" i="6"/>
  <c r="C122" i="6" s="1"/>
  <c r="A123" i="6"/>
  <c r="B123" i="6" s="1"/>
  <c r="A124" i="6"/>
  <c r="G124" i="6" s="1"/>
  <c r="A125" i="6"/>
  <c r="A126" i="6"/>
  <c r="F126" i="6" s="1"/>
  <c r="A127" i="6"/>
  <c r="C127" i="6" s="1"/>
  <c r="A128" i="6"/>
  <c r="O128" i="6" s="1"/>
  <c r="A129" i="6"/>
  <c r="L129" i="6" s="1"/>
  <c r="A130" i="6"/>
  <c r="B130" i="6" s="1"/>
  <c r="A131" i="6"/>
  <c r="C131" i="6" s="1"/>
  <c r="A132" i="6"/>
  <c r="C132" i="6" s="1"/>
  <c r="A133" i="6"/>
  <c r="D133" i="6" s="1"/>
  <c r="A134" i="6"/>
  <c r="K134" i="6" s="1"/>
  <c r="A135" i="6"/>
  <c r="A136" i="6"/>
  <c r="E136" i="6" s="1"/>
  <c r="A137" i="6"/>
  <c r="B137" i="6" s="1"/>
  <c r="A138" i="6"/>
  <c r="A139" i="6"/>
  <c r="B139" i="6" s="1"/>
  <c r="A140" i="6"/>
  <c r="G140" i="6" s="1"/>
  <c r="A141" i="6"/>
  <c r="A142" i="6"/>
  <c r="B142" i="6" s="1"/>
  <c r="A143" i="6"/>
  <c r="A144" i="6"/>
  <c r="H144" i="6" s="1"/>
  <c r="A145" i="6"/>
  <c r="F145" i="6" s="1"/>
  <c r="A146" i="6"/>
  <c r="E146" i="6" s="1"/>
  <c r="A147" i="6"/>
  <c r="A148" i="6"/>
  <c r="I148" i="6" s="1"/>
  <c r="A149" i="6"/>
  <c r="E149" i="6" s="1"/>
  <c r="A150" i="6"/>
  <c r="A151" i="6"/>
  <c r="F151" i="6" s="1"/>
  <c r="A152" i="6"/>
  <c r="A153" i="6"/>
  <c r="C153" i="6" s="1"/>
  <c r="A154" i="6"/>
  <c r="E154" i="6" s="1"/>
  <c r="A155" i="6"/>
  <c r="B155" i="6" s="1"/>
  <c r="E155" i="6"/>
  <c r="J155" i="6"/>
  <c r="L155" i="6"/>
  <c r="A156" i="6"/>
  <c r="B156" i="6" s="1"/>
  <c r="A157" i="6"/>
  <c r="A158" i="6"/>
  <c r="E158" i="6" s="1"/>
  <c r="A159" i="6"/>
  <c r="D159" i="6" s="1"/>
  <c r="A160" i="6"/>
  <c r="A161" i="6"/>
  <c r="N161" i="6" s="1"/>
  <c r="A162" i="6"/>
  <c r="E162" i="6" s="1"/>
  <c r="A163" i="6"/>
  <c r="D163" i="6" s="1"/>
  <c r="A164" i="6"/>
  <c r="A165" i="6"/>
  <c r="H165" i="6" s="1"/>
  <c r="A166" i="6"/>
  <c r="E166" i="6" s="1"/>
  <c r="A167" i="6"/>
  <c r="D167" i="6" s="1"/>
  <c r="A168" i="6"/>
  <c r="B168" i="6" s="1"/>
  <c r="A169" i="6"/>
  <c r="B169" i="6" s="1"/>
  <c r="A170" i="6"/>
  <c r="E170" i="6" s="1"/>
  <c r="A171" i="6"/>
  <c r="F171" i="6" s="1"/>
  <c r="A172" i="6"/>
  <c r="A173" i="6"/>
  <c r="G173" i="6" s="1"/>
  <c r="A174" i="6"/>
  <c r="E174" i="6" s="1"/>
  <c r="A175" i="6"/>
  <c r="C175" i="6" s="1"/>
  <c r="A176" i="6"/>
  <c r="C176" i="6" s="1"/>
  <c r="A177" i="6"/>
  <c r="B177" i="6" s="1"/>
  <c r="A178" i="6"/>
  <c r="E178" i="6" s="1"/>
  <c r="A179" i="6"/>
  <c r="D179" i="6" s="1"/>
  <c r="A180" i="6"/>
  <c r="D180" i="6" s="1"/>
  <c r="A181" i="6"/>
  <c r="B181" i="6" s="1"/>
  <c r="A182" i="6"/>
  <c r="E182" i="6" s="1"/>
  <c r="A183" i="6"/>
  <c r="C183" i="6" s="1"/>
  <c r="A184" i="6"/>
  <c r="I184" i="6" s="1"/>
  <c r="A185" i="6"/>
  <c r="A186" i="6"/>
  <c r="E186" i="6" s="1"/>
  <c r="A187" i="6"/>
  <c r="A188" i="6"/>
  <c r="I188" i="6" s="1"/>
  <c r="A189" i="6"/>
  <c r="A7" i="7"/>
  <c r="C7" i="7" s="1"/>
  <c r="A8" i="7"/>
  <c r="I8" i="7" s="1"/>
  <c r="A10" i="7"/>
  <c r="C10" i="7" s="1"/>
  <c r="A11" i="7"/>
  <c r="I11" i="7" s="1"/>
  <c r="A12" i="7"/>
  <c r="E12" i="7" s="1"/>
  <c r="A13" i="7"/>
  <c r="A14" i="7"/>
  <c r="A16" i="7"/>
  <c r="A17" i="7"/>
  <c r="G17" i="7" s="1"/>
  <c r="A19" i="7"/>
  <c r="A21" i="7"/>
  <c r="E21" i="7" s="1"/>
  <c r="A22" i="7"/>
  <c r="F22" i="7" s="1"/>
  <c r="A23" i="7"/>
  <c r="C23" i="7" s="1"/>
  <c r="A24" i="7"/>
  <c r="E24" i="7" s="1"/>
  <c r="A25" i="7"/>
  <c r="K25" i="7" s="1"/>
  <c r="A26" i="7"/>
  <c r="B26" i="7" s="1"/>
  <c r="A27" i="7"/>
  <c r="B27" i="7" s="1"/>
  <c r="A29" i="7"/>
  <c r="L29" i="7" s="1"/>
  <c r="A30" i="7"/>
  <c r="B30" i="7" s="1"/>
  <c r="A33" i="7"/>
  <c r="C33" i="7" s="1"/>
  <c r="A34" i="7"/>
  <c r="L34" i="7" s="1"/>
  <c r="A35" i="7"/>
  <c r="B35" i="7" s="1"/>
  <c r="A36" i="7"/>
  <c r="A37" i="7"/>
  <c r="O37" i="7" s="1"/>
  <c r="A38" i="7"/>
  <c r="B38" i="7" s="1"/>
  <c r="A39" i="7"/>
  <c r="K39" i="7" s="1"/>
  <c r="A42" i="7"/>
  <c r="B42" i="7" s="1"/>
  <c r="A43" i="7"/>
  <c r="K43" i="7" s="1"/>
  <c r="A44" i="7"/>
  <c r="K44" i="7" s="1"/>
  <c r="A45" i="7"/>
  <c r="I45" i="7" s="1"/>
  <c r="A46" i="7"/>
  <c r="J46" i="7" s="1"/>
  <c r="A47" i="7"/>
  <c r="A48" i="7"/>
  <c r="C48" i="7" s="1"/>
  <c r="A49" i="7"/>
  <c r="E49" i="7" s="1"/>
  <c r="A50" i="7"/>
  <c r="F50" i="7" s="1"/>
  <c r="A52" i="7"/>
  <c r="F52" i="7" s="1"/>
  <c r="A55" i="7"/>
  <c r="F55" i="7" s="1"/>
  <c r="A56" i="7"/>
  <c r="K56" i="7" s="1"/>
  <c r="A57" i="7"/>
  <c r="H57" i="7" s="1"/>
  <c r="A58" i="7"/>
  <c r="A59" i="7"/>
  <c r="C59" i="7" s="1"/>
  <c r="A60" i="7"/>
  <c r="A61" i="7"/>
  <c r="C61" i="7" s="1"/>
  <c r="A64" i="7"/>
  <c r="C64" i="7" s="1"/>
  <c r="A67" i="7"/>
  <c r="O67" i="7" s="1"/>
  <c r="A68" i="7"/>
  <c r="A69" i="7"/>
  <c r="L69" i="7" s="1"/>
  <c r="A70" i="7"/>
  <c r="B70" i="7" s="1"/>
  <c r="A71" i="7"/>
  <c r="C71" i="7" s="1"/>
  <c r="A72" i="7"/>
  <c r="L72" i="7" s="1"/>
  <c r="A73" i="7"/>
  <c r="G73" i="7" s="1"/>
  <c r="A74" i="7"/>
  <c r="F74" i="7" s="1"/>
  <c r="A75" i="7"/>
  <c r="A78" i="7"/>
  <c r="J78" i="7" s="1"/>
  <c r="A79" i="7"/>
  <c r="F79" i="7" s="1"/>
  <c r="A80" i="7"/>
  <c r="K80" i="7" s="1"/>
  <c r="A81" i="7"/>
  <c r="L81" i="7" s="1"/>
  <c r="A82" i="7"/>
  <c r="F82" i="7" s="1"/>
  <c r="A83" i="7"/>
  <c r="A84" i="7"/>
  <c r="A85" i="7"/>
  <c r="C85" i="7" s="1"/>
  <c r="A89" i="7"/>
  <c r="G89" i="7" s="1"/>
  <c r="A90" i="7"/>
  <c r="A91" i="7"/>
  <c r="C91" i="7" s="1"/>
  <c r="A92" i="7"/>
  <c r="C92" i="7" s="1"/>
  <c r="A93" i="7"/>
  <c r="O93" i="7" s="1"/>
  <c r="A94" i="7"/>
  <c r="F94" i="7" s="1"/>
  <c r="A95" i="7"/>
  <c r="B95" i="7" s="1"/>
  <c r="A96" i="7"/>
  <c r="G96" i="7" s="1"/>
  <c r="A97" i="7"/>
  <c r="G97" i="7" s="1"/>
  <c r="A99" i="7"/>
  <c r="A101" i="7"/>
  <c r="A103" i="7"/>
  <c r="C103" i="7" s="1"/>
  <c r="A104" i="7"/>
  <c r="C104" i="7" s="1"/>
  <c r="A105" i="7"/>
  <c r="C105" i="7" s="1"/>
  <c r="A106" i="7"/>
  <c r="A107" i="7"/>
  <c r="A108" i="7"/>
  <c r="B108" i="7" s="1"/>
  <c r="A111" i="7"/>
  <c r="B111" i="7" s="1"/>
  <c r="A112" i="7"/>
  <c r="H112" i="7" s="1"/>
  <c r="A113" i="7"/>
  <c r="C113" i="7" s="1"/>
  <c r="A114" i="7"/>
  <c r="D114" i="7" s="1"/>
  <c r="A115" i="7"/>
  <c r="F115" i="7" s="1"/>
  <c r="A116" i="7"/>
  <c r="D116" i="7" s="1"/>
  <c r="A117" i="7"/>
  <c r="L117" i="7" s="1"/>
  <c r="A119" i="7"/>
  <c r="N119" i="7" s="1"/>
  <c r="A120" i="7"/>
  <c r="A121" i="7"/>
  <c r="E121" i="7" s="1"/>
  <c r="A122" i="7"/>
  <c r="B122" i="7" s="1"/>
  <c r="A123" i="7"/>
  <c r="J123" i="7" s="1"/>
  <c r="A127" i="7"/>
  <c r="B127" i="7" s="1"/>
  <c r="A129" i="7"/>
  <c r="A130" i="7"/>
  <c r="B130" i="7" s="1"/>
  <c r="A131" i="7"/>
  <c r="B131" i="7" s="1"/>
  <c r="A132" i="7"/>
  <c r="J132" i="7" s="1"/>
  <c r="A133" i="7"/>
  <c r="C133" i="7" s="1"/>
  <c r="A134" i="7"/>
  <c r="E134" i="7" s="1"/>
  <c r="A136" i="7"/>
  <c r="O136" i="7" s="1"/>
  <c r="A138" i="7"/>
  <c r="F138" i="7" s="1"/>
  <c r="A142" i="7"/>
  <c r="B142" i="7" s="1"/>
  <c r="A143" i="7"/>
  <c r="F143" i="7" s="1"/>
  <c r="A144" i="7"/>
  <c r="I144" i="7" s="1"/>
  <c r="A145" i="7"/>
  <c r="A146" i="7"/>
  <c r="D146" i="7" s="1"/>
  <c r="A148" i="7"/>
  <c r="I148" i="7" s="1"/>
  <c r="A152" i="7"/>
  <c r="G152" i="7" s="1"/>
  <c r="A153" i="7"/>
  <c r="C153" i="7" s="1"/>
  <c r="A154" i="7"/>
  <c r="L154" i="7" s="1"/>
  <c r="A155" i="7"/>
  <c r="J155" i="7" s="1"/>
  <c r="A156" i="7"/>
  <c r="E156" i="7" s="1"/>
  <c r="A157" i="7"/>
  <c r="A159" i="7"/>
  <c r="A161" i="7"/>
  <c r="L161" i="7" s="1"/>
  <c r="A162" i="7"/>
  <c r="E162" i="7" s="1"/>
  <c r="A163" i="7"/>
  <c r="B163" i="7" s="1"/>
  <c r="A165" i="7"/>
  <c r="A166" i="7"/>
  <c r="I166" i="7" s="1"/>
  <c r="A167" i="7"/>
  <c r="E167" i="7" s="1"/>
  <c r="A168" i="7"/>
  <c r="I168" i="7" s="1"/>
  <c r="A169" i="7"/>
  <c r="F169" i="7" s="1"/>
  <c r="A170" i="7"/>
  <c r="A171" i="7"/>
  <c r="D171" i="7" s="1"/>
  <c r="A173" i="7"/>
  <c r="L173" i="7" s="1"/>
  <c r="A174" i="7"/>
  <c r="E174" i="7" s="1"/>
  <c r="A175" i="7"/>
  <c r="C175" i="7" s="1"/>
  <c r="N175" i="7"/>
  <c r="A177" i="7"/>
  <c r="E177" i="7" s="1"/>
  <c r="A178" i="7"/>
  <c r="A179" i="7"/>
  <c r="A180" i="7"/>
  <c r="C180" i="7" s="1"/>
  <c r="A181" i="7"/>
  <c r="H181" i="7" s="1"/>
  <c r="A182" i="7"/>
  <c r="M182" i="7" s="1"/>
  <c r="A183" i="7"/>
  <c r="I183" i="7" s="1"/>
  <c r="A184" i="7"/>
  <c r="A185" i="7"/>
  <c r="F185" i="7" s="1"/>
  <c r="A189" i="7"/>
  <c r="B189" i="7" s="1"/>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E165" i="5"/>
  <c r="A166" i="5"/>
  <c r="B166" i="5"/>
  <c r="I166" i="5" s="1"/>
  <c r="A7" i="3"/>
  <c r="C7" i="3" s="1"/>
  <c r="A8" i="3"/>
  <c r="O8" i="3" s="1"/>
  <c r="A9" i="3"/>
  <c r="C9" i="3" s="1"/>
  <c r="A10" i="3"/>
  <c r="M10" i="3" s="1"/>
  <c r="A11" i="3"/>
  <c r="Q11" i="3" s="1"/>
  <c r="A12" i="3"/>
  <c r="G12" i="3" s="1"/>
  <c r="A13" i="3"/>
  <c r="B13" i="3" s="1"/>
  <c r="A14" i="3"/>
  <c r="I14" i="3" s="1"/>
  <c r="A15" i="3"/>
  <c r="D15" i="3" s="1"/>
  <c r="A16" i="3"/>
  <c r="B16" i="3" s="1"/>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A31" i="3"/>
  <c r="C31" i="3" s="1"/>
  <c r="A32" i="3"/>
  <c r="B32" i="3" s="1"/>
  <c r="A33" i="3"/>
  <c r="F33" i="3" s="1"/>
  <c r="A34" i="3"/>
  <c r="B34" i="3" s="1"/>
  <c r="A35" i="3"/>
  <c r="D35" i="3" s="1"/>
  <c r="A36" i="3"/>
  <c r="B36" i="3" s="1"/>
  <c r="A37" i="3"/>
  <c r="C37" i="3" s="1"/>
  <c r="A38" i="3"/>
  <c r="L38" i="3" s="1"/>
  <c r="A39" i="3"/>
  <c r="P39" i="3" s="1"/>
  <c r="A40" i="3"/>
  <c r="B40" i="3" s="1"/>
  <c r="A41" i="3"/>
  <c r="A42" i="3"/>
  <c r="D42" i="3" s="1"/>
  <c r="A43" i="3"/>
  <c r="C43" i="3" s="1"/>
  <c r="A44" i="3"/>
  <c r="D44" i="3" s="1"/>
  <c r="A45" i="3"/>
  <c r="G45" i="3" s="1"/>
  <c r="A46" i="3"/>
  <c r="I46" i="3" s="1"/>
  <c r="A47" i="3"/>
  <c r="D47" i="3" s="1"/>
  <c r="A48" i="3"/>
  <c r="C48" i="3" s="1"/>
  <c r="A49" i="3"/>
  <c r="B49" i="3" s="1"/>
  <c r="A50" i="3"/>
  <c r="A51" i="3"/>
  <c r="I51" i="3" s="1"/>
  <c r="A52" i="3"/>
  <c r="Q52" i="3" s="1"/>
  <c r="A53" i="3"/>
  <c r="F53" i="3" s="1"/>
  <c r="A54" i="3"/>
  <c r="B54" i="3" s="1"/>
  <c r="A55" i="3"/>
  <c r="A56" i="3"/>
  <c r="C56" i="3" s="1"/>
  <c r="A57" i="3"/>
  <c r="I57" i="3" s="1"/>
  <c r="A58" i="3"/>
  <c r="I58" i="3" s="1"/>
  <c r="A59" i="3"/>
  <c r="C59" i="3" s="1"/>
  <c r="A60" i="3"/>
  <c r="G60" i="3" s="1"/>
  <c r="A61" i="3"/>
  <c r="G61" i="3" s="1"/>
  <c r="A62" i="3"/>
  <c r="I62" i="3" s="1"/>
  <c r="A63" i="3"/>
  <c r="I63" i="3" s="1"/>
  <c r="A64" i="3"/>
  <c r="D64" i="3" s="1"/>
  <c r="A65" i="3"/>
  <c r="B65" i="3" s="1"/>
  <c r="A66" i="3"/>
  <c r="F66" i="3" s="1"/>
  <c r="A67" i="3"/>
  <c r="G67" i="3" s="1"/>
  <c r="A68" i="3"/>
  <c r="D68" i="3" s="1"/>
  <c r="A69" i="3"/>
  <c r="F69" i="3" s="1"/>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s="1"/>
  <c r="A107" i="3"/>
  <c r="A108" i="3"/>
  <c r="D108" i="3" s="1"/>
  <c r="A109" i="3"/>
  <c r="G109" i="3" s="1"/>
  <c r="A110" i="3"/>
  <c r="I110" i="3" s="1"/>
  <c r="A111" i="3"/>
  <c r="C111" i="3" s="1"/>
  <c r="A112" i="3"/>
  <c r="D112" i="3" s="1"/>
  <c r="A113" i="3"/>
  <c r="F113" i="3" s="1"/>
  <c r="A114" i="3"/>
  <c r="J114" i="3" s="1"/>
  <c r="A115" i="3"/>
  <c r="I115" i="3" s="1"/>
  <c r="A116" i="3"/>
  <c r="B116" i="3" s="1"/>
  <c r="A117" i="3"/>
  <c r="F117" i="3" s="1"/>
  <c r="A118" i="3"/>
  <c r="F118" i="3" s="1"/>
  <c r="A119" i="3"/>
  <c r="L119" i="3" s="1"/>
  <c r="A120" i="3"/>
  <c r="I120" i="3" s="1"/>
  <c r="A121" i="3"/>
  <c r="Q121" i="3" s="1"/>
  <c r="A122" i="3"/>
  <c r="B122" i="3" s="1"/>
  <c r="A123" i="3"/>
  <c r="D123" i="3" s="1"/>
  <c r="A124" i="3"/>
  <c r="M124" i="3" s="1"/>
  <c r="A125" i="3"/>
  <c r="J125" i="3" s="1"/>
  <c r="A126" i="3"/>
  <c r="A127" i="3"/>
  <c r="F127" i="3" s="1"/>
  <c r="A128" i="3"/>
  <c r="Q128" i="3" s="1"/>
  <c r="A129" i="3"/>
  <c r="F129" i="3" s="1"/>
  <c r="A130" i="3"/>
  <c r="D130" i="3" s="1"/>
  <c r="A131" i="3"/>
  <c r="D131" i="3" s="1"/>
  <c r="A132" i="3"/>
  <c r="B132" i="3" s="1"/>
  <c r="A133" i="3"/>
  <c r="I133" i="3" s="1"/>
  <c r="A134" i="3"/>
  <c r="O134" i="3" s="1"/>
  <c r="A135" i="3"/>
  <c r="C135" i="3" s="1"/>
  <c r="A136" i="3"/>
  <c r="B136" i="3" s="1"/>
  <c r="A137" i="3"/>
  <c r="M137" i="3" s="1"/>
  <c r="A138" i="3"/>
  <c r="C138" i="3" s="1"/>
  <c r="A139" i="3"/>
  <c r="C139" i="3" s="1"/>
  <c r="A140" i="3"/>
  <c r="M140" i="3" s="1"/>
  <c r="A141" i="3"/>
  <c r="A142" i="3"/>
  <c r="P142" i="3" s="1"/>
  <c r="A143" i="3"/>
  <c r="F143" i="3" s="1"/>
  <c r="A144" i="3"/>
  <c r="Q144" i="3" s="1"/>
  <c r="A145" i="3"/>
  <c r="A146" i="3"/>
  <c r="M146" i="3" s="1"/>
  <c r="A147" i="3"/>
  <c r="C147" i="3" s="1"/>
  <c r="A148" i="3"/>
  <c r="Q148" i="3" s="1"/>
  <c r="A149" i="3"/>
  <c r="A150" i="3"/>
  <c r="A151" i="3"/>
  <c r="O151" i="3" s="1"/>
  <c r="A152" i="3"/>
  <c r="I152" i="3" s="1"/>
  <c r="A153" i="3"/>
  <c r="M153" i="3" s="1"/>
  <c r="A154" i="3"/>
  <c r="D154" i="3" s="1"/>
  <c r="A155" i="3"/>
  <c r="J155" i="3" s="1"/>
  <c r="A156" i="3"/>
  <c r="B156" i="3" s="1"/>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A171" i="3"/>
  <c r="B171" i="3" s="1"/>
  <c r="A172" i="3"/>
  <c r="Q172" i="3" s="1"/>
  <c r="A173" i="3"/>
  <c r="A174" i="3"/>
  <c r="D174" i="3" s="1"/>
  <c r="A175" i="3"/>
  <c r="D175" i="3" s="1"/>
  <c r="A176" i="3"/>
  <c r="M176" i="3" s="1"/>
  <c r="A177" i="3"/>
  <c r="Q177" i="3" s="1"/>
  <c r="A178" i="3"/>
  <c r="B178" i="3" s="1"/>
  <c r="A179" i="3"/>
  <c r="P179" i="3" s="1"/>
  <c r="A180" i="3"/>
  <c r="Q180" i="3" s="1"/>
  <c r="A181" i="3"/>
  <c r="I181" i="3" s="1"/>
  <c r="A182" i="3"/>
  <c r="C182" i="3" s="1"/>
  <c r="A183" i="3"/>
  <c r="B183" i="3" s="1"/>
  <c r="A184" i="3"/>
  <c r="I184" i="3" s="1"/>
  <c r="A185" i="3"/>
  <c r="I185" i="3" s="1"/>
  <c r="A186" i="3"/>
  <c r="G186" i="3" s="1"/>
  <c r="A187" i="3"/>
  <c r="C187" i="3" s="1"/>
  <c r="A188" i="3"/>
  <c r="G188" i="3" s="1"/>
  <c r="A189" i="3"/>
  <c r="C10" i="2"/>
  <c r="B6" i="3" s="1"/>
  <c r="D6" i="5" s="1"/>
  <c r="D10" i="2"/>
  <c r="R10" i="2" s="1"/>
  <c r="A11" i="2"/>
  <c r="Q11" i="2" s="1"/>
  <c r="A12" i="2"/>
  <c r="D12" i="2" s="1"/>
  <c r="A13" i="2"/>
  <c r="L13" i="2" s="1"/>
  <c r="A14" i="2"/>
  <c r="L14" i="2" s="1"/>
  <c r="A15" i="2"/>
  <c r="I15" i="2" s="1"/>
  <c r="A16" i="2"/>
  <c r="E16" i="2" s="1"/>
  <c r="A17" i="2"/>
  <c r="Q17" i="2" s="1"/>
  <c r="A18" i="2"/>
  <c r="I18" i="2" s="1"/>
  <c r="A19" i="2"/>
  <c r="Q19" i="2" s="1"/>
  <c r="A20" i="2"/>
  <c r="C20" i="2" s="1"/>
  <c r="A21" i="2"/>
  <c r="L21" i="2" s="1"/>
  <c r="A22" i="2"/>
  <c r="Q22" i="2" s="1"/>
  <c r="A23" i="2"/>
  <c r="C23" i="2" s="1"/>
  <c r="A24" i="2"/>
  <c r="A25" i="2"/>
  <c r="A26" i="2"/>
  <c r="L26" i="2" s="1"/>
  <c r="A27" i="2"/>
  <c r="C27" i="2" s="1"/>
  <c r="A28" i="2"/>
  <c r="D28" i="2" s="1"/>
  <c r="A29" i="2"/>
  <c r="I29" i="2" s="1"/>
  <c r="A30" i="2"/>
  <c r="A31" i="2"/>
  <c r="Q31" i="2" s="1"/>
  <c r="A32" i="2"/>
  <c r="E32" i="2" s="1"/>
  <c r="A33" i="2"/>
  <c r="D33" i="2" s="1"/>
  <c r="A34" i="2"/>
  <c r="I34" i="2" s="1"/>
  <c r="A35" i="2"/>
  <c r="S35" i="2" s="1"/>
  <c r="A36" i="2"/>
  <c r="B36" i="2" s="1"/>
  <c r="A37" i="2"/>
  <c r="L37" i="2" s="1"/>
  <c r="A38" i="2"/>
  <c r="D38" i="2" s="1"/>
  <c r="A39" i="2"/>
  <c r="C39" i="2" s="1"/>
  <c r="A40" i="2"/>
  <c r="Q40" i="2" s="1"/>
  <c r="A41" i="2"/>
  <c r="L41" i="2" s="1"/>
  <c r="A42" i="2"/>
  <c r="L42" i="2" s="1"/>
  <c r="A43" i="2"/>
  <c r="I43" i="2" s="1"/>
  <c r="A44" i="2"/>
  <c r="H44" i="2" s="1"/>
  <c r="A45" i="2"/>
  <c r="I45" i="2" s="1"/>
  <c r="A46" i="2"/>
  <c r="A47" i="2"/>
  <c r="C47" i="2" s="1"/>
  <c r="A48" i="2"/>
  <c r="B48" i="2" s="1"/>
  <c r="A49" i="2"/>
  <c r="A50" i="2"/>
  <c r="I50" i="2" s="1"/>
  <c r="A51" i="2"/>
  <c r="S51" i="2" s="1"/>
  <c r="A52" i="2"/>
  <c r="B52" i="2" s="1"/>
  <c r="A53" i="2"/>
  <c r="D53" i="2" s="1"/>
  <c r="A54" i="2"/>
  <c r="D54" i="2" s="1"/>
  <c r="A55" i="2"/>
  <c r="C55" i="2" s="1"/>
  <c r="A56" i="2"/>
  <c r="B56" i="2" s="1"/>
  <c r="A57" i="2"/>
  <c r="Q57" i="2" s="1"/>
  <c r="A58" i="2"/>
  <c r="D58" i="2" s="1"/>
  <c r="A59" i="2"/>
  <c r="C59" i="2" s="1"/>
  <c r="A60" i="2"/>
  <c r="P60" i="2" s="1"/>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A77" i="2"/>
  <c r="D77" i="2" s="1"/>
  <c r="A78" i="2"/>
  <c r="A79" i="2"/>
  <c r="A80" i="2"/>
  <c r="C80" i="2" s="1"/>
  <c r="A81" i="2"/>
  <c r="I81" i="2" s="1"/>
  <c r="A82" i="2"/>
  <c r="I82" i="2" s="1"/>
  <c r="A83" i="2"/>
  <c r="A84" i="2"/>
  <c r="I84" i="2" s="1"/>
  <c r="A85" i="2"/>
  <c r="D85" i="2" s="1"/>
  <c r="A86" i="2"/>
  <c r="D86" i="2" s="1"/>
  <c r="A87" i="2"/>
  <c r="I87" i="2" s="1"/>
  <c r="A88" i="2"/>
  <c r="C88" i="2" s="1"/>
  <c r="A89" i="2"/>
  <c r="I89" i="2" s="1"/>
  <c r="A90" i="2"/>
  <c r="A91" i="2"/>
  <c r="C91" i="2" s="1"/>
  <c r="A92" i="2"/>
  <c r="H92" i="2" s="1"/>
  <c r="A93" i="2"/>
  <c r="A94" i="2"/>
  <c r="D94" i="2" s="1"/>
  <c r="A95" i="2"/>
  <c r="I95" i="2" s="1"/>
  <c r="A96" i="2"/>
  <c r="D96" i="2" s="1"/>
  <c r="A97" i="2"/>
  <c r="I97" i="2" s="1"/>
  <c r="A98" i="2"/>
  <c r="I98" i="2" s="1"/>
  <c r="A99" i="2"/>
  <c r="I99" i="2" s="1"/>
  <c r="A100" i="2"/>
  <c r="C100" i="2" s="1"/>
  <c r="A101" i="2"/>
  <c r="D101" i="2" s="1"/>
  <c r="A102" i="2"/>
  <c r="D102" i="2" s="1"/>
  <c r="A103" i="2"/>
  <c r="I103" i="2" s="1"/>
  <c r="A104" i="2"/>
  <c r="D104" i="2" s="1"/>
  <c r="A105" i="2"/>
  <c r="I105" i="2" s="1"/>
  <c r="A106" i="2"/>
  <c r="I106" i="2" s="1"/>
  <c r="A107" i="2"/>
  <c r="A108" i="2"/>
  <c r="E108" i="2" s="1"/>
  <c r="A109" i="2"/>
  <c r="D109" i="2" s="1"/>
  <c r="A110" i="2"/>
  <c r="D110" i="2" s="1"/>
  <c r="A111" i="2"/>
  <c r="I111" i="2" s="1"/>
  <c r="A112" i="2"/>
  <c r="E112" i="2" s="1"/>
  <c r="A113" i="2"/>
  <c r="D113" i="2" s="1"/>
  <c r="A114" i="2"/>
  <c r="L114" i="2" s="1"/>
  <c r="A115" i="2"/>
  <c r="C115" i="2" s="1"/>
  <c r="A116" i="2"/>
  <c r="R116" i="2" s="1"/>
  <c r="A117" i="2"/>
  <c r="D117" i="2" s="1"/>
  <c r="A118" i="2"/>
  <c r="D118" i="2" s="1"/>
  <c r="A119" i="2"/>
  <c r="A120" i="2"/>
  <c r="D120" i="2" s="1"/>
  <c r="A121" i="2"/>
  <c r="I121" i="2" s="1"/>
  <c r="A122" i="2"/>
  <c r="L122" i="2" s="1"/>
  <c r="A123" i="2"/>
  <c r="C123" i="2" s="1"/>
  <c r="A124" i="2"/>
  <c r="D124" i="2" s="1"/>
  <c r="A125" i="2"/>
  <c r="D125" i="2" s="1"/>
  <c r="A126" i="2"/>
  <c r="D126" i="2" s="1"/>
  <c r="A127" i="2"/>
  <c r="I127" i="2" s="1"/>
  <c r="A128" i="2"/>
  <c r="D128" i="2" s="1"/>
  <c r="A129" i="2"/>
  <c r="I129" i="2" s="1"/>
  <c r="A130" i="2"/>
  <c r="I130" i="2" s="1"/>
  <c r="A131" i="2"/>
  <c r="C131" i="2" s="1"/>
  <c r="A132" i="2"/>
  <c r="C132" i="2" s="1"/>
  <c r="A133" i="2"/>
  <c r="D133" i="2" s="1"/>
  <c r="A134" i="2"/>
  <c r="A135" i="2"/>
  <c r="I135" i="2" s="1"/>
  <c r="A136" i="2"/>
  <c r="D136" i="2" s="1"/>
  <c r="A137" i="2"/>
  <c r="I137" i="2" s="1"/>
  <c r="A138" i="2"/>
  <c r="Q138" i="2" s="1"/>
  <c r="A139" i="2"/>
  <c r="C139" i="2" s="1"/>
  <c r="A140" i="2"/>
  <c r="C140" i="2" s="1"/>
  <c r="A141" i="2"/>
  <c r="D141" i="2" s="1"/>
  <c r="A142" i="2"/>
  <c r="A143" i="2"/>
  <c r="I143" i="2" s="1"/>
  <c r="A144" i="2"/>
  <c r="I144" i="2" s="1"/>
  <c r="A145" i="2"/>
  <c r="D145" i="2" s="1"/>
  <c r="A146" i="2"/>
  <c r="C146" i="2" s="1"/>
  <c r="A147" i="2"/>
  <c r="D147" i="2" s="1"/>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A175" i="2"/>
  <c r="C175" i="2" s="1"/>
  <c r="A176" i="2"/>
  <c r="I176" i="2" s="1"/>
  <c r="A177" i="2"/>
  <c r="D177" i="2" s="1"/>
  <c r="A178" i="2"/>
  <c r="C178" i="2" s="1"/>
  <c r="A179" i="2"/>
  <c r="H179" i="2" s="1"/>
  <c r="A180" i="2"/>
  <c r="A181" i="2"/>
  <c r="D181" i="2" s="1"/>
  <c r="A182" i="2"/>
  <c r="E182" i="2" s="1"/>
  <c r="A183" i="2"/>
  <c r="A184" i="2"/>
  <c r="E184" i="2" s="1"/>
  <c r="A185" i="2"/>
  <c r="E185" i="2" s="1"/>
  <c r="A186" i="2"/>
  <c r="C186" i="2" s="1"/>
  <c r="A187" i="2"/>
  <c r="C187" i="2" s="1"/>
  <c r="A188" i="2"/>
  <c r="C188" i="2" s="1"/>
  <c r="A189" i="2"/>
  <c r="D189" i="2" s="1"/>
  <c r="A190" i="2"/>
  <c r="I190" i="2" s="1"/>
  <c r="A191" i="2"/>
  <c r="C191" i="2" s="1"/>
  <c r="A192" i="2"/>
  <c r="E192" i="2" s="1"/>
  <c r="A193" i="2"/>
  <c r="Q193" i="2" s="1"/>
  <c r="C240" i="2"/>
  <c r="F240" i="2" s="1"/>
  <c r="G240" i="2"/>
  <c r="C241" i="2"/>
  <c r="D241" i="2"/>
  <c r="F241" i="2"/>
  <c r="G241" i="2"/>
  <c r="C242" i="2"/>
  <c r="D242" i="2"/>
  <c r="F242" i="2"/>
  <c r="G242" i="2"/>
  <c r="C243" i="2"/>
  <c r="D243" i="2"/>
  <c r="F243" i="2"/>
  <c r="G243" i="2"/>
  <c r="C244" i="2"/>
  <c r="D244" i="2"/>
  <c r="F244" i="2"/>
  <c r="G244" i="2"/>
  <c r="L23" i="6" l="1"/>
  <c r="E243" i="2"/>
  <c r="O32" i="3"/>
  <c r="N69" i="3"/>
  <c r="O93" i="5"/>
  <c r="L145" i="10"/>
  <c r="I33" i="10"/>
  <c r="D73" i="13"/>
  <c r="I18" i="8"/>
  <c r="C84" i="14"/>
  <c r="O73" i="5"/>
  <c r="F167" i="12"/>
  <c r="F161" i="14"/>
  <c r="M167" i="6"/>
  <c r="K132" i="10"/>
  <c r="K73" i="7"/>
  <c r="M109" i="6"/>
  <c r="H244"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A137" i="7"/>
  <c r="G137" i="7" s="1"/>
  <c r="F122" i="7"/>
  <c r="K89" i="7"/>
  <c r="A77" i="7"/>
  <c r="L77" i="7" s="1"/>
  <c r="A53" i="7"/>
  <c r="L53" i="7" s="1"/>
  <c r="H167" i="6"/>
  <c r="L109" i="6"/>
  <c r="M8" i="6"/>
  <c r="K120" i="10"/>
  <c r="E110" i="10"/>
  <c r="K113" i="11"/>
  <c r="E78" i="12"/>
  <c r="F13" i="13"/>
  <c r="I161" i="2"/>
  <c r="I36" i="5"/>
  <c r="A151" i="7"/>
  <c r="I151" i="7" s="1"/>
  <c r="A88" i="7"/>
  <c r="B88" i="7" s="1"/>
  <c r="A65" i="7"/>
  <c r="G65" i="7" s="1"/>
  <c r="A51" i="7"/>
  <c r="O56" i="10"/>
  <c r="M146" i="11"/>
  <c r="C170" i="12"/>
  <c r="C161" i="14"/>
  <c r="E70" i="14"/>
  <c r="P140" i="2"/>
  <c r="C56" i="2"/>
  <c r="A176" i="7"/>
  <c r="A149" i="7"/>
  <c r="G149" i="7" s="1"/>
  <c r="A98" i="7"/>
  <c r="L98" i="7" s="1"/>
  <c r="A86" i="7"/>
  <c r="L86" i="7" s="1"/>
  <c r="E16" i="6"/>
  <c r="K93" i="5"/>
  <c r="A188" i="7"/>
  <c r="E188" i="7" s="1"/>
  <c r="M165" i="6"/>
  <c r="I96" i="10"/>
  <c r="K74" i="11"/>
  <c r="D125" i="14"/>
  <c r="E193" i="2"/>
  <c r="R147" i="2"/>
  <c r="L32" i="2"/>
  <c r="I171" i="3"/>
  <c r="M37" i="3"/>
  <c r="N163" i="5"/>
  <c r="A186" i="7"/>
  <c r="E186" i="7" s="1"/>
  <c r="A118" i="7"/>
  <c r="H118" i="7" s="1"/>
  <c r="A109" i="7"/>
  <c r="O48" i="7"/>
  <c r="L10" i="7"/>
  <c r="N35" i="6"/>
  <c r="H242" i="2"/>
  <c r="B56" i="3"/>
  <c r="O165" i="5"/>
  <c r="A158" i="7"/>
  <c r="H158" i="7" s="1"/>
  <c r="M116" i="7"/>
  <c r="F71" i="7"/>
  <c r="A9" i="7"/>
  <c r="B9" i="7" s="1"/>
  <c r="F131" i="6"/>
  <c r="L120" i="6"/>
  <c r="E103" i="6"/>
  <c r="O80" i="6"/>
  <c r="F104" i="10"/>
  <c r="K84" i="10"/>
  <c r="I62" i="10"/>
  <c r="N72" i="11"/>
  <c r="F87" i="14"/>
  <c r="C44" i="14"/>
  <c r="E234" i="2"/>
  <c r="I40" i="2"/>
  <c r="M178" i="3"/>
  <c r="O12" i="3"/>
  <c r="N165" i="5"/>
  <c r="A128" i="7"/>
  <c r="B128" i="7" s="1"/>
  <c r="J116" i="7"/>
  <c r="F111" i="6"/>
  <c r="I84" i="10"/>
  <c r="L72" i="11"/>
  <c r="G173" i="12"/>
  <c r="F47" i="12"/>
  <c r="Q144" i="2"/>
  <c r="L124" i="2"/>
  <c r="L92" i="2"/>
  <c r="Q60" i="2"/>
  <c r="F187" i="3"/>
  <c r="L135" i="3"/>
  <c r="L12" i="3"/>
  <c r="K165" i="5"/>
  <c r="L70" i="7"/>
  <c r="L38" i="10"/>
  <c r="F173" i="12"/>
  <c r="A100" i="7"/>
  <c r="F100" i="7" s="1"/>
  <c r="D144" i="2"/>
  <c r="Q16" i="2"/>
  <c r="I64" i="3"/>
  <c r="B12" i="3"/>
  <c r="K101" i="5"/>
  <c r="A139" i="7"/>
  <c r="C139" i="7" s="1"/>
  <c r="A126" i="7"/>
  <c r="H126" i="7" s="1"/>
  <c r="K115" i="7"/>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F125" i="14"/>
  <c r="E119" i="14"/>
  <c r="B79" i="14"/>
  <c r="F55" i="14"/>
  <c r="I188" i="2"/>
  <c r="B109" i="6"/>
  <c r="I96" i="6"/>
  <c r="H21" i="6"/>
  <c r="M133" i="10"/>
  <c r="M121" i="10"/>
  <c r="J100" i="10"/>
  <c r="E72" i="10"/>
  <c r="D62" i="10"/>
  <c r="I37" i="10"/>
  <c r="L34" i="10"/>
  <c r="I25" i="10"/>
  <c r="J12" i="3"/>
  <c r="D10" i="3"/>
  <c r="M7" i="3"/>
  <c r="G116" i="7"/>
  <c r="N98" i="7"/>
  <c r="K95" i="7"/>
  <c r="G21" i="7"/>
  <c r="L132" i="6"/>
  <c r="G130" i="6"/>
  <c r="E119" i="6"/>
  <c r="I133" i="10"/>
  <c r="E121" i="10"/>
  <c r="E109" i="10"/>
  <c r="F88" i="10"/>
  <c r="H25" i="10"/>
  <c r="L187" i="2"/>
  <c r="J135" i="3"/>
  <c r="P36" i="3"/>
  <c r="L146" i="7"/>
  <c r="L122" i="7"/>
  <c r="O116" i="7"/>
  <c r="C116" i="7"/>
  <c r="F95" i="7"/>
  <c r="C27" i="7"/>
  <c r="L179" i="6"/>
  <c r="F177" i="6"/>
  <c r="M36" i="6"/>
  <c r="O16" i="6"/>
  <c r="L11" i="6"/>
  <c r="F8" i="6"/>
  <c r="O176" i="10"/>
  <c r="I157" i="10"/>
  <c r="E133" i="10"/>
  <c r="M13" i="10"/>
  <c r="D187" i="2"/>
  <c r="Q140" i="2"/>
  <c r="L116" i="2"/>
  <c r="E80" i="2"/>
  <c r="L56" i="2"/>
  <c r="I28" i="2"/>
  <c r="L187" i="3"/>
  <c r="P182" i="3"/>
  <c r="L179" i="3"/>
  <c r="I68" i="3"/>
  <c r="G52" i="3"/>
  <c r="O36" i="3"/>
  <c r="F30" i="3"/>
  <c r="M15" i="3"/>
  <c r="E48" i="7"/>
  <c r="F109" i="6"/>
  <c r="M38" i="6"/>
  <c r="J16" i="6"/>
  <c r="H11" i="6"/>
  <c r="E176" i="10"/>
  <c r="N25" i="10"/>
  <c r="I19" i="8"/>
  <c r="F18" i="8"/>
  <c r="O141" i="5"/>
  <c r="I122" i="5"/>
  <c r="O101" i="5"/>
  <c r="N85" i="5"/>
  <c r="K65" i="5"/>
  <c r="I13" i="5"/>
  <c r="F78" i="12"/>
  <c r="F77" i="12"/>
  <c r="E134" i="13"/>
  <c r="E116" i="13"/>
  <c r="G110" i="13"/>
  <c r="F98" i="13"/>
  <c r="C69" i="13"/>
  <c r="B29" i="13"/>
  <c r="G9" i="13"/>
  <c r="E172" i="14"/>
  <c r="E169" i="14"/>
  <c r="B161" i="14"/>
  <c r="D139" i="14"/>
  <c r="E129" i="14"/>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D50" i="2"/>
  <c r="H48" i="2"/>
  <c r="D41" i="2"/>
  <c r="I21" i="2"/>
  <c r="E20" i="2"/>
  <c r="C16" i="2"/>
  <c r="C186" i="3"/>
  <c r="P183" i="3"/>
  <c r="C183" i="3"/>
  <c r="Q127" i="3"/>
  <c r="Q85" i="3"/>
  <c r="G131" i="7"/>
  <c r="K123" i="7"/>
  <c r="B118" i="7"/>
  <c r="N116" i="7"/>
  <c r="I116" i="7"/>
  <c r="B116" i="7"/>
  <c r="E115" i="7"/>
  <c r="F111" i="7"/>
  <c r="O96" i="7"/>
  <c r="J91" i="7"/>
  <c r="H89" i="7"/>
  <c r="G81" i="7"/>
  <c r="M73" i="7"/>
  <c r="M65" i="7"/>
  <c r="N31" i="7"/>
  <c r="O27" i="7"/>
  <c r="C25" i="7"/>
  <c r="O181" i="6"/>
  <c r="L175" i="6"/>
  <c r="E168" i="6"/>
  <c r="L107" i="6"/>
  <c r="K104" i="6"/>
  <c r="I94" i="6"/>
  <c r="N77" i="6"/>
  <c r="I25" i="6"/>
  <c r="G16" i="6"/>
  <c r="E171" i="10"/>
  <c r="N164" i="10"/>
  <c r="J157" i="10"/>
  <c r="I156" i="10"/>
  <c r="I141" i="10"/>
  <c r="C141" i="10"/>
  <c r="I121" i="10"/>
  <c r="F120" i="10"/>
  <c r="I110" i="10"/>
  <c r="K96" i="10"/>
  <c r="L94" i="10"/>
  <c r="I86" i="10"/>
  <c r="K56" i="10"/>
  <c r="O112" i="7"/>
  <c r="L33" i="7"/>
  <c r="H181" i="6"/>
  <c r="G122" i="6"/>
  <c r="O114" i="6"/>
  <c r="L69" i="6"/>
  <c r="M72" i="10"/>
  <c r="I61" i="10"/>
  <c r="F56" i="10"/>
  <c r="I34" i="10"/>
  <c r="M140" i="2"/>
  <c r="S104" i="2"/>
  <c r="I76" i="2"/>
  <c r="R20" i="2"/>
  <c r="M16" i="2"/>
  <c r="J183" i="3"/>
  <c r="G143" i="3"/>
  <c r="H143" i="3" s="1"/>
  <c r="Q135" i="3"/>
  <c r="G135" i="3"/>
  <c r="N108" i="3"/>
  <c r="O56" i="3"/>
  <c r="P42" i="3"/>
  <c r="L36" i="3"/>
  <c r="N152" i="7"/>
  <c r="J126" i="7"/>
  <c r="K116" i="7"/>
  <c r="F116" i="7"/>
  <c r="M115" i="7"/>
  <c r="G112" i="7"/>
  <c r="N100" i="7"/>
  <c r="E33" i="7"/>
  <c r="C181" i="6"/>
  <c r="F155" i="6"/>
  <c r="K128" i="6"/>
  <c r="F122" i="6"/>
  <c r="F119" i="6"/>
  <c r="O111" i="6"/>
  <c r="L103" i="6"/>
  <c r="M55" i="6"/>
  <c r="O48" i="6"/>
  <c r="O36" i="6"/>
  <c r="I21" i="6"/>
  <c r="K16" i="6"/>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Q68" i="3"/>
  <c r="L56" i="3"/>
  <c r="F44" i="3"/>
  <c r="N42" i="3"/>
  <c r="D36" i="3"/>
  <c r="P16" i="3"/>
  <c r="N14" i="3"/>
  <c r="H171" i="10"/>
  <c r="L141" i="10"/>
  <c r="D141" i="10"/>
  <c r="B25" i="10"/>
  <c r="M15" i="10"/>
  <c r="L13" i="10"/>
  <c r="J27" i="7"/>
  <c r="K167" i="7"/>
  <c r="I27" i="7"/>
  <c r="I175" i="7"/>
  <c r="K127" i="7"/>
  <c r="G175" i="7"/>
  <c r="F127" i="7"/>
  <c r="H94" i="7"/>
  <c r="K17" i="7"/>
  <c r="L97" i="7"/>
  <c r="J30" i="7"/>
  <c r="E97" i="7"/>
  <c r="O131" i="7"/>
  <c r="C97" i="7"/>
  <c r="M48"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G161" i="14"/>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B31" i="14"/>
  <c r="F29" i="14"/>
  <c r="D15" i="14"/>
  <c r="C13" i="14"/>
  <c r="I168" i="2"/>
  <c r="C166" i="2"/>
  <c r="D157" i="2"/>
  <c r="C147" i="2"/>
  <c r="D137" i="2"/>
  <c r="P128" i="2"/>
  <c r="L80" i="2"/>
  <c r="P76" i="2"/>
  <c r="I75" i="2"/>
  <c r="R68" i="2"/>
  <c r="D66" i="2"/>
  <c r="H52" i="2"/>
  <c r="H40" i="2"/>
  <c r="I32" i="2"/>
  <c r="S16" i="2"/>
  <c r="J188" i="3"/>
  <c r="M187" i="3"/>
  <c r="D187" i="3"/>
  <c r="O183" i="3"/>
  <c r="D183" i="3"/>
  <c r="B179" i="3"/>
  <c r="D178" i="3"/>
  <c r="O175" i="3"/>
  <c r="I172" i="3"/>
  <c r="N171" i="3"/>
  <c r="F171" i="3"/>
  <c r="Q168" i="3"/>
  <c r="O166" i="3"/>
  <c r="I163" i="3"/>
  <c r="P157" i="3"/>
  <c r="O135" i="3"/>
  <c r="D135" i="3"/>
  <c r="J129" i="3"/>
  <c r="P127" i="3"/>
  <c r="M122" i="3"/>
  <c r="Q108" i="3"/>
  <c r="C108" i="3"/>
  <c r="P103" i="3"/>
  <c r="J93" i="3"/>
  <c r="P87" i="3"/>
  <c r="I85" i="3"/>
  <c r="J82" i="3"/>
  <c r="M79" i="3"/>
  <c r="M71" i="3"/>
  <c r="G68" i="3"/>
  <c r="G64" i="3"/>
  <c r="F56" i="3"/>
  <c r="L48" i="3"/>
  <c r="N46" i="3"/>
  <c r="I42" i="3"/>
  <c r="F36" i="3"/>
  <c r="G32" i="3"/>
  <c r="N20" i="3"/>
  <c r="Q12" i="3"/>
  <c r="D12" i="3"/>
  <c r="M180" i="7"/>
  <c r="L177" i="7"/>
  <c r="B175" i="7"/>
  <c r="L171" i="7"/>
  <c r="M156" i="7"/>
  <c r="F154" i="7"/>
  <c r="M128" i="7"/>
  <c r="L113" i="7"/>
  <c r="M100" i="7"/>
  <c r="M96" i="7"/>
  <c r="D84" i="7"/>
  <c r="H84" i="7"/>
  <c r="H84" i="12" s="1"/>
  <c r="R191" i="2"/>
  <c r="Q173" i="2"/>
  <c r="L171" i="3"/>
  <c r="D171" i="3"/>
  <c r="G127" i="3"/>
  <c r="Q72" i="3"/>
  <c r="L189" i="7"/>
  <c r="F177" i="7"/>
  <c r="I171" i="7"/>
  <c r="L169" i="7"/>
  <c r="D156" i="7"/>
  <c r="I128" i="7"/>
  <c r="M118" i="7"/>
  <c r="G113" i="7"/>
  <c r="M112" i="7"/>
  <c r="G100" i="7"/>
  <c r="H96" i="7"/>
  <c r="B90" i="7"/>
  <c r="F90" i="7"/>
  <c r="L90" i="7"/>
  <c r="I191" i="2"/>
  <c r="Q188" i="2"/>
  <c r="S181" i="2"/>
  <c r="C173" i="2"/>
  <c r="R167" i="2"/>
  <c r="E3" i="21" s="1"/>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P68" i="3"/>
  <c r="L67" i="3"/>
  <c r="Q64" i="3"/>
  <c r="G59" i="3"/>
  <c r="P47" i="3"/>
  <c r="J28" i="3"/>
  <c r="H189" i="7"/>
  <c r="N181" i="7"/>
  <c r="E171" i="7"/>
  <c r="G136" i="7"/>
  <c r="E128" i="7"/>
  <c r="E118" i="7"/>
  <c r="E116" i="7"/>
  <c r="E113" i="7"/>
  <c r="S75" i="2"/>
  <c r="D100" i="7"/>
  <c r="B100" i="7"/>
  <c r="I100" i="7"/>
  <c r="C100" i="7"/>
  <c r="K100" i="7"/>
  <c r="C96" i="7"/>
  <c r="I96" i="7"/>
  <c r="D96" i="7"/>
  <c r="L96" i="7"/>
  <c r="G72" i="7"/>
  <c r="C72" i="7"/>
  <c r="O72" i="7"/>
  <c r="D72" i="7"/>
  <c r="I72" i="7"/>
  <c r="I12" i="10"/>
  <c r="L18" i="7"/>
  <c r="J10" i="7"/>
  <c r="I183" i="6"/>
  <c r="M183" i="12" s="1"/>
  <c r="K169" i="6"/>
  <c r="L52" i="6"/>
  <c r="M187" i="10"/>
  <c r="L133" i="10"/>
  <c r="H133" i="10"/>
  <c r="D133" i="10"/>
  <c r="O132" i="10"/>
  <c r="J132" i="10"/>
  <c r="E132" i="10"/>
  <c r="J125" i="10"/>
  <c r="N69" i="10"/>
  <c r="O68" i="10"/>
  <c r="L57" i="10"/>
  <c r="M49" i="10"/>
  <c r="I48" i="7"/>
  <c r="K33" i="7"/>
  <c r="F18" i="7"/>
  <c r="F10" i="7"/>
  <c r="E183" i="6"/>
  <c r="I169" i="6"/>
  <c r="O130" i="6"/>
  <c r="J97" i="6"/>
  <c r="I77" i="6"/>
  <c r="K52" i="6"/>
  <c r="R52" i="12" s="1"/>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M52" i="7"/>
  <c r="G48" i="7"/>
  <c r="G33" i="7"/>
  <c r="I21" i="7"/>
  <c r="B18" i="7"/>
  <c r="E10" i="7"/>
  <c r="L183" i="6"/>
  <c r="D183" i="6"/>
  <c r="I181" i="6"/>
  <c r="N177" i="6"/>
  <c r="K176" i="6"/>
  <c r="I170" i="6"/>
  <c r="C169" i="6"/>
  <c r="L131" i="6"/>
  <c r="K130" i="6"/>
  <c r="N122" i="6"/>
  <c r="H109" i="6"/>
  <c r="I108" i="6"/>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P69" i="5" s="1"/>
  <c r="K67" i="5"/>
  <c r="C65" i="5"/>
  <c r="I45" i="5"/>
  <c r="I44" i="5"/>
  <c r="N39" i="5"/>
  <c r="N31" i="5"/>
  <c r="I28" i="5"/>
  <c r="O143" i="5"/>
  <c r="K141" i="5"/>
  <c r="O111" i="5"/>
  <c r="K109" i="5"/>
  <c r="N105" i="5"/>
  <c r="O99" i="5"/>
  <c r="K97" i="5"/>
  <c r="O91" i="5"/>
  <c r="K89" i="5"/>
  <c r="O166" i="5"/>
  <c r="I161" i="5"/>
  <c r="O149" i="5"/>
  <c r="K143" i="5"/>
  <c r="C141" i="5"/>
  <c r="N131" i="5"/>
  <c r="N123" i="5"/>
  <c r="N122" i="5"/>
  <c r="K117" i="5"/>
  <c r="K111" i="5"/>
  <c r="C109" i="5"/>
  <c r="C105" i="5"/>
  <c r="N101" i="5"/>
  <c r="K99" i="5"/>
  <c r="C97" i="5"/>
  <c r="N93" i="5"/>
  <c r="K91" i="5"/>
  <c r="C89" i="5"/>
  <c r="C85" i="5"/>
  <c r="N81" i="5"/>
  <c r="P81" i="5" s="1"/>
  <c r="O77" i="5"/>
  <c r="K75" i="5"/>
  <c r="C73" i="5"/>
  <c r="C69" i="5"/>
  <c r="N65" i="5"/>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G13" i="14" s="1"/>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B137" i="14"/>
  <c r="C129" i="14"/>
  <c r="E126" i="14"/>
  <c r="E123" i="14"/>
  <c r="B95" i="14"/>
  <c r="E93" i="14"/>
  <c r="E17" i="14"/>
  <c r="E15" i="14"/>
  <c r="G15" i="14" s="1"/>
  <c r="E14" i="14"/>
  <c r="E12" i="14"/>
  <c r="C165" i="6"/>
  <c r="E165" i="6"/>
  <c r="B138" i="6"/>
  <c r="K138" i="6"/>
  <c r="G140" i="2"/>
  <c r="P120" i="2"/>
  <c r="E120" i="2"/>
  <c r="P48" i="2"/>
  <c r="E48" i="2"/>
  <c r="Q34" i="2"/>
  <c r="L182" i="3"/>
  <c r="M166" i="3"/>
  <c r="M157" i="3"/>
  <c r="N147" i="3"/>
  <c r="Q133" i="3"/>
  <c r="O104" i="3"/>
  <c r="I94" i="3"/>
  <c r="Q93" i="3"/>
  <c r="G93" i="3"/>
  <c r="Q92" i="3"/>
  <c r="G92" i="3"/>
  <c r="O85" i="3"/>
  <c r="G85" i="3"/>
  <c r="L47" i="3"/>
  <c r="P40" i="3"/>
  <c r="Q39" i="3"/>
  <c r="L128" i="7"/>
  <c r="H128" i="7"/>
  <c r="D128" i="7"/>
  <c r="I91" i="7"/>
  <c r="H70" i="7"/>
  <c r="O61" i="7"/>
  <c r="L165" i="6"/>
  <c r="O165" i="12" s="1"/>
  <c r="F165" i="6"/>
  <c r="C161" i="6"/>
  <c r="I161" i="6"/>
  <c r="F161" i="6"/>
  <c r="E112" i="6"/>
  <c r="L112" i="6"/>
  <c r="I112" i="6"/>
  <c r="C95" i="6"/>
  <c r="L95" i="6"/>
  <c r="E73" i="6"/>
  <c r="H73" i="6"/>
  <c r="B73" i="6"/>
  <c r="L73" i="6"/>
  <c r="I12" i="6"/>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H93" i="3" s="1"/>
  <c r="P92" i="3"/>
  <c r="F92" i="3"/>
  <c r="N85" i="3"/>
  <c r="C85" i="3"/>
  <c r="P72" i="3"/>
  <c r="L66" i="3"/>
  <c r="I47" i="3"/>
  <c r="L40" i="3"/>
  <c r="M39" i="3"/>
  <c r="Q24" i="3"/>
  <c r="M175" i="7"/>
  <c r="F175" i="7"/>
  <c r="L156" i="7"/>
  <c r="K153" i="7"/>
  <c r="K139" i="7"/>
  <c r="O128" i="7"/>
  <c r="K128" i="7"/>
  <c r="G128" i="7"/>
  <c r="C128" i="7"/>
  <c r="I93" i="7"/>
  <c r="O91" i="7"/>
  <c r="E91" i="7"/>
  <c r="N84" i="7"/>
  <c r="F70" i="7"/>
  <c r="L61" i="7"/>
  <c r="N27" i="7"/>
  <c r="F27" i="7"/>
  <c r="N26" i="7"/>
  <c r="M181" i="6"/>
  <c r="G181" i="6"/>
  <c r="M180" i="6"/>
  <c r="O169" i="6"/>
  <c r="G169" i="6"/>
  <c r="M168" i="6"/>
  <c r="F167" i="6"/>
  <c r="J165" i="6"/>
  <c r="D165" i="6"/>
  <c r="E128" i="6"/>
  <c r="H128" i="6"/>
  <c r="G128" i="6"/>
  <c r="B101" i="6"/>
  <c r="F101" i="6"/>
  <c r="I101" i="6"/>
  <c r="E101" i="6"/>
  <c r="N101" i="6"/>
  <c r="I72" i="6"/>
  <c r="K72" i="6"/>
  <c r="N72" i="12" s="1"/>
  <c r="G72" i="6"/>
  <c r="C44" i="6"/>
  <c r="G44" i="6"/>
  <c r="H44" i="6"/>
  <c r="E44" i="6"/>
  <c r="M44" i="6"/>
  <c r="I31" i="6"/>
  <c r="O31" i="6"/>
  <c r="G31" i="6"/>
  <c r="I177" i="10"/>
  <c r="H177" i="10"/>
  <c r="B149" i="10"/>
  <c r="K149" i="10"/>
  <c r="F149" i="10"/>
  <c r="G120" i="2"/>
  <c r="I173" i="2"/>
  <c r="M147" i="2"/>
  <c r="L144" i="2"/>
  <c r="I184" i="2"/>
  <c r="I182" i="2"/>
  <c r="D175" i="2"/>
  <c r="S173" i="2"/>
  <c r="E173" i="2"/>
  <c r="H147" i="2"/>
  <c r="L145" i="2"/>
  <c r="L143" i="2"/>
  <c r="H140" i="2"/>
  <c r="R128" i="2"/>
  <c r="E128" i="2"/>
  <c r="L126" i="2"/>
  <c r="S120" i="2"/>
  <c r="I120" i="2"/>
  <c r="B120" i="2"/>
  <c r="L117" i="2"/>
  <c r="E104" i="2"/>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M188" i="7"/>
  <c r="H183" i="7"/>
  <c r="K175" i="7"/>
  <c r="O168" i="7"/>
  <c r="H153" i="7"/>
  <c r="N146" i="7"/>
  <c r="G139" i="7"/>
  <c r="N128" i="7"/>
  <c r="J128" i="7"/>
  <c r="F128" i="7"/>
  <c r="L118" i="7"/>
  <c r="H113" i="7"/>
  <c r="O108" i="7"/>
  <c r="O100" i="7"/>
  <c r="J100" i="7"/>
  <c r="E100" i="7"/>
  <c r="K97" i="7"/>
  <c r="J97" i="12" s="1"/>
  <c r="J94" i="7"/>
  <c r="D93" i="7"/>
  <c r="K91" i="7"/>
  <c r="I84" i="7"/>
  <c r="H72" i="7"/>
  <c r="N71" i="7"/>
  <c r="M70" i="7"/>
  <c r="E70" i="7"/>
  <c r="I61" i="7"/>
  <c r="K27" i="7"/>
  <c r="E27" i="7"/>
  <c r="L26" i="7"/>
  <c r="K21" i="7"/>
  <c r="O17" i="7"/>
  <c r="L181" i="6"/>
  <c r="D181" i="6"/>
  <c r="I180" i="6"/>
  <c r="M169" i="6"/>
  <c r="E169" i="6"/>
  <c r="I168" i="6"/>
  <c r="L167" i="6"/>
  <c r="E167" i="6"/>
  <c r="N165" i="6"/>
  <c r="I165" i="6"/>
  <c r="Q165" i="12" s="1"/>
  <c r="B165" i="6"/>
  <c r="B114" i="6"/>
  <c r="G114" i="6"/>
  <c r="E114" i="6"/>
  <c r="C71" i="6"/>
  <c r="K71" i="6"/>
  <c r="O71" i="6"/>
  <c r="G71" i="6"/>
  <c r="D69" i="6"/>
  <c r="I69" i="6"/>
  <c r="N69" i="6"/>
  <c r="E69" i="6"/>
  <c r="J69" i="6"/>
  <c r="B69" i="6"/>
  <c r="H69" i="6"/>
  <c r="M69" i="6"/>
  <c r="B41" i="6"/>
  <c r="I41" i="6"/>
  <c r="N41" i="6"/>
  <c r="H41" i="6"/>
  <c r="E27" i="6"/>
  <c r="I27" i="6"/>
  <c r="K27" i="6"/>
  <c r="G27" i="6"/>
  <c r="C166" i="10"/>
  <c r="G166" i="10"/>
  <c r="K166" i="10"/>
  <c r="E166" i="10"/>
  <c r="B148" i="10"/>
  <c r="G148" i="10"/>
  <c r="N148" i="10"/>
  <c r="C148" i="10"/>
  <c r="I122" i="6"/>
  <c r="I111" i="6"/>
  <c r="N109" i="6"/>
  <c r="I109" i="6"/>
  <c r="M109" i="12" s="1"/>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L103" i="12" s="1"/>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C117" i="5"/>
  <c r="K151" i="5"/>
  <c r="K149" i="5"/>
  <c r="N139" i="5"/>
  <c r="O127" i="5"/>
  <c r="I125" i="5"/>
  <c r="C125" i="5"/>
  <c r="N125" i="5"/>
  <c r="O87" i="5"/>
  <c r="K85" i="5"/>
  <c r="O79" i="5"/>
  <c r="K77" i="5"/>
  <c r="O71" i="5"/>
  <c r="K69" i="5"/>
  <c r="O63" i="5"/>
  <c r="N46" i="5"/>
  <c r="O42" i="5"/>
  <c r="P42" i="5" s="1"/>
  <c r="N32" i="5"/>
  <c r="N28" i="5"/>
  <c r="C26" i="5"/>
  <c r="I21" i="5"/>
  <c r="O18" i="5"/>
  <c r="N14" i="5"/>
  <c r="O10" i="5"/>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G125" i="14"/>
  <c r="D115" i="14"/>
  <c r="C113" i="14"/>
  <c r="E55" i="14"/>
  <c r="F52" i="14"/>
  <c r="E39" i="14"/>
  <c r="E37" i="14"/>
  <c r="F4" i="21" s="1"/>
  <c r="D33" i="14"/>
  <c r="F31" i="14"/>
  <c r="D29" i="14"/>
  <c r="F11" i="14"/>
  <c r="E9" i="14"/>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G149" i="14" s="1"/>
  <c r="B148" i="14"/>
  <c r="G129" i="14"/>
  <c r="B127" i="14"/>
  <c r="B115" i="14"/>
  <c r="F113" i="14"/>
  <c r="B113" i="14"/>
  <c r="G113" i="14" s="1"/>
  <c r="F111" i="14"/>
  <c r="E109" i="14"/>
  <c r="G109" i="14" s="1"/>
  <c r="F107" i="14"/>
  <c r="E97" i="14"/>
  <c r="E95" i="14"/>
  <c r="E94" i="14"/>
  <c r="D59" i="14"/>
  <c r="D55" i="14"/>
  <c r="E53" i="14"/>
  <c r="E52" i="14"/>
  <c r="G41" i="14"/>
  <c r="B39" i="14"/>
  <c r="C37" i="14"/>
  <c r="B33" i="14"/>
  <c r="E31" i="14"/>
  <c r="B29" i="14"/>
  <c r="F27" i="14"/>
  <c r="E20" i="14"/>
  <c r="D11" i="14"/>
  <c r="C9" i="14"/>
  <c r="E7" i="14"/>
  <c r="E80" i="13"/>
  <c r="G38" i="13"/>
  <c r="E156" i="14"/>
  <c r="F148" i="14"/>
  <c r="F127" i="14"/>
  <c r="E115" i="14"/>
  <c r="G107" i="14"/>
  <c r="F39" i="14"/>
  <c r="E33" i="14"/>
  <c r="E29" i="14"/>
  <c r="P191" i="2"/>
  <c r="H191" i="2"/>
  <c r="Q190" i="2"/>
  <c r="S189" i="2"/>
  <c r="C184" i="2"/>
  <c r="M182" i="2"/>
  <c r="S177" i="2"/>
  <c r="C177" i="2"/>
  <c r="R173" i="2"/>
  <c r="L173" i="2"/>
  <c r="D173" i="2"/>
  <c r="Q172" i="2"/>
  <c r="I158" i="2"/>
  <c r="C158" i="2"/>
  <c r="S158" i="2"/>
  <c r="L155" i="2"/>
  <c r="D134" i="2"/>
  <c r="L134" i="2"/>
  <c r="I131" i="2"/>
  <c r="C127" i="2"/>
  <c r="I119" i="2"/>
  <c r="Q119" i="2"/>
  <c r="C112" i="2"/>
  <c r="L112" i="2"/>
  <c r="R112" i="2"/>
  <c r="R92" i="2"/>
  <c r="Q88" i="2"/>
  <c r="I65" i="2"/>
  <c r="L65" i="2"/>
  <c r="Q65" i="2"/>
  <c r="R36" i="2"/>
  <c r="I33" i="2"/>
  <c r="Q33" i="2"/>
  <c r="I27" i="2"/>
  <c r="Q181" i="3"/>
  <c r="I154" i="3"/>
  <c r="M154" i="3"/>
  <c r="P154" i="3"/>
  <c r="D145" i="3"/>
  <c r="I145" i="3"/>
  <c r="Q145" i="3"/>
  <c r="B144" i="3"/>
  <c r="M144" i="3"/>
  <c r="F144" i="3"/>
  <c r="N144" i="3"/>
  <c r="L141" i="3"/>
  <c r="I141" i="3"/>
  <c r="P141" i="3"/>
  <c r="I134" i="3"/>
  <c r="C134" i="3"/>
  <c r="P134" i="3"/>
  <c r="G134" i="3"/>
  <c r="L134" i="3"/>
  <c r="C121" i="3"/>
  <c r="D121" i="3"/>
  <c r="E121" i="3" s="1"/>
  <c r="J121" i="3"/>
  <c r="N121" i="3"/>
  <c r="F106" i="3"/>
  <c r="D106" i="3"/>
  <c r="Q106" i="3"/>
  <c r="I106" i="3"/>
  <c r="L106" i="3"/>
  <c r="L84" i="3"/>
  <c r="P84" i="3"/>
  <c r="D76" i="3"/>
  <c r="J76" i="3"/>
  <c r="L76" i="3"/>
  <c r="I138" i="2"/>
  <c r="D138" i="2"/>
  <c r="L138" i="2"/>
  <c r="L90" i="2"/>
  <c r="D90" i="2"/>
  <c r="Q90" i="2"/>
  <c r="C72" i="2"/>
  <c r="I72" i="2"/>
  <c r="Q72" i="2"/>
  <c r="I39" i="2"/>
  <c r="Q39" i="2"/>
  <c r="C36" i="2"/>
  <c r="D36" i="2"/>
  <c r="M36" i="2"/>
  <c r="E36" i="2"/>
  <c r="P36" i="2"/>
  <c r="L189" i="3"/>
  <c r="F189" i="3"/>
  <c r="Q189" i="3"/>
  <c r="C188" i="3"/>
  <c r="M188" i="3"/>
  <c r="F188" i="3"/>
  <c r="N188" i="3"/>
  <c r="C125" i="3"/>
  <c r="B125" i="3"/>
  <c r="M125" i="3"/>
  <c r="F125" i="3"/>
  <c r="N125" i="3"/>
  <c r="I125" i="3"/>
  <c r="P125" i="3"/>
  <c r="D78" i="3"/>
  <c r="L78" i="3"/>
  <c r="M191" i="2"/>
  <c r="D191" i="2"/>
  <c r="M190" i="2"/>
  <c r="M189" i="2"/>
  <c r="Q178" i="2"/>
  <c r="Q177" i="2"/>
  <c r="L191" i="2"/>
  <c r="B191" i="2"/>
  <c r="C190" i="2"/>
  <c r="E189" i="2"/>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153" i="2"/>
  <c r="C107" i="2"/>
  <c r="I107" i="2"/>
  <c r="S107" i="2"/>
  <c r="D93" i="2"/>
  <c r="I93" i="2"/>
  <c r="L93" i="2"/>
  <c r="D92" i="2"/>
  <c r="B92" i="2"/>
  <c r="M92" i="2"/>
  <c r="E92" i="2"/>
  <c r="Q92" i="2"/>
  <c r="B88" i="2"/>
  <c r="E88" i="2"/>
  <c r="S88" i="2"/>
  <c r="I88" i="2"/>
  <c r="I79" i="2"/>
  <c r="Q79" i="2"/>
  <c r="D60" i="2"/>
  <c r="C60" i="2"/>
  <c r="I60" i="2"/>
  <c r="Q49" i="2"/>
  <c r="D49" i="2"/>
  <c r="H36" i="2"/>
  <c r="L10" i="2"/>
  <c r="P10" i="2"/>
  <c r="M126" i="3"/>
  <c r="I126" i="3"/>
  <c r="Q126" i="3"/>
  <c r="D119" i="3"/>
  <c r="C119" i="3"/>
  <c r="N119" i="3"/>
  <c r="F119" i="3"/>
  <c r="P119" i="3"/>
  <c r="I119" i="3"/>
  <c r="B101" i="3"/>
  <c r="I101" i="3"/>
  <c r="J101" i="3"/>
  <c r="M179" i="7"/>
  <c r="E179" i="7"/>
  <c r="B176" i="7"/>
  <c r="O176" i="7"/>
  <c r="C165" i="7"/>
  <c r="E165" i="7"/>
  <c r="C161" i="7"/>
  <c r="H161" i="7"/>
  <c r="C157" i="7"/>
  <c r="L157" i="7"/>
  <c r="D152" i="7"/>
  <c r="E152" i="7"/>
  <c r="J152" i="7"/>
  <c r="O152" i="7"/>
  <c r="C145" i="7"/>
  <c r="G145" i="7"/>
  <c r="D136" i="7"/>
  <c r="C136" i="7"/>
  <c r="I136" i="7"/>
  <c r="N136" i="7"/>
  <c r="C120" i="7"/>
  <c r="G120" i="7"/>
  <c r="L120" i="7"/>
  <c r="C109" i="7"/>
  <c r="D109" i="7"/>
  <c r="O109" i="7"/>
  <c r="G109" i="7"/>
  <c r="B107" i="7"/>
  <c r="N107" i="7"/>
  <c r="C75" i="7"/>
  <c r="B75" i="7"/>
  <c r="G75" i="7"/>
  <c r="I75" i="7"/>
  <c r="E36" i="7"/>
  <c r="C36" i="7"/>
  <c r="I36" i="7"/>
  <c r="K36" i="7"/>
  <c r="E13" i="7"/>
  <c r="G13" i="7"/>
  <c r="I13" i="7"/>
  <c r="K13" i="7"/>
  <c r="B187" i="6"/>
  <c r="M187" i="6"/>
  <c r="F187" i="6"/>
  <c r="H187" i="6"/>
  <c r="M172" i="6"/>
  <c r="A172" i="7"/>
  <c r="I172" i="7" s="1"/>
  <c r="I164" i="6"/>
  <c r="Q164" i="12" s="1"/>
  <c r="K164" i="6"/>
  <c r="A164" i="7"/>
  <c r="B147" i="6"/>
  <c r="F147" i="6"/>
  <c r="I147" i="6"/>
  <c r="L147" i="6"/>
  <c r="B135" i="6"/>
  <c r="F135" i="6"/>
  <c r="J135" i="6"/>
  <c r="N135" i="6"/>
  <c r="C135" i="6"/>
  <c r="G135" i="6"/>
  <c r="K135" i="6"/>
  <c r="O135" i="6"/>
  <c r="D135" i="6"/>
  <c r="H135" i="6"/>
  <c r="L135" i="6"/>
  <c r="B125" i="6"/>
  <c r="E125" i="6"/>
  <c r="H125" i="6"/>
  <c r="J125" i="6"/>
  <c r="A125" i="7"/>
  <c r="E54" i="6"/>
  <c r="J54" i="6"/>
  <c r="A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N140" i="2" s="1"/>
  <c r="O140" i="2" s="1"/>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C71" i="3"/>
  <c r="G69" i="3"/>
  <c r="N68" i="3"/>
  <c r="C68" i="3"/>
  <c r="E68" i="3" s="1"/>
  <c r="D67" i="3"/>
  <c r="N64" i="3"/>
  <c r="C64" i="3"/>
  <c r="F57" i="3"/>
  <c r="M53" i="3"/>
  <c r="Q48" i="3"/>
  <c r="G48" i="3"/>
  <c r="L46" i="3"/>
  <c r="O45" i="3"/>
  <c r="O40" i="3"/>
  <c r="J40" i="3"/>
  <c r="D40" i="3"/>
  <c r="N36" i="3"/>
  <c r="I36" i="3"/>
  <c r="C36" i="3"/>
  <c r="O35" i="3"/>
  <c r="P34" i="3"/>
  <c r="M32" i="3"/>
  <c r="F32" i="3"/>
  <c r="O31" i="3"/>
  <c r="P28" i="3"/>
  <c r="G28" i="3"/>
  <c r="I25" i="3"/>
  <c r="P24" i="3"/>
  <c r="G24" i="3"/>
  <c r="I20" i="3"/>
  <c r="O19" i="3"/>
  <c r="N16" i="3"/>
  <c r="L14" i="3"/>
  <c r="O13" i="3"/>
  <c r="L7" i="3"/>
  <c r="F189" i="7"/>
  <c r="A187" i="7"/>
  <c r="M186" i="7"/>
  <c r="M181" i="7"/>
  <c r="E180" i="7"/>
  <c r="C177" i="7"/>
  <c r="J177" i="7"/>
  <c r="D175" i="7"/>
  <c r="E175" i="7"/>
  <c r="J175" i="7"/>
  <c r="O175" i="7"/>
  <c r="M171" i="7"/>
  <c r="J169" i="7"/>
  <c r="G168" i="7"/>
  <c r="I161" i="7"/>
  <c r="B156" i="7"/>
  <c r="I156" i="7"/>
  <c r="E153" i="7"/>
  <c r="M152" i="7"/>
  <c r="F152" i="7"/>
  <c r="J148" i="7"/>
  <c r="L144" i="7"/>
  <c r="N139" i="7"/>
  <c r="F139" i="7"/>
  <c r="M137" i="7"/>
  <c r="M136" i="7"/>
  <c r="F136" i="7"/>
  <c r="A135" i="7"/>
  <c r="B135" i="7" s="1"/>
  <c r="K132" i="7"/>
  <c r="C129" i="7"/>
  <c r="K129" i="7"/>
  <c r="L129" i="7"/>
  <c r="F114" i="7"/>
  <c r="E112" i="7"/>
  <c r="C112" i="7"/>
  <c r="I112" i="7"/>
  <c r="D112" i="7"/>
  <c r="L112" i="7"/>
  <c r="E99" i="7"/>
  <c r="M99" i="7"/>
  <c r="J83" i="7"/>
  <c r="B83" i="7"/>
  <c r="C81" i="7"/>
  <c r="H81" i="7"/>
  <c r="M81" i="7"/>
  <c r="D81" i="7"/>
  <c r="I81" i="7"/>
  <c r="O81" i="7"/>
  <c r="E81" i="7"/>
  <c r="K81" i="7"/>
  <c r="B63" i="7"/>
  <c r="F63" i="7"/>
  <c r="K63" i="7"/>
  <c r="E46" i="7"/>
  <c r="B46" i="7"/>
  <c r="M46" i="7"/>
  <c r="F46" i="7"/>
  <c r="H46" i="7"/>
  <c r="E150" i="6"/>
  <c r="A150" i="7"/>
  <c r="M135" i="6"/>
  <c r="I66" i="6"/>
  <c r="A66" i="7"/>
  <c r="M66" i="7" s="1"/>
  <c r="C62" i="6"/>
  <c r="A62" i="7"/>
  <c r="B13" i="6"/>
  <c r="F13" i="6"/>
  <c r="J13" i="6"/>
  <c r="N13" i="6"/>
  <c r="C13" i="6"/>
  <c r="G13" i="6"/>
  <c r="K13" i="6"/>
  <c r="O13" i="6"/>
  <c r="D13" i="6"/>
  <c r="L13" i="6"/>
  <c r="E13" i="6"/>
  <c r="M13" i="6"/>
  <c r="H13" i="6"/>
  <c r="D175" i="10"/>
  <c r="N175" i="10"/>
  <c r="I175" i="10"/>
  <c r="G162" i="10"/>
  <c r="D162" i="10"/>
  <c r="I162" i="10"/>
  <c r="O162" i="10"/>
  <c r="C105" i="10"/>
  <c r="B105" i="10"/>
  <c r="H105" i="10"/>
  <c r="M105" i="10"/>
  <c r="D105" i="10"/>
  <c r="I105" i="10"/>
  <c r="N105" i="10"/>
  <c r="E105" i="10"/>
  <c r="F105" i="10"/>
  <c r="J105" i="10"/>
  <c r="L105" i="10"/>
  <c r="M102" i="10"/>
  <c r="E102" i="10"/>
  <c r="R120" i="2"/>
  <c r="L120" i="2"/>
  <c r="L104" i="2"/>
  <c r="R80" i="2"/>
  <c r="L143" i="3"/>
  <c r="N136" i="3"/>
  <c r="P133" i="3"/>
  <c r="L130" i="3"/>
  <c r="J127" i="3"/>
  <c r="C122" i="3"/>
  <c r="Q117" i="3"/>
  <c r="C117" i="3"/>
  <c r="N112" i="3"/>
  <c r="C112" i="3"/>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L62" i="5"/>
  <c r="M189" i="7"/>
  <c r="E189" i="7"/>
  <c r="F181" i="7"/>
  <c r="I176" i="7"/>
  <c r="I176" i="12" s="1"/>
  <c r="B171" i="7"/>
  <c r="H171" i="7"/>
  <c r="E169" i="7"/>
  <c r="L165" i="7"/>
  <c r="D161" i="7"/>
  <c r="B158" i="7"/>
  <c r="L153" i="7"/>
  <c r="K152" i="7"/>
  <c r="C152" i="7"/>
  <c r="B151" i="7"/>
  <c r="K151" i="7"/>
  <c r="A147" i="7"/>
  <c r="B146" i="7"/>
  <c r="F146" i="7"/>
  <c r="M139" i="7"/>
  <c r="K136" i="7"/>
  <c r="E136" i="7"/>
  <c r="F126" i="7"/>
  <c r="B126" i="7"/>
  <c r="L126" i="7"/>
  <c r="E126" i="7"/>
  <c r="B123" i="7"/>
  <c r="E123" i="7"/>
  <c r="O123" i="7"/>
  <c r="F123" i="7"/>
  <c r="L121" i="7"/>
  <c r="C119" i="7"/>
  <c r="F119" i="7"/>
  <c r="L109" i="7"/>
  <c r="C77" i="7"/>
  <c r="D77" i="7"/>
  <c r="O77" i="7"/>
  <c r="G77" i="7"/>
  <c r="I77" i="7"/>
  <c r="C8" i="7"/>
  <c r="D8" i="7"/>
  <c r="J8" i="7"/>
  <c r="E8" i="7"/>
  <c r="L8" i="7"/>
  <c r="F8" i="7"/>
  <c r="N8" i="7"/>
  <c r="E185" i="6"/>
  <c r="I185" i="6"/>
  <c r="M185" i="6"/>
  <c r="B141" i="6"/>
  <c r="L141" i="6"/>
  <c r="A141" i="7"/>
  <c r="I135" i="6"/>
  <c r="Q135" i="12" s="1"/>
  <c r="C76" i="6"/>
  <c r="O76" i="6"/>
  <c r="A76" i="7"/>
  <c r="F15" i="6"/>
  <c r="L15" i="6"/>
  <c r="A15" i="7"/>
  <c r="C15" i="7" s="1"/>
  <c r="C168" i="10"/>
  <c r="B168" i="10"/>
  <c r="K168" i="10"/>
  <c r="E168" i="10"/>
  <c r="O168" i="10"/>
  <c r="G168" i="10"/>
  <c r="J168" i="10"/>
  <c r="L51" i="3"/>
  <c r="F49" i="3"/>
  <c r="M48" i="3"/>
  <c r="B48" i="3"/>
  <c r="Q46" i="3"/>
  <c r="D46" i="3"/>
  <c r="B45" i="3"/>
  <c r="Q40" i="3"/>
  <c r="M40" i="3"/>
  <c r="G40" i="3"/>
  <c r="H40" i="3" s="1"/>
  <c r="P32" i="3"/>
  <c r="J32" i="3"/>
  <c r="L28" i="3"/>
  <c r="L26" i="3"/>
  <c r="L24" i="3"/>
  <c r="P20" i="3"/>
  <c r="B20" i="3"/>
  <c r="Q14" i="3"/>
  <c r="D14" i="3"/>
  <c r="P7" i="3"/>
  <c r="I182" i="7"/>
  <c r="E182" i="7"/>
  <c r="B180" i="7"/>
  <c r="K180" i="7"/>
  <c r="G176" i="7"/>
  <c r="E170" i="7"/>
  <c r="M170" i="7"/>
  <c r="F165" i="7"/>
  <c r="I163" i="7"/>
  <c r="N161" i="7"/>
  <c r="B161" i="7"/>
  <c r="G153" i="7"/>
  <c r="M153" i="7"/>
  <c r="I152" i="7"/>
  <c r="B152" i="7"/>
  <c r="E148" i="7"/>
  <c r="B148" i="7"/>
  <c r="L145" i="7"/>
  <c r="B144" i="7"/>
  <c r="D144" i="7"/>
  <c r="E139" i="7"/>
  <c r="B139" i="7"/>
  <c r="I139" i="7"/>
  <c r="C137" i="7"/>
  <c r="H137" i="7"/>
  <c r="J136" i="7"/>
  <c r="B136" i="7"/>
  <c r="B134" i="7"/>
  <c r="L134" i="7"/>
  <c r="D132" i="7"/>
  <c r="E132" i="7"/>
  <c r="O132" i="7"/>
  <c r="F132" i="7"/>
  <c r="L130" i="7"/>
  <c r="I109" i="7"/>
  <c r="C107" i="7"/>
  <c r="H104" i="7"/>
  <c r="D86" i="7"/>
  <c r="B86" i="7"/>
  <c r="M86" i="7"/>
  <c r="F86" i="7"/>
  <c r="H86" i="7"/>
  <c r="N75" i="7"/>
  <c r="D68" i="7"/>
  <c r="E68" i="7"/>
  <c r="I68" i="7"/>
  <c r="M68" i="7"/>
  <c r="C37" i="7"/>
  <c r="D37" i="7"/>
  <c r="I37" i="7"/>
  <c r="L37" i="7"/>
  <c r="B14" i="7"/>
  <c r="H14" i="7"/>
  <c r="L187" i="6"/>
  <c r="K160" i="6"/>
  <c r="A160" i="7"/>
  <c r="I160" i="7" s="1"/>
  <c r="B152" i="6"/>
  <c r="I152" i="6"/>
  <c r="E135" i="6"/>
  <c r="F110" i="6"/>
  <c r="I110" i="6"/>
  <c r="K110" i="6"/>
  <c r="A110" i="7"/>
  <c r="C110" i="7" s="1"/>
  <c r="I102" i="6"/>
  <c r="A102" i="7"/>
  <c r="C87" i="6"/>
  <c r="H87" i="6"/>
  <c r="M87" i="6"/>
  <c r="D87" i="6"/>
  <c r="I87" i="6"/>
  <c r="O87" i="6"/>
  <c r="E87" i="6"/>
  <c r="G87" i="6"/>
  <c r="A87" i="7"/>
  <c r="F87" i="7" s="1"/>
  <c r="K87" i="6"/>
  <c r="R87" i="12" s="1"/>
  <c r="E83" i="6"/>
  <c r="G83" i="6"/>
  <c r="I83" i="6"/>
  <c r="C83" i="6"/>
  <c r="K83" i="6"/>
  <c r="O83" i="6"/>
  <c r="B51" i="6"/>
  <c r="G51" i="6"/>
  <c r="M51" i="6"/>
  <c r="C51" i="6"/>
  <c r="I51" i="6"/>
  <c r="N51" i="6"/>
  <c r="E51" i="6"/>
  <c r="O51" i="6"/>
  <c r="F51" i="6"/>
  <c r="J51" i="6"/>
  <c r="E28" i="6"/>
  <c r="A28" i="7"/>
  <c r="K173" i="10"/>
  <c r="F98" i="7"/>
  <c r="E94" i="7"/>
  <c r="E89" i="7"/>
  <c r="B84" i="7"/>
  <c r="F80" i="7"/>
  <c r="C73" i="7"/>
  <c r="J70" i="7"/>
  <c r="K65" i="7"/>
  <c r="D61" i="7"/>
  <c r="L52" i="7"/>
  <c r="F42" i="7"/>
  <c r="J35" i="7"/>
  <c r="O33" i="7"/>
  <c r="I33" i="7"/>
  <c r="D33" i="7"/>
  <c r="K31" i="7"/>
  <c r="M27" i="7"/>
  <c r="G27" i="7"/>
  <c r="I26" i="7"/>
  <c r="O21" i="7"/>
  <c r="C21" i="7"/>
  <c r="I17" i="7"/>
  <c r="M12" i="7"/>
  <c r="N10" i="7"/>
  <c r="I10" i="7"/>
  <c r="D10" i="7"/>
  <c r="K7" i="7"/>
  <c r="G180" i="6"/>
  <c r="M177" i="6"/>
  <c r="E177" i="6"/>
  <c r="I176" i="6"/>
  <c r="I175" i="6"/>
  <c r="O173" i="6"/>
  <c r="H171" i="6"/>
  <c r="L163" i="6"/>
  <c r="L161" i="6"/>
  <c r="E161" i="6"/>
  <c r="N155" i="6"/>
  <c r="I155" i="6"/>
  <c r="D155" i="6"/>
  <c r="M153" i="6"/>
  <c r="L151" i="6"/>
  <c r="M149" i="6"/>
  <c r="I138" i="6"/>
  <c r="G132" i="6"/>
  <c r="E130" i="6"/>
  <c r="M128" i="6"/>
  <c r="C128" i="6"/>
  <c r="M122" i="6"/>
  <c r="B122" i="6"/>
  <c r="H120" i="6"/>
  <c r="N119" i="6"/>
  <c r="I119" i="6"/>
  <c r="M119" i="12" s="1"/>
  <c r="C119" i="6"/>
  <c r="G112" i="6"/>
  <c r="N111" i="6"/>
  <c r="C96" i="6"/>
  <c r="O96" i="6"/>
  <c r="G96" i="6"/>
  <c r="G80" i="6"/>
  <c r="K80" i="6"/>
  <c r="E59" i="6"/>
  <c r="J59" i="6"/>
  <c r="L59" i="6"/>
  <c r="L56" i="6"/>
  <c r="O56" i="12" s="1"/>
  <c r="D56" i="6"/>
  <c r="I56" i="6"/>
  <c r="F42" i="6"/>
  <c r="I42" i="6"/>
  <c r="H36" i="6"/>
  <c r="C31" i="6"/>
  <c r="K31" i="6"/>
  <c r="E31" i="6"/>
  <c r="M31" i="6"/>
  <c r="H29" i="6"/>
  <c r="G18" i="6"/>
  <c r="L18" i="6"/>
  <c r="O18" i="12" s="1"/>
  <c r="C9" i="6"/>
  <c r="I9" i="6"/>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J118" i="7"/>
  <c r="L100" i="7"/>
  <c r="H100" i="7"/>
  <c r="H100" i="12" s="1"/>
  <c r="D98" i="7"/>
  <c r="H97" i="7"/>
  <c r="L94" i="7"/>
  <c r="B94" i="7"/>
  <c r="L89" i="7"/>
  <c r="C89" i="7"/>
  <c r="C65" i="7"/>
  <c r="G57" i="7"/>
  <c r="B52" i="7"/>
  <c r="L49" i="7"/>
  <c r="L38" i="7"/>
  <c r="M33" i="7"/>
  <c r="H33" i="7"/>
  <c r="I31" i="7"/>
  <c r="C17" i="7"/>
  <c r="I12" i="7"/>
  <c r="M10" i="7"/>
  <c r="H10" i="7"/>
  <c r="B10" i="7"/>
  <c r="N183" i="6"/>
  <c r="F183" i="6"/>
  <c r="K181" i="6"/>
  <c r="E181" i="6"/>
  <c r="O180" i="6"/>
  <c r="E180" i="6"/>
  <c r="J177" i="6"/>
  <c r="F175" i="6"/>
  <c r="J161" i="6"/>
  <c r="D161" i="6"/>
  <c r="M155" i="6"/>
  <c r="H155" i="6"/>
  <c r="I139" i="6"/>
  <c r="F138" i="6"/>
  <c r="L133" i="6"/>
  <c r="K123" i="6"/>
  <c r="G120" i="6"/>
  <c r="M119" i="6"/>
  <c r="G119" i="6"/>
  <c r="O112" i="6"/>
  <c r="B111" i="6"/>
  <c r="E111" i="6"/>
  <c r="K111" i="6"/>
  <c r="C99" i="6"/>
  <c r="G99" i="6"/>
  <c r="K99" i="6"/>
  <c r="B93" i="6"/>
  <c r="F93" i="6"/>
  <c r="L93" i="6"/>
  <c r="O93" i="12" s="1"/>
  <c r="E81" i="6"/>
  <c r="L81" i="6"/>
  <c r="I68" i="6"/>
  <c r="O68" i="6"/>
  <c r="C52" i="6"/>
  <c r="H52" i="6"/>
  <c r="M52" i="6"/>
  <c r="D52" i="6"/>
  <c r="I52" i="6"/>
  <c r="O52" i="6"/>
  <c r="F50" i="6"/>
  <c r="I50" i="6"/>
  <c r="M50" i="12" s="1"/>
  <c r="E41" i="6"/>
  <c r="D41" i="6"/>
  <c r="L41" i="6"/>
  <c r="F41" i="6"/>
  <c r="M41" i="6"/>
  <c r="F34" i="6"/>
  <c r="C17" i="6"/>
  <c r="D17" i="6"/>
  <c r="L17" i="6"/>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6"/>
  <c r="O119" i="12" s="1"/>
  <c r="C112" i="6"/>
  <c r="D112" i="6"/>
  <c r="K112" i="6"/>
  <c r="D85" i="6"/>
  <c r="I85" i="6"/>
  <c r="N85" i="6"/>
  <c r="I63" i="6"/>
  <c r="M63" i="6"/>
  <c r="H60" i="6"/>
  <c r="L60" i="6"/>
  <c r="E36" i="6"/>
  <c r="C36" i="6"/>
  <c r="L36" i="5" s="1"/>
  <c r="I36" i="6"/>
  <c r="D36" i="6"/>
  <c r="L36" i="6"/>
  <c r="E30" i="6"/>
  <c r="I30" i="6"/>
  <c r="C29" i="6"/>
  <c r="B29" i="6"/>
  <c r="J29" i="6"/>
  <c r="E29" i="6"/>
  <c r="L29" i="6"/>
  <c r="I20" i="6"/>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O27" i="6"/>
  <c r="C27" i="6"/>
  <c r="H25" i="6"/>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N8" i="5"/>
  <c r="C54" i="8"/>
  <c r="E54" i="8"/>
  <c r="C30" i="8"/>
  <c r="E30" i="8"/>
  <c r="C14" i="8"/>
  <c r="E14" i="8"/>
  <c r="G14" i="8"/>
  <c r="C10" i="8"/>
  <c r="F10" i="8"/>
  <c r="D181" i="11"/>
  <c r="F181" i="11"/>
  <c r="L171" i="11"/>
  <c r="C170" i="11"/>
  <c r="M170" i="11"/>
  <c r="E170" i="11"/>
  <c r="D161" i="11"/>
  <c r="F161" i="11"/>
  <c r="C158" i="11"/>
  <c r="K158" i="11"/>
  <c r="I149" i="11"/>
  <c r="K149" i="11"/>
  <c r="F149" i="11"/>
  <c r="E135" i="3"/>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G29" i="14"/>
  <c r="I60" i="11"/>
  <c r="I53" i="11"/>
  <c r="E151" i="12"/>
  <c r="F109" i="12"/>
  <c r="E99" i="12"/>
  <c r="E87" i="12"/>
  <c r="F63" i="12"/>
  <c r="G49" i="12"/>
  <c r="E40" i="12"/>
  <c r="C126" i="13"/>
  <c r="B122" i="13"/>
  <c r="G52" i="14"/>
  <c r="G9" i="14"/>
  <c r="G183" i="14"/>
  <c r="Q189" i="2"/>
  <c r="I189" i="2"/>
  <c r="C189" i="2"/>
  <c r="Q163" i="2"/>
  <c r="I152" i="2"/>
  <c r="S150" i="2"/>
  <c r="S139" i="2"/>
  <c r="S136" i="2"/>
  <c r="E136" i="2"/>
  <c r="G136" i="2" s="1"/>
  <c r="Q124" i="2"/>
  <c r="P189" i="2"/>
  <c r="H189" i="2"/>
  <c r="B189" i="2"/>
  <c r="I187" i="2"/>
  <c r="I186" i="2"/>
  <c r="S184" i="2"/>
  <c r="S182" i="2"/>
  <c r="M181" i="2"/>
  <c r="H177" i="2"/>
  <c r="J177" i="2" s="1"/>
  <c r="K177" i="2" s="1"/>
  <c r="Q176" i="2"/>
  <c r="P175" i="2"/>
  <c r="H175" i="2"/>
  <c r="Q174" i="2"/>
  <c r="R171" i="2"/>
  <c r="I169" i="2"/>
  <c r="S166" i="2"/>
  <c r="L163" i="2"/>
  <c r="D160" i="2"/>
  <c r="E159" i="2"/>
  <c r="R155" i="2"/>
  <c r="D152" i="2"/>
  <c r="C150" i="2"/>
  <c r="L148" i="2"/>
  <c r="Q147" i="2"/>
  <c r="E147" i="2"/>
  <c r="S140" i="2"/>
  <c r="I140" i="2"/>
  <c r="J140" i="2" s="1"/>
  <c r="K140" i="2" s="1"/>
  <c r="I139" i="2"/>
  <c r="L137" i="2"/>
  <c r="R136" i="2"/>
  <c r="B136" i="2"/>
  <c r="S131" i="2"/>
  <c r="M128" i="2"/>
  <c r="C128" i="2"/>
  <c r="F128" i="2" s="1"/>
  <c r="I125" i="2"/>
  <c r="M124" i="2"/>
  <c r="B124" i="2"/>
  <c r="D122" i="2"/>
  <c r="S116" i="2"/>
  <c r="M116" i="2"/>
  <c r="N116" i="2" s="1"/>
  <c r="O116" i="2" s="1"/>
  <c r="E116" i="2"/>
  <c r="I115" i="2"/>
  <c r="D114" i="2"/>
  <c r="L110" i="2"/>
  <c r="R108" i="2"/>
  <c r="M108" i="2"/>
  <c r="N108" i="2" s="1"/>
  <c r="O108" i="2" s="1"/>
  <c r="H108" i="2"/>
  <c r="B108" i="2"/>
  <c r="D106" i="2"/>
  <c r="D105" i="2"/>
  <c r="I101" i="2"/>
  <c r="E100" i="2"/>
  <c r="S96" i="2"/>
  <c r="L96" i="2"/>
  <c r="B96" i="2"/>
  <c r="L94" i="2"/>
  <c r="N92" i="2"/>
  <c r="O92" i="2" s="1"/>
  <c r="G92" i="2"/>
  <c r="R88" i="2"/>
  <c r="L88" i="2"/>
  <c r="D88" i="2"/>
  <c r="Q87" i="2"/>
  <c r="L85" i="2"/>
  <c r="R84" i="2"/>
  <c r="L84" i="2"/>
  <c r="D78" i="2"/>
  <c r="L78" i="2"/>
  <c r="B76" i="2"/>
  <c r="H76" i="2"/>
  <c r="J76" i="2" s="1"/>
  <c r="K76" i="2" s="1"/>
  <c r="M76" i="2"/>
  <c r="N76" i="2" s="1"/>
  <c r="O76" i="2" s="1"/>
  <c r="R76" i="2"/>
  <c r="I74" i="2"/>
  <c r="R72" i="2"/>
  <c r="H72" i="2"/>
  <c r="S68" i="2"/>
  <c r="L68" i="2"/>
  <c r="Q64" i="2"/>
  <c r="S59" i="2"/>
  <c r="E56" i="2"/>
  <c r="H56" i="2"/>
  <c r="S56" i="2"/>
  <c r="D48" i="2"/>
  <c r="G48" i="2" s="1"/>
  <c r="L48" i="2"/>
  <c r="R48" i="2"/>
  <c r="I44" i="2"/>
  <c r="D40" i="2"/>
  <c r="C40" i="2"/>
  <c r="R40" i="2"/>
  <c r="L38" i="2"/>
  <c r="E28" i="2"/>
  <c r="Q28" i="2"/>
  <c r="C28" i="2"/>
  <c r="L28" i="2"/>
  <c r="D26" i="2"/>
  <c r="I26" i="2"/>
  <c r="D16" i="2"/>
  <c r="L16" i="2"/>
  <c r="N16" i="2" s="1"/>
  <c r="O16" i="2" s="1"/>
  <c r="R16" i="2"/>
  <c r="B16" i="2"/>
  <c r="H16" i="2"/>
  <c r="J16" i="2" s="1"/>
  <c r="K16" i="2" s="1"/>
  <c r="P16" i="2"/>
  <c r="D177" i="3"/>
  <c r="I177" i="3"/>
  <c r="L175" i="3"/>
  <c r="P174" i="3"/>
  <c r="D173" i="3"/>
  <c r="P173" i="3"/>
  <c r="Q165" i="3"/>
  <c r="B164" i="3"/>
  <c r="I164" i="3"/>
  <c r="J160" i="3"/>
  <c r="Q160" i="3"/>
  <c r="F160" i="3"/>
  <c r="D158" i="3"/>
  <c r="M158" i="3"/>
  <c r="D153" i="3"/>
  <c r="I153" i="3"/>
  <c r="Q153" i="3"/>
  <c r="F147" i="3"/>
  <c r="B147" i="3"/>
  <c r="L147" i="3"/>
  <c r="G147" i="3"/>
  <c r="P147" i="3"/>
  <c r="D84" i="2"/>
  <c r="E84" i="2"/>
  <c r="L82" i="2"/>
  <c r="D82" i="2"/>
  <c r="I71" i="2"/>
  <c r="Q71" i="2"/>
  <c r="C68" i="2"/>
  <c r="I68" i="2"/>
  <c r="J68" i="2" s="1"/>
  <c r="K68" i="2" s="1"/>
  <c r="Q68" i="2"/>
  <c r="D45" i="2"/>
  <c r="L45" i="2"/>
  <c r="Q25" i="2"/>
  <c r="L25" i="2"/>
  <c r="B180" i="3"/>
  <c r="I180" i="3"/>
  <c r="I175" i="3"/>
  <c r="L174" i="3"/>
  <c r="M165" i="3"/>
  <c r="C163" i="3"/>
  <c r="E163" i="3" s="1"/>
  <c r="J163" i="3"/>
  <c r="K163" i="3" s="1"/>
  <c r="P163" i="3"/>
  <c r="F163" i="3"/>
  <c r="N163" i="3"/>
  <c r="C162" i="3"/>
  <c r="M162" i="3"/>
  <c r="I162" i="3"/>
  <c r="Q162" i="3"/>
  <c r="N159" i="3"/>
  <c r="F155" i="3"/>
  <c r="G155" i="3"/>
  <c r="P155" i="3"/>
  <c r="B155" i="3"/>
  <c r="L155" i="3"/>
  <c r="C192" i="2"/>
  <c r="R189" i="2"/>
  <c r="L189" i="2"/>
  <c r="P187" i="2"/>
  <c r="B187" i="2"/>
  <c r="L185" i="2"/>
  <c r="R177" i="2"/>
  <c r="L177" i="2"/>
  <c r="B177" i="2"/>
  <c r="L175" i="2"/>
  <c r="N175" i="2" s="1"/>
  <c r="O175" i="2" s="1"/>
  <c r="B175" i="2"/>
  <c r="C174" i="2"/>
  <c r="I172" i="2"/>
  <c r="M167" i="2"/>
  <c r="R163" i="2"/>
  <c r="B163" i="2"/>
  <c r="R159" i="2"/>
  <c r="B155" i="2"/>
  <c r="D149" i="2"/>
  <c r="S147" i="2"/>
  <c r="L147" i="2"/>
  <c r="B147" i="2"/>
  <c r="I145" i="2"/>
  <c r="L136" i="2"/>
  <c r="R124" i="2"/>
  <c r="H124" i="2"/>
  <c r="D121" i="2"/>
  <c r="C119" i="2"/>
  <c r="I117" i="2"/>
  <c r="Q116" i="2"/>
  <c r="I116" i="2"/>
  <c r="J116" i="2" s="1"/>
  <c r="K116" i="2" s="1"/>
  <c r="B116" i="2"/>
  <c r="Q114" i="2"/>
  <c r="C111" i="2"/>
  <c r="P108" i="2"/>
  <c r="D108" i="2"/>
  <c r="G108" i="2" s="1"/>
  <c r="L106" i="2"/>
  <c r="Q105" i="2"/>
  <c r="L102" i="2"/>
  <c r="Q100" i="2"/>
  <c r="P96" i="2"/>
  <c r="E96" i="2"/>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L154" i="3"/>
  <c r="Q154" i="3"/>
  <c r="G154" i="3"/>
  <c r="O154" i="3"/>
  <c r="C151" i="3"/>
  <c r="I151" i="3"/>
  <c r="G146" i="3"/>
  <c r="D146" i="3"/>
  <c r="O146" i="3"/>
  <c r="B142" i="3"/>
  <c r="C142" i="3"/>
  <c r="L142" i="3"/>
  <c r="Q142" i="3"/>
  <c r="D142" i="3"/>
  <c r="M142" i="3"/>
  <c r="G142" i="3"/>
  <c r="O142" i="3"/>
  <c r="I160" i="2"/>
  <c r="M159" i="2"/>
  <c r="L125" i="2"/>
  <c r="E124" i="2"/>
  <c r="G124" i="2" s="1"/>
  <c r="Q122" i="2"/>
  <c r="G116" i="2"/>
  <c r="I114" i="2"/>
  <c r="S108" i="2"/>
  <c r="I108" i="2"/>
  <c r="L105" i="2"/>
  <c r="L100" i="2"/>
  <c r="M96" i="2"/>
  <c r="C96" i="2"/>
  <c r="S84" i="2"/>
  <c r="M84" i="2"/>
  <c r="C84" i="2"/>
  <c r="Q82" i="2"/>
  <c r="L73" i="2"/>
  <c r="D73" i="2"/>
  <c r="E72" i="2"/>
  <c r="P72" i="2"/>
  <c r="M68" i="2"/>
  <c r="D68" i="2"/>
  <c r="E44" i="2"/>
  <c r="C44" i="2"/>
  <c r="Q44" i="2"/>
  <c r="C35" i="2"/>
  <c r="I35" i="2"/>
  <c r="B18" i="2"/>
  <c r="Q18" i="2"/>
  <c r="D18" i="2"/>
  <c r="C175" i="3"/>
  <c r="J175" i="3"/>
  <c r="P175" i="3"/>
  <c r="F175" i="3"/>
  <c r="N175" i="3"/>
  <c r="C174" i="3"/>
  <c r="M174" i="3"/>
  <c r="I174" i="3"/>
  <c r="Q174" i="3"/>
  <c r="D165" i="3"/>
  <c r="P165" i="3"/>
  <c r="L165" i="3"/>
  <c r="C159" i="3"/>
  <c r="B159" i="3"/>
  <c r="P159" i="3"/>
  <c r="I159" i="3"/>
  <c r="C150" i="3"/>
  <c r="L150" i="3"/>
  <c r="P143" i="3"/>
  <c r="J143" i="3"/>
  <c r="B143" i="3"/>
  <c r="Q141" i="3"/>
  <c r="D141" i="3"/>
  <c r="L138" i="3"/>
  <c r="B7" i="28" s="1"/>
  <c r="P131" i="3"/>
  <c r="C131" i="3"/>
  <c r="C130" i="3"/>
  <c r="B129" i="3"/>
  <c r="H127" i="3"/>
  <c r="G126" i="3"/>
  <c r="L123" i="3"/>
  <c r="L121" i="3"/>
  <c r="B121" i="3"/>
  <c r="Q119" i="3"/>
  <c r="M119" i="3"/>
  <c r="G119" i="3"/>
  <c r="H119" i="3" s="1"/>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M76" i="3"/>
  <c r="Q76" i="3"/>
  <c r="C76" i="3"/>
  <c r="I76" i="3"/>
  <c r="N76" i="3"/>
  <c r="L74" i="3"/>
  <c r="G63" i="3"/>
  <c r="E63" i="5" s="1"/>
  <c r="P63" i="3"/>
  <c r="Q61" i="3"/>
  <c r="Q60" i="3"/>
  <c r="B53" i="3"/>
  <c r="I53" i="3"/>
  <c r="O53" i="3"/>
  <c r="C53" i="3"/>
  <c r="J53" i="3"/>
  <c r="Q53" i="3"/>
  <c r="C52" i="3"/>
  <c r="B52" i="3"/>
  <c r="M52" i="3"/>
  <c r="F52" i="3"/>
  <c r="P52" i="3"/>
  <c r="F41" i="3"/>
  <c r="N41" i="3"/>
  <c r="C41" i="3"/>
  <c r="Q41" i="3"/>
  <c r="O139" i="3"/>
  <c r="Q132" i="3"/>
  <c r="Q124" i="3"/>
  <c r="G99" i="3"/>
  <c r="J98" i="3"/>
  <c r="Q98" i="3"/>
  <c r="N96" i="3"/>
  <c r="C96" i="3"/>
  <c r="N89" i="3"/>
  <c r="G87" i="3"/>
  <c r="E87" i="5" s="1"/>
  <c r="I83" i="3"/>
  <c r="F82" i="3"/>
  <c r="P82" i="3"/>
  <c r="D79" i="3"/>
  <c r="J74" i="3"/>
  <c r="L62" i="3"/>
  <c r="J61" i="3"/>
  <c r="L60" i="3"/>
  <c r="S36" i="2"/>
  <c r="I36" i="2"/>
  <c r="L33" i="2"/>
  <c r="R32" i="2"/>
  <c r="D32" i="2"/>
  <c r="S27" i="2"/>
  <c r="M20" i="2"/>
  <c r="N20" i="2" s="1"/>
  <c r="O20" i="2" s="1"/>
  <c r="I12" i="2"/>
  <c r="N187" i="3"/>
  <c r="I187" i="3"/>
  <c r="L186" i="3"/>
  <c r="Q184" i="3"/>
  <c r="O179" i="3"/>
  <c r="D179" i="3"/>
  <c r="P166" i="3"/>
  <c r="Q157" i="3"/>
  <c r="M156" i="3"/>
  <c r="F152" i="3"/>
  <c r="P149" i="3"/>
  <c r="M143" i="3"/>
  <c r="M141" i="3"/>
  <c r="I139" i="3"/>
  <c r="N135" i="3"/>
  <c r="I135" i="3"/>
  <c r="K135" i="3" s="1"/>
  <c r="I132" i="3"/>
  <c r="J131" i="3"/>
  <c r="K131" i="3" s="1"/>
  <c r="M130" i="3"/>
  <c r="M129" i="3"/>
  <c r="O127" i="3"/>
  <c r="D127" i="3"/>
  <c r="Q125" i="3"/>
  <c r="L125" i="3"/>
  <c r="D125" i="3"/>
  <c r="Q122" i="3"/>
  <c r="G122" i="3"/>
  <c r="P121" i="3"/>
  <c r="I121" i="3"/>
  <c r="O119" i="3"/>
  <c r="J119" i="3"/>
  <c r="M117" i="3"/>
  <c r="L116" i="3"/>
  <c r="O112" i="3"/>
  <c r="J112" i="3"/>
  <c r="P111" i="3"/>
  <c r="M108" i="3"/>
  <c r="F108" i="3"/>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L52" i="3"/>
  <c r="D96" i="3"/>
  <c r="F96" i="3"/>
  <c r="M96" i="3"/>
  <c r="I89" i="3"/>
  <c r="F89" i="3"/>
  <c r="G83" i="3"/>
  <c r="E83" i="5" s="1"/>
  <c r="Q83" i="3"/>
  <c r="B81" i="3"/>
  <c r="F81" i="3"/>
  <c r="G79" i="3"/>
  <c r="E79" i="5" s="1"/>
  <c r="I79" i="3"/>
  <c r="Q79" i="3"/>
  <c r="F74" i="3"/>
  <c r="D74" i="3"/>
  <c r="N74" i="3"/>
  <c r="I74" i="3"/>
  <c r="P74" i="3"/>
  <c r="D62" i="3"/>
  <c r="N62" i="3"/>
  <c r="F62" i="3"/>
  <c r="Q62" i="3"/>
  <c r="B61" i="3"/>
  <c r="M61" i="3"/>
  <c r="F61" i="3"/>
  <c r="O61" i="3"/>
  <c r="C60" i="3"/>
  <c r="B60" i="3"/>
  <c r="M60" i="3"/>
  <c r="F60" i="3"/>
  <c r="P60" i="3"/>
  <c r="F58" i="3"/>
  <c r="N58" i="3"/>
  <c r="J50" i="3"/>
  <c r="L50" i="3"/>
  <c r="B38" i="3"/>
  <c r="F38" i="3"/>
  <c r="J37" i="3"/>
  <c r="C27" i="3"/>
  <c r="L27" i="3"/>
  <c r="J26" i="3"/>
  <c r="P23" i="3"/>
  <c r="M21" i="3"/>
  <c r="G13" i="3"/>
  <c r="Q13" i="3"/>
  <c r="J189" i="7"/>
  <c r="C188" i="7"/>
  <c r="I188" i="7"/>
  <c r="J187" i="7"/>
  <c r="B183" i="7"/>
  <c r="D183" i="7"/>
  <c r="L183" i="7"/>
  <c r="E183" i="7"/>
  <c r="M183" i="7"/>
  <c r="C181" i="7"/>
  <c r="B181" i="7"/>
  <c r="I181" i="7"/>
  <c r="D181" i="7"/>
  <c r="L181" i="7"/>
  <c r="K181" i="12" s="1"/>
  <c r="C169" i="7"/>
  <c r="B169" i="7"/>
  <c r="H169" i="7"/>
  <c r="M169" i="7"/>
  <c r="D169" i="7"/>
  <c r="I169" i="7"/>
  <c r="N169" i="7"/>
  <c r="B168" i="7"/>
  <c r="C168" i="7"/>
  <c r="K168" i="7"/>
  <c r="E168" i="7"/>
  <c r="M168" i="7"/>
  <c r="F167" i="7"/>
  <c r="M163" i="7"/>
  <c r="E163" i="7"/>
  <c r="I162" i="7"/>
  <c r="M162" i="7"/>
  <c r="J158" i="7"/>
  <c r="K155" i="7"/>
  <c r="F150" i="7"/>
  <c r="N148" i="7"/>
  <c r="F148" i="7"/>
  <c r="O47" i="3"/>
  <c r="G47" i="3"/>
  <c r="J45" i="3"/>
  <c r="P44" i="3"/>
  <c r="M42" i="3"/>
  <c r="F42" i="3"/>
  <c r="Q37" i="3"/>
  <c r="G37" i="3"/>
  <c r="F34" i="3"/>
  <c r="M34" i="3"/>
  <c r="G31" i="3"/>
  <c r="L31" i="3"/>
  <c r="C28" i="3"/>
  <c r="E28" i="3" s="1"/>
  <c r="I28" i="3"/>
  <c r="N28" i="3"/>
  <c r="Q26" i="3"/>
  <c r="D26" i="3"/>
  <c r="M23" i="3"/>
  <c r="J21" i="3"/>
  <c r="J13" i="3"/>
  <c r="I9" i="3"/>
  <c r="F9" i="3"/>
  <c r="C189" i="7"/>
  <c r="D189" i="7"/>
  <c r="I189" i="7"/>
  <c r="N189" i="7"/>
  <c r="D187" i="7"/>
  <c r="C187" i="7"/>
  <c r="I187" i="7"/>
  <c r="N187" i="7"/>
  <c r="O167" i="7"/>
  <c r="J163" i="7"/>
  <c r="M150" i="7"/>
  <c r="M148" i="7"/>
  <c r="M77" i="3"/>
  <c r="M72" i="3"/>
  <c r="F72" i="3"/>
  <c r="H72" i="3" s="1"/>
  <c r="P71" i="3"/>
  <c r="M68" i="3"/>
  <c r="F68" i="3"/>
  <c r="O67" i="3"/>
  <c r="M66" i="3"/>
  <c r="M64" i="3"/>
  <c r="F64" i="3"/>
  <c r="N57" i="3"/>
  <c r="P56" i="3"/>
  <c r="G56" i="3"/>
  <c r="H56" i="3" s="1"/>
  <c r="M47" i="3"/>
  <c r="F45" i="3"/>
  <c r="H45" i="3" s="1"/>
  <c r="L44" i="3"/>
  <c r="Q42" i="3"/>
  <c r="L42" i="3"/>
  <c r="L39" i="3"/>
  <c r="G39" i="3"/>
  <c r="O37" i="3"/>
  <c r="I35" i="3"/>
  <c r="G35" i="3"/>
  <c r="C32" i="3"/>
  <c r="E32" i="3" s="1"/>
  <c r="I32" i="3"/>
  <c r="N32" i="3"/>
  <c r="Q30" i="3"/>
  <c r="M28" i="3"/>
  <c r="F28" i="3"/>
  <c r="Q27" i="3"/>
  <c r="N26" i="3"/>
  <c r="L23" i="3"/>
  <c r="C21" i="3"/>
  <c r="M18" i="3"/>
  <c r="C16" i="3"/>
  <c r="G16" i="3"/>
  <c r="E16" i="5" s="1"/>
  <c r="F16" i="5" s="1"/>
  <c r="G16" i="5" s="1"/>
  <c r="F13" i="3"/>
  <c r="G11" i="3"/>
  <c r="F10" i="3"/>
  <c r="L10" i="3"/>
  <c r="D167" i="7"/>
  <c r="B167" i="7"/>
  <c r="G167" i="7"/>
  <c r="M167" i="7"/>
  <c r="C167" i="7"/>
  <c r="I167" i="7"/>
  <c r="N167" i="7"/>
  <c r="C163" i="7"/>
  <c r="G163" i="7"/>
  <c r="C3" i="21" s="1"/>
  <c r="K163" i="7"/>
  <c r="O163" i="7"/>
  <c r="D163" i="7"/>
  <c r="H163" i="7"/>
  <c r="L163" i="7"/>
  <c r="B160" i="7"/>
  <c r="B155" i="7"/>
  <c r="E155" i="7"/>
  <c r="O155" i="7"/>
  <c r="F155" i="7"/>
  <c r="D150" i="7"/>
  <c r="I150" i="7"/>
  <c r="N150" i="7"/>
  <c r="E150" i="7"/>
  <c r="J150" i="7"/>
  <c r="F37" i="3"/>
  <c r="N37" i="3"/>
  <c r="I26" i="3"/>
  <c r="P26" i="3"/>
  <c r="C8" i="3"/>
  <c r="I8" i="3"/>
  <c r="I174" i="7"/>
  <c r="M174" i="7"/>
  <c r="J167" i="7"/>
  <c r="N163" i="7"/>
  <c r="F163" i="7"/>
  <c r="E158" i="7"/>
  <c r="L158" i="7"/>
  <c r="F158" i="7"/>
  <c r="M158" i="7"/>
  <c r="H150" i="7"/>
  <c r="C148" i="7"/>
  <c r="G148" i="7"/>
  <c r="K148" i="7"/>
  <c r="O148" i="7"/>
  <c r="D148" i="7"/>
  <c r="H148" i="7"/>
  <c r="L148" i="7"/>
  <c r="H144" i="7"/>
  <c r="J134" i="7"/>
  <c r="L133" i="7"/>
  <c r="N132" i="7"/>
  <c r="I132" i="7"/>
  <c r="C132" i="7"/>
  <c r="M131" i="7"/>
  <c r="F131" i="7"/>
  <c r="G129" i="7"/>
  <c r="G121" i="7"/>
  <c r="G115" i="7"/>
  <c r="N114" i="7"/>
  <c r="G108" i="7"/>
  <c r="I107" i="7"/>
  <c r="J86" i="7"/>
  <c r="E86" i="7"/>
  <c r="L85" i="7"/>
  <c r="M84" i="7"/>
  <c r="F84" i="7"/>
  <c r="K76" i="7"/>
  <c r="C76" i="7"/>
  <c r="M75" i="7"/>
  <c r="F75" i="7"/>
  <c r="H73" i="7"/>
  <c r="O68" i="7"/>
  <c r="K68" i="7"/>
  <c r="G68" i="7"/>
  <c r="C68" i="7"/>
  <c r="G67" i="7"/>
  <c r="E67" i="7"/>
  <c r="H65" i="7"/>
  <c r="H65" i="12" s="1"/>
  <c r="N59" i="7"/>
  <c r="M57" i="7"/>
  <c r="J54" i="7"/>
  <c r="H52" i="7"/>
  <c r="G51" i="7"/>
  <c r="E51" i="7"/>
  <c r="O51" i="7"/>
  <c r="G49" i="7"/>
  <c r="L45" i="7"/>
  <c r="E44" i="7"/>
  <c r="C44" i="7"/>
  <c r="I44" i="7"/>
  <c r="H38" i="7"/>
  <c r="E35" i="7"/>
  <c r="F35" i="7"/>
  <c r="O35" i="7"/>
  <c r="G35" i="7"/>
  <c r="E30" i="7"/>
  <c r="F30" i="7"/>
  <c r="H30" i="7"/>
  <c r="E25" i="7"/>
  <c r="G25" i="7"/>
  <c r="H25" i="7"/>
  <c r="H22" i="7"/>
  <c r="C14" i="7"/>
  <c r="E14" i="7"/>
  <c r="L14" i="7"/>
  <c r="F14" i="7"/>
  <c r="M14" i="7"/>
  <c r="B7" i="7"/>
  <c r="G7" i="7"/>
  <c r="I7" i="7"/>
  <c r="C179" i="6"/>
  <c r="F179" i="6"/>
  <c r="I179" i="6"/>
  <c r="I173" i="6"/>
  <c r="B172" i="6"/>
  <c r="E172" i="6"/>
  <c r="I172" i="6"/>
  <c r="D171" i="6"/>
  <c r="B171" i="6"/>
  <c r="J171" i="6"/>
  <c r="E171" i="6"/>
  <c r="L171" i="6"/>
  <c r="I149" i="6"/>
  <c r="B148" i="6"/>
  <c r="C148" i="6"/>
  <c r="K148" i="6"/>
  <c r="E148" i="6"/>
  <c r="M148" i="6"/>
  <c r="G148" i="6"/>
  <c r="O148" i="6"/>
  <c r="D144" i="6"/>
  <c r="C144" i="6"/>
  <c r="K144" i="6"/>
  <c r="E144" i="6"/>
  <c r="L144" i="6"/>
  <c r="G144" i="6"/>
  <c r="M144" i="6"/>
  <c r="P165" i="5"/>
  <c r="I180" i="7"/>
  <c r="L175" i="7"/>
  <c r="H175" i="7"/>
  <c r="J165" i="7"/>
  <c r="O164" i="7"/>
  <c r="M161" i="7"/>
  <c r="F161" i="7"/>
  <c r="H156" i="7"/>
  <c r="M144" i="7"/>
  <c r="E144" i="7"/>
  <c r="H142" i="7"/>
  <c r="I141" i="7"/>
  <c r="O139" i="7"/>
  <c r="J139" i="7"/>
  <c r="L136" i="7"/>
  <c r="H136" i="7"/>
  <c r="K135" i="7"/>
  <c r="F134" i="7"/>
  <c r="G133" i="7"/>
  <c r="M132" i="7"/>
  <c r="G132" i="7"/>
  <c r="B132" i="7"/>
  <c r="K131" i="7"/>
  <c r="E131" i="7"/>
  <c r="E129" i="7"/>
  <c r="M126" i="7"/>
  <c r="L125" i="7"/>
  <c r="M121" i="7"/>
  <c r="C121" i="7"/>
  <c r="L116" i="7"/>
  <c r="H116" i="7"/>
  <c r="O115" i="7"/>
  <c r="L114" i="7"/>
  <c r="K112" i="7"/>
  <c r="K111" i="7"/>
  <c r="F108" i="7"/>
  <c r="G107" i="7"/>
  <c r="M105" i="7"/>
  <c r="M97" i="7"/>
  <c r="M94" i="7"/>
  <c r="L92" i="7"/>
  <c r="M89" i="7"/>
  <c r="K88" i="7"/>
  <c r="N86" i="7"/>
  <c r="I86" i="7"/>
  <c r="G85" i="7"/>
  <c r="L84" i="7"/>
  <c r="I76" i="7"/>
  <c r="B76" i="7"/>
  <c r="K75" i="7"/>
  <c r="M72" i="7"/>
  <c r="N68" i="7"/>
  <c r="J68" i="7"/>
  <c r="F68" i="7"/>
  <c r="B68" i="7"/>
  <c r="E62" i="7"/>
  <c r="F62" i="7"/>
  <c r="M62" i="7"/>
  <c r="E56" i="7"/>
  <c r="C56" i="7"/>
  <c r="I56" i="7"/>
  <c r="B47" i="7"/>
  <c r="F47" i="7"/>
  <c r="K41" i="7"/>
  <c r="F38" i="7"/>
  <c r="M35" i="7"/>
  <c r="M30" i="7"/>
  <c r="M25" i="7"/>
  <c r="C18" i="7"/>
  <c r="D18" i="7"/>
  <c r="I18" i="7"/>
  <c r="N18" i="7"/>
  <c r="E18" i="7"/>
  <c r="J18" i="7"/>
  <c r="J14" i="7"/>
  <c r="O7" i="7"/>
  <c r="E189" i="6"/>
  <c r="I189" i="6"/>
  <c r="M189" i="6"/>
  <c r="C187" i="6"/>
  <c r="D187" i="6"/>
  <c r="I187" i="6"/>
  <c r="N187" i="6"/>
  <c r="E187" i="6"/>
  <c r="J187" i="6"/>
  <c r="N179" i="6"/>
  <c r="C177" i="6"/>
  <c r="G177" i="6"/>
  <c r="K177" i="6"/>
  <c r="O177" i="6"/>
  <c r="D177" i="6"/>
  <c r="H177" i="6"/>
  <c r="L177" i="12" s="1"/>
  <c r="L177" i="6"/>
  <c r="D176" i="6"/>
  <c r="E176" i="6"/>
  <c r="M176" i="6"/>
  <c r="G176" i="6"/>
  <c r="O176" i="6"/>
  <c r="M171" i="6"/>
  <c r="B164" i="6"/>
  <c r="C164" i="6"/>
  <c r="O164" i="6"/>
  <c r="G164" i="6"/>
  <c r="C157" i="6"/>
  <c r="L157" i="5" s="1"/>
  <c r="M157" i="5" s="1"/>
  <c r="E157" i="6"/>
  <c r="I157" i="6"/>
  <c r="M157" i="6"/>
  <c r="B151" i="6"/>
  <c r="H151" i="6"/>
  <c r="M151" i="6"/>
  <c r="D151" i="6"/>
  <c r="I151" i="6"/>
  <c r="N151" i="6"/>
  <c r="E151" i="6"/>
  <c r="J151" i="6"/>
  <c r="C143" i="6"/>
  <c r="L143" i="5" s="1"/>
  <c r="M143" i="5" s="1"/>
  <c r="E143" i="6"/>
  <c r="I143" i="6"/>
  <c r="M143" i="6"/>
  <c r="J131" i="7"/>
  <c r="F59" i="7"/>
  <c r="K59" i="7"/>
  <c r="C49" i="7"/>
  <c r="H49" i="7"/>
  <c r="M49" i="7"/>
  <c r="D49" i="7"/>
  <c r="I49" i="7"/>
  <c r="O49" i="7"/>
  <c r="C45" i="7"/>
  <c r="D45" i="7"/>
  <c r="O45" i="7"/>
  <c r="G45" i="7"/>
  <c r="C43" i="7"/>
  <c r="F43" i="7"/>
  <c r="I43" i="7"/>
  <c r="M38" i="7"/>
  <c r="C22" i="7"/>
  <c r="B22" i="7"/>
  <c r="J22" i="7"/>
  <c r="E22" i="7"/>
  <c r="L22" i="7"/>
  <c r="E20" i="7"/>
  <c r="M20" i="7"/>
  <c r="B173" i="6"/>
  <c r="C173" i="6"/>
  <c r="K173" i="6"/>
  <c r="E173" i="6"/>
  <c r="M173" i="6"/>
  <c r="B160" i="6"/>
  <c r="C160" i="6"/>
  <c r="O160" i="6"/>
  <c r="G160" i="6"/>
  <c r="I160" i="6"/>
  <c r="B149" i="6"/>
  <c r="F149" i="6"/>
  <c r="J149" i="6"/>
  <c r="N149" i="6"/>
  <c r="C149" i="6"/>
  <c r="G149" i="6"/>
  <c r="K149" i="6"/>
  <c r="O149" i="6"/>
  <c r="D149" i="6"/>
  <c r="H149" i="6"/>
  <c r="L149" i="6"/>
  <c r="O149" i="12" s="1"/>
  <c r="K121" i="7"/>
  <c r="M108" i="7"/>
  <c r="M76" i="7"/>
  <c r="L68" i="7"/>
  <c r="H68" i="7"/>
  <c r="D65" i="7"/>
  <c r="E65" i="7"/>
  <c r="L65" i="7"/>
  <c r="C60" i="7"/>
  <c r="I60" i="7"/>
  <c r="B58" i="7"/>
  <c r="F58" i="7"/>
  <c r="L58" i="7"/>
  <c r="C57" i="7"/>
  <c r="K57" i="7"/>
  <c r="E57" i="7"/>
  <c r="L57" i="7"/>
  <c r="B54" i="7"/>
  <c r="H54" i="7"/>
  <c r="M54" i="7"/>
  <c r="D54" i="7"/>
  <c r="I54" i="7"/>
  <c r="N54" i="7"/>
  <c r="C52" i="7"/>
  <c r="D52" i="7"/>
  <c r="I52" i="7"/>
  <c r="N52" i="7"/>
  <c r="E52" i="7"/>
  <c r="J52" i="7"/>
  <c r="K49" i="7"/>
  <c r="E41" i="7"/>
  <c r="C41" i="7"/>
  <c r="M41" i="7"/>
  <c r="G41" i="7"/>
  <c r="D38" i="7"/>
  <c r="I38" i="7"/>
  <c r="N38" i="7"/>
  <c r="E38" i="7"/>
  <c r="J38" i="7"/>
  <c r="M22" i="7"/>
  <c r="E16" i="7"/>
  <c r="M16" i="7"/>
  <c r="C31" i="7"/>
  <c r="D26" i="7"/>
  <c r="M24" i="7"/>
  <c r="O13" i="7"/>
  <c r="C13" i="7"/>
  <c r="M8" i="7"/>
  <c r="H8" i="7"/>
  <c r="B8" i="7"/>
  <c r="I186" i="6"/>
  <c r="M183" i="6"/>
  <c r="H183" i="6"/>
  <c r="B183" i="6"/>
  <c r="N181" i="6"/>
  <c r="J181" i="6"/>
  <c r="F181" i="6"/>
  <c r="K180" i="6"/>
  <c r="C180" i="6"/>
  <c r="N175" i="6"/>
  <c r="D175" i="6"/>
  <c r="F163" i="6"/>
  <c r="M161" i="6"/>
  <c r="H161" i="6"/>
  <c r="B161" i="6"/>
  <c r="L159" i="6"/>
  <c r="I156" i="6"/>
  <c r="I153" i="6"/>
  <c r="N147" i="6"/>
  <c r="D147" i="6"/>
  <c r="K142" i="6"/>
  <c r="H141" i="6"/>
  <c r="P141" i="12" s="1"/>
  <c r="O139" i="6"/>
  <c r="G139" i="6"/>
  <c r="N138" i="6"/>
  <c r="C138" i="6"/>
  <c r="H136" i="6"/>
  <c r="F133" i="6"/>
  <c r="J131" i="6"/>
  <c r="E131" i="6"/>
  <c r="N126" i="6"/>
  <c r="L125" i="6"/>
  <c r="F123" i="6"/>
  <c r="M120" i="6"/>
  <c r="O116" i="6"/>
  <c r="L115" i="6"/>
  <c r="K114" i="6"/>
  <c r="M112" i="6"/>
  <c r="H112" i="6"/>
  <c r="M111" i="6"/>
  <c r="G111" i="6"/>
  <c r="C108" i="6"/>
  <c r="I107" i="6"/>
  <c r="G104" i="6"/>
  <c r="K103" i="6"/>
  <c r="C103" i="6"/>
  <c r="L103" i="5" s="1"/>
  <c r="M103" i="5" s="1"/>
  <c r="M101" i="6"/>
  <c r="H101" i="6"/>
  <c r="O99" i="6"/>
  <c r="I99" i="6"/>
  <c r="D99" i="6"/>
  <c r="F97" i="6"/>
  <c r="G95" i="6"/>
  <c r="J93" i="6"/>
  <c r="E93" i="6"/>
  <c r="O92" i="6"/>
  <c r="L91" i="6"/>
  <c r="L89" i="6"/>
  <c r="O89" i="12" s="1"/>
  <c r="K88" i="6"/>
  <c r="L85" i="6"/>
  <c r="E85" i="6"/>
  <c r="K84" i="6"/>
  <c r="H81" i="6"/>
  <c r="E80" i="6"/>
  <c r="I80" i="6"/>
  <c r="L77" i="6"/>
  <c r="E77" i="6"/>
  <c r="K76" i="6"/>
  <c r="D73" i="6"/>
  <c r="F73" i="6"/>
  <c r="M73" i="6"/>
  <c r="E72" i="6"/>
  <c r="C72" i="6"/>
  <c r="O72" i="6"/>
  <c r="I67" i="6"/>
  <c r="F61" i="6"/>
  <c r="I55" i="6"/>
  <c r="F49" i="6"/>
  <c r="E49" i="6"/>
  <c r="H49" i="6"/>
  <c r="O47" i="6"/>
  <c r="J46" i="6"/>
  <c r="J38" i="6"/>
  <c r="M33" i="6"/>
  <c r="M25" i="6"/>
  <c r="E25" i="6"/>
  <c r="M21" i="6"/>
  <c r="E21" i="6"/>
  <c r="M11" i="6"/>
  <c r="F159" i="6"/>
  <c r="I154" i="6"/>
  <c r="E153" i="6"/>
  <c r="F142" i="6"/>
  <c r="E141" i="6"/>
  <c r="M139" i="6"/>
  <c r="E139" i="6"/>
  <c r="F134" i="6"/>
  <c r="N131" i="6"/>
  <c r="I131" i="6"/>
  <c r="D131" i="6"/>
  <c r="L127" i="6"/>
  <c r="K126" i="6"/>
  <c r="L121" i="6"/>
  <c r="L116" i="6"/>
  <c r="F115" i="6"/>
  <c r="G107" i="6"/>
  <c r="H105" i="6"/>
  <c r="M99" i="6"/>
  <c r="H99" i="6"/>
  <c r="M97" i="6"/>
  <c r="B97" i="6"/>
  <c r="O95" i="6"/>
  <c r="D95" i="6"/>
  <c r="N93" i="6"/>
  <c r="I93" i="6"/>
  <c r="D93" i="6"/>
  <c r="K92" i="6"/>
  <c r="G91" i="6"/>
  <c r="H89" i="6"/>
  <c r="J85" i="6"/>
  <c r="F81" i="6"/>
  <c r="C79" i="6"/>
  <c r="I79" i="6"/>
  <c r="J77" i="6"/>
  <c r="C75" i="6"/>
  <c r="I75" i="6"/>
  <c r="E71" i="6"/>
  <c r="I71" i="6"/>
  <c r="G68" i="6"/>
  <c r="C68" i="6"/>
  <c r="L68" i="5" s="1"/>
  <c r="G67" i="6"/>
  <c r="C63" i="6"/>
  <c r="E63" i="6"/>
  <c r="C59" i="6"/>
  <c r="B59" i="6"/>
  <c r="H59" i="6"/>
  <c r="M59" i="6"/>
  <c r="D59" i="6"/>
  <c r="I59" i="6"/>
  <c r="N59" i="6"/>
  <c r="D57" i="6"/>
  <c r="L57" i="6"/>
  <c r="O57" i="12" s="1"/>
  <c r="G55" i="6"/>
  <c r="L47" i="6"/>
  <c r="B43" i="6"/>
  <c r="F43" i="6"/>
  <c r="I43" i="6"/>
  <c r="E35" i="6"/>
  <c r="G35" i="6"/>
  <c r="O35" i="6"/>
  <c r="I35" i="6"/>
  <c r="J33" i="6"/>
  <c r="L25" i="6"/>
  <c r="L21" i="6"/>
  <c r="O21" i="12" s="1"/>
  <c r="E19" i="6"/>
  <c r="H19" i="6"/>
  <c r="H14" i="6"/>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C92" i="6"/>
  <c r="E89" i="6"/>
  <c r="B85" i="6"/>
  <c r="H85" i="6"/>
  <c r="M85" i="6"/>
  <c r="G84" i="6"/>
  <c r="I84" i="6"/>
  <c r="M81" i="6"/>
  <c r="B77" i="6"/>
  <c r="H77" i="6"/>
  <c r="M77" i="6"/>
  <c r="G76" i="6"/>
  <c r="I76" i="6"/>
  <c r="O67" i="6"/>
  <c r="D64" i="6"/>
  <c r="G64" i="6"/>
  <c r="K62" i="6"/>
  <c r="N55" i="6"/>
  <c r="E46" i="6"/>
  <c r="C46" i="6"/>
  <c r="N46" i="6"/>
  <c r="F46" i="6"/>
  <c r="O46" i="6"/>
  <c r="F38" i="6"/>
  <c r="O38" i="6"/>
  <c r="G38" i="6"/>
  <c r="I28" i="6"/>
  <c r="M28" i="12" s="1"/>
  <c r="L26" i="6"/>
  <c r="B25" i="6"/>
  <c r="F25" i="6"/>
  <c r="J25" i="6"/>
  <c r="N25" i="6"/>
  <c r="C25" i="6"/>
  <c r="G25" i="6"/>
  <c r="K25" i="6"/>
  <c r="O25" i="6"/>
  <c r="L22" i="6"/>
  <c r="B21" i="6"/>
  <c r="F21" i="6"/>
  <c r="J21" i="6"/>
  <c r="N21" i="6"/>
  <c r="C21" i="6"/>
  <c r="G21" i="6"/>
  <c r="K21" i="6"/>
  <c r="O21" i="6"/>
  <c r="C189" i="10"/>
  <c r="K189" i="10"/>
  <c r="E189" i="10"/>
  <c r="M189" i="10"/>
  <c r="G189" i="10"/>
  <c r="O189" i="10"/>
  <c r="D81" i="6"/>
  <c r="B81" i="6"/>
  <c r="J81" i="6"/>
  <c r="C67" i="6"/>
  <c r="K67" i="6"/>
  <c r="C55" i="6"/>
  <c r="E55" i="6"/>
  <c r="J55" i="6"/>
  <c r="O55" i="6"/>
  <c r="F55" i="6"/>
  <c r="K55" i="6"/>
  <c r="C47" i="6"/>
  <c r="L47" i="5" s="1"/>
  <c r="G47" i="6"/>
  <c r="I47" i="6"/>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3" i="2"/>
  <c r="F245"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71" i="3"/>
  <c r="K28" i="3"/>
  <c r="K163" i="5"/>
  <c r="C159" i="5"/>
  <c r="C155" i="5"/>
  <c r="K147" i="5"/>
  <c r="N146" i="5"/>
  <c r="O145" i="5"/>
  <c r="C145" i="5"/>
  <c r="C143" i="5"/>
  <c r="I142" i="5"/>
  <c r="K137" i="5"/>
  <c r="N135" i="5"/>
  <c r="K131" i="5"/>
  <c r="N130" i="5"/>
  <c r="O129" i="5"/>
  <c r="C129" i="5"/>
  <c r="C127" i="5"/>
  <c r="I126" i="5"/>
  <c r="K121" i="5"/>
  <c r="N119" i="5"/>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C48" i="5"/>
  <c r="K46" i="5"/>
  <c r="N45" i="5"/>
  <c r="O44" i="5"/>
  <c r="C44" i="5"/>
  <c r="K42" i="5"/>
  <c r="N41" i="5"/>
  <c r="O40" i="5"/>
  <c r="C40" i="5"/>
  <c r="K38" i="5"/>
  <c r="N37" i="5"/>
  <c r="O36" i="5"/>
  <c r="C36" i="5"/>
  <c r="K34" i="5"/>
  <c r="N33" i="5"/>
  <c r="O32" i="5"/>
  <c r="C32" i="5"/>
  <c r="K30" i="5"/>
  <c r="N29" i="5"/>
  <c r="O28" i="5"/>
  <c r="C28" i="5"/>
  <c r="K26" i="5"/>
  <c r="N25" i="5"/>
  <c r="O24" i="5"/>
  <c r="C24" i="5"/>
  <c r="K22" i="5"/>
  <c r="N21" i="5"/>
  <c r="O20" i="5"/>
  <c r="C20" i="5"/>
  <c r="K18" i="5"/>
  <c r="N17" i="5"/>
  <c r="O16" i="5"/>
  <c r="C16" i="5"/>
  <c r="K14" i="5"/>
  <c r="N13" i="5"/>
  <c r="O12" i="5"/>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H52" i="3"/>
  <c r="I160" i="5"/>
  <c r="N159" i="5"/>
  <c r="N155" i="5"/>
  <c r="I150" i="5"/>
  <c r="N143" i="5"/>
  <c r="O137" i="5"/>
  <c r="C135" i="5"/>
  <c r="I134" i="5"/>
  <c r="N127" i="5"/>
  <c r="O121" i="5"/>
  <c r="C119" i="5"/>
  <c r="I118" i="5"/>
  <c r="N111" i="5"/>
  <c r="P111" i="5" s="1"/>
  <c r="N108" i="5"/>
  <c r="N107" i="5"/>
  <c r="N104" i="5"/>
  <c r="N103" i="5"/>
  <c r="N100" i="5"/>
  <c r="N99" i="5"/>
  <c r="N96" i="5"/>
  <c r="N95" i="5"/>
  <c r="N92" i="5"/>
  <c r="N91" i="5"/>
  <c r="N88" i="5"/>
  <c r="N87" i="5"/>
  <c r="P87" i="5" s="1"/>
  <c r="N84" i="5"/>
  <c r="N83" i="5"/>
  <c r="N80" i="5"/>
  <c r="N79" i="5"/>
  <c r="N76" i="5"/>
  <c r="N75" i="5"/>
  <c r="N72" i="5"/>
  <c r="N71" i="5"/>
  <c r="N68" i="5"/>
  <c r="N67" i="5"/>
  <c r="N64" i="5"/>
  <c r="N63" i="5"/>
  <c r="P63" i="5" s="1"/>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G177" i="14"/>
  <c r="D172" i="14"/>
  <c r="B172" i="14"/>
  <c r="G172" i="14" s="1"/>
  <c r="B169" i="14"/>
  <c r="G169" i="14" s="1"/>
  <c r="D169" i="14"/>
  <c r="E154" i="14"/>
  <c r="C154" i="14"/>
  <c r="D146" i="14"/>
  <c r="E146" i="14"/>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F143" i="14"/>
  <c r="F140" i="14"/>
  <c r="G137"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G103" i="14" s="1"/>
  <c r="B99" i="14"/>
  <c r="F97" i="14"/>
  <c r="B97" i="14"/>
  <c r="G97" i="14" s="1"/>
  <c r="B91" i="14"/>
  <c r="C89" i="14"/>
  <c r="E87" i="14"/>
  <c r="E79" i="14"/>
  <c r="G79" i="14" s="1"/>
  <c r="B77" i="14"/>
  <c r="E75" i="14"/>
  <c r="G75" i="14" s="1"/>
  <c r="B73" i="14"/>
  <c r="E71" i="14"/>
  <c r="G71" i="14" s="1"/>
  <c r="B69" i="14"/>
  <c r="E67" i="14"/>
  <c r="G67" i="14" s="1"/>
  <c r="B65" i="14"/>
  <c r="E63" i="14"/>
  <c r="G63" i="14" s="1"/>
  <c r="B61" i="14"/>
  <c r="F57" i="14"/>
  <c r="B57" i="14"/>
  <c r="G57" i="14" s="1"/>
  <c r="B49" i="14"/>
  <c r="D41" i="14"/>
  <c r="B35" i="14"/>
  <c r="D31" i="14"/>
  <c r="B27" i="14"/>
  <c r="F25" i="14"/>
  <c r="B25" i="14"/>
  <c r="G25" i="14" s="1"/>
  <c r="E23" i="14"/>
  <c r="G23" i="14" s="1"/>
  <c r="E21" i="14"/>
  <c r="B19" i="14"/>
  <c r="F17" i="14"/>
  <c r="B17" i="14"/>
  <c r="G17" i="14" s="1"/>
  <c r="E11" i="14"/>
  <c r="E10" i="14"/>
  <c r="D9" i="14"/>
  <c r="E8" i="14"/>
  <c r="D7" i="14"/>
  <c r="G87" i="14"/>
  <c r="G148" i="14"/>
  <c r="F129" i="14"/>
  <c r="B123" i="14"/>
  <c r="B119" i="14"/>
  <c r="B111" i="14"/>
  <c r="F109" i="14"/>
  <c r="F103" i="14"/>
  <c r="E99" i="14"/>
  <c r="E96" i="14"/>
  <c r="F91" i="14"/>
  <c r="E77" i="14"/>
  <c r="E73" i="14"/>
  <c r="E69" i="14"/>
  <c r="E65" i="14"/>
  <c r="E61" i="14"/>
  <c r="F56" i="14"/>
  <c r="E49" i="14"/>
  <c r="F48" i="14"/>
  <c r="F41" i="14"/>
  <c r="F35" i="14"/>
  <c r="E34" i="14"/>
  <c r="E27" i="14"/>
  <c r="E26" i="14"/>
  <c r="E19" i="14"/>
  <c r="E18" i="14"/>
  <c r="E16" i="14"/>
  <c r="B11" i="14"/>
  <c r="F9" i="14"/>
  <c r="C183" i="2"/>
  <c r="I183" i="2"/>
  <c r="E183" i="2"/>
  <c r="Q183" i="2"/>
  <c r="B183" i="2"/>
  <c r="H183" i="2"/>
  <c r="M183" i="2"/>
  <c r="D183" i="2"/>
  <c r="P183" i="2"/>
  <c r="C179" i="2"/>
  <c r="D179" i="2"/>
  <c r="L179" i="2"/>
  <c r="Q179" i="2"/>
  <c r="E179" i="2"/>
  <c r="M179" i="2"/>
  <c r="R179" i="2"/>
  <c r="B179" i="2"/>
  <c r="I179" i="2"/>
  <c r="J179" i="2" s="1"/>
  <c r="K179" i="2" s="1"/>
  <c r="P179" i="2"/>
  <c r="F175" i="2"/>
  <c r="G173" i="2"/>
  <c r="G96" i="2"/>
  <c r="F96" i="2"/>
  <c r="C185" i="2"/>
  <c r="D185" i="2"/>
  <c r="G185" i="2" s="1"/>
  <c r="P185" i="2"/>
  <c r="B185" i="2"/>
  <c r="H185" i="2"/>
  <c r="M185" i="2"/>
  <c r="R185" i="2"/>
  <c r="I185" i="2"/>
  <c r="S185" i="2"/>
  <c r="G128" i="2"/>
  <c r="D193" i="2"/>
  <c r="G193" i="2" s="1"/>
  <c r="P193" i="2"/>
  <c r="B193" i="2"/>
  <c r="H193" i="2"/>
  <c r="M193" i="2"/>
  <c r="R193" i="2"/>
  <c r="C193" i="2"/>
  <c r="I193" i="2"/>
  <c r="S193" i="2"/>
  <c r="J191" i="2"/>
  <c r="K191" i="2" s="1"/>
  <c r="R183" i="2"/>
  <c r="C180" i="2"/>
  <c r="Q180" i="2"/>
  <c r="I180" i="2"/>
  <c r="L193" i="2"/>
  <c r="F191" i="2"/>
  <c r="G189" i="2"/>
  <c r="F189" i="2"/>
  <c r="Q185" i="2"/>
  <c r="L183" i="2"/>
  <c r="G163" i="2"/>
  <c r="G147" i="2"/>
  <c r="F147" i="2"/>
  <c r="G104" i="2"/>
  <c r="E167" i="2"/>
  <c r="J3" i="21" s="1"/>
  <c r="R181" i="2"/>
  <c r="Q171" i="2"/>
  <c r="L171" i="2"/>
  <c r="E171" i="2"/>
  <c r="Q167" i="2"/>
  <c r="L167" i="2"/>
  <c r="D167" i="2"/>
  <c r="L159" i="2"/>
  <c r="N159" i="2" s="1"/>
  <c r="O159" i="2" s="1"/>
  <c r="D159" i="2"/>
  <c r="G159" i="2" s="1"/>
  <c r="M192" i="2"/>
  <c r="N191" i="2"/>
  <c r="O191" i="2" s="1"/>
  <c r="E177" i="2"/>
  <c r="G177" i="2" s="1"/>
  <c r="I174" i="2"/>
  <c r="P171" i="2"/>
  <c r="D171" i="2"/>
  <c r="F171" i="2" s="1"/>
  <c r="C167" i="2"/>
  <c r="H3" i="21" s="1"/>
  <c r="P159" i="2"/>
  <c r="C159" i="2"/>
  <c r="Q158" i="2"/>
  <c r="Q157" i="2"/>
  <c r="P155" i="2"/>
  <c r="I155" i="2"/>
  <c r="D155" i="2"/>
  <c r="P151" i="2"/>
  <c r="C151" i="2"/>
  <c r="Q150" i="2"/>
  <c r="Q149" i="2"/>
  <c r="L141" i="2"/>
  <c r="Q191" i="2"/>
  <c r="E191" i="2"/>
  <c r="G191" i="2" s="1"/>
  <c r="S190" i="2"/>
  <c r="E190" i="2"/>
  <c r="R187" i="2"/>
  <c r="M187" i="2"/>
  <c r="N187" i="2" s="1"/>
  <c r="O187" i="2" s="1"/>
  <c r="E187" i="2"/>
  <c r="G187" i="2" s="1"/>
  <c r="Q186" i="2"/>
  <c r="P181" i="2"/>
  <c r="H181" i="2"/>
  <c r="C181" i="2"/>
  <c r="F181" i="2" s="1"/>
  <c r="P177" i="2"/>
  <c r="S176" i="2"/>
  <c r="E176" i="2"/>
  <c r="Q175" i="2"/>
  <c r="E175" i="2"/>
  <c r="G175" i="2" s="1"/>
  <c r="S174" i="2"/>
  <c r="N173" i="2"/>
  <c r="O173" i="2" s="1"/>
  <c r="S171" i="2"/>
  <c r="I171" i="2"/>
  <c r="B171" i="2"/>
  <c r="L169" i="2"/>
  <c r="L168" i="2"/>
  <c r="S167" i="2"/>
  <c r="H167" i="2"/>
  <c r="B3" i="21" s="1"/>
  <c r="B167" i="2"/>
  <c r="I166" i="2"/>
  <c r="L165" i="2"/>
  <c r="S163" i="2"/>
  <c r="M163" i="2"/>
  <c r="N163" i="2" s="1"/>
  <c r="O163" i="2" s="1"/>
  <c r="H163" i="2"/>
  <c r="C163" i="2"/>
  <c r="F163" i="2" s="1"/>
  <c r="L161" i="2"/>
  <c r="L160" i="2"/>
  <c r="S159" i="2"/>
  <c r="H159" i="2"/>
  <c r="J159" i="2" s="1"/>
  <c r="K159" i="2" s="1"/>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J128" i="2" s="1"/>
  <c r="K128" i="2" s="1"/>
  <c r="Q127" i="2"/>
  <c r="S124" i="2"/>
  <c r="I124" i="2"/>
  <c r="C124" i="2"/>
  <c r="I123" i="2"/>
  <c r="I122" i="2"/>
  <c r="L121" i="2"/>
  <c r="N120" i="2"/>
  <c r="O120" i="2" s="1"/>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N88" i="2"/>
  <c r="O88" i="2" s="1"/>
  <c r="L86" i="2"/>
  <c r="P84" i="2"/>
  <c r="S83" i="2"/>
  <c r="Q81" i="2"/>
  <c r="S80" i="2"/>
  <c r="M80" i="2"/>
  <c r="N80" i="2" s="1"/>
  <c r="O80" i="2" s="1"/>
  <c r="B80" i="2"/>
  <c r="I77" i="2"/>
  <c r="Q74" i="2"/>
  <c r="J72" i="2"/>
  <c r="K72" i="2" s="1"/>
  <c r="B72" i="2"/>
  <c r="M72" i="2"/>
  <c r="S72" i="2"/>
  <c r="L70" i="2"/>
  <c r="I67" i="2"/>
  <c r="R64" i="2"/>
  <c r="I64" i="2"/>
  <c r="L62" i="2"/>
  <c r="S60" i="2"/>
  <c r="L60" i="2"/>
  <c r="I58" i="2"/>
  <c r="I57" i="2"/>
  <c r="D57" i="2"/>
  <c r="M56" i="2"/>
  <c r="N56" i="2" s="1"/>
  <c r="O56" i="2" s="1"/>
  <c r="L53" i="2"/>
  <c r="Q52" i="2"/>
  <c r="Q50" i="2"/>
  <c r="D46" i="2"/>
  <c r="L46" i="2"/>
  <c r="S44" i="2"/>
  <c r="M44" i="2"/>
  <c r="D42" i="2"/>
  <c r="I41" i="2"/>
  <c r="Q41" i="2"/>
  <c r="L40" i="2"/>
  <c r="M32" i="2"/>
  <c r="N32" i="2" s="1"/>
  <c r="O32" i="2" s="1"/>
  <c r="B28" i="2"/>
  <c r="H28" i="2"/>
  <c r="J28" i="2" s="1"/>
  <c r="K28" i="2" s="1"/>
  <c r="M28" i="2"/>
  <c r="N28" i="2" s="1"/>
  <c r="O28" i="2" s="1"/>
  <c r="R28" i="2"/>
  <c r="Q26" i="2"/>
  <c r="R24" i="2"/>
  <c r="H24" i="2"/>
  <c r="D20" i="2"/>
  <c r="I20" i="2"/>
  <c r="J20" i="2" s="1"/>
  <c r="K20" i="2" s="1"/>
  <c r="S20" i="2"/>
  <c r="Q12" i="2"/>
  <c r="C6" i="3"/>
  <c r="H10" i="2"/>
  <c r="B188" i="3"/>
  <c r="I188" i="3"/>
  <c r="K188" i="3" s="1"/>
  <c r="O188" i="3"/>
  <c r="K187" i="3"/>
  <c r="P186" i="3"/>
  <c r="B182" i="3"/>
  <c r="D182" i="3"/>
  <c r="M182" i="3"/>
  <c r="M179" i="3"/>
  <c r="K175" i="3"/>
  <c r="B175" i="3"/>
  <c r="G175" i="3"/>
  <c r="M175" i="3"/>
  <c r="Q175" i="3"/>
  <c r="B174" i="3"/>
  <c r="G174" i="3"/>
  <c r="O174" i="3"/>
  <c r="B172" i="3"/>
  <c r="M172" i="3"/>
  <c r="P170" i="3"/>
  <c r="P167" i="3"/>
  <c r="I167" i="3"/>
  <c r="B166" i="3"/>
  <c r="C166" i="3"/>
  <c r="E166" i="3" s="1"/>
  <c r="L166" i="3"/>
  <c r="Q166" i="3"/>
  <c r="Q164" i="3"/>
  <c r="B163" i="3"/>
  <c r="G163" i="3"/>
  <c r="E163" i="5" s="1"/>
  <c r="M163" i="3"/>
  <c r="Q163" i="3"/>
  <c r="B162" i="3"/>
  <c r="G162" i="3"/>
  <c r="O162" i="3"/>
  <c r="Q159" i="3"/>
  <c r="L159" i="3"/>
  <c r="O158" i="3"/>
  <c r="M155" i="3"/>
  <c r="E154" i="3"/>
  <c r="J152" i="3"/>
  <c r="P151" i="3"/>
  <c r="J151" i="3"/>
  <c r="K151" i="3" s="1"/>
  <c r="M150" i="3"/>
  <c r="B148" i="3"/>
  <c r="I148" i="3"/>
  <c r="M147" i="3"/>
  <c r="P146" i="3"/>
  <c r="C143" i="3"/>
  <c r="E143" i="3" s="1"/>
  <c r="I143" i="3"/>
  <c r="N143" i="3"/>
  <c r="P139" i="3"/>
  <c r="J139" i="3"/>
  <c r="K139" i="3" s="1"/>
  <c r="M138" i="3"/>
  <c r="C7" i="28" s="1"/>
  <c r="D137" i="3"/>
  <c r="Q137" i="3"/>
  <c r="Q134" i="3"/>
  <c r="L131" i="3"/>
  <c r="P130" i="3"/>
  <c r="N129" i="3"/>
  <c r="M127" i="3"/>
  <c r="B126" i="3"/>
  <c r="C126" i="3"/>
  <c r="O126" i="3"/>
  <c r="O123" i="3"/>
  <c r="M116" i="3"/>
  <c r="D115" i="3"/>
  <c r="O115" i="3"/>
  <c r="G115" i="3"/>
  <c r="Q115" i="3"/>
  <c r="B114" i="3"/>
  <c r="M114" i="3"/>
  <c r="F114" i="3"/>
  <c r="P114" i="3"/>
  <c r="K112" i="3"/>
  <c r="Q111" i="3"/>
  <c r="D110" i="3"/>
  <c r="N110" i="3"/>
  <c r="F110" i="3"/>
  <c r="Q110" i="3"/>
  <c r="B109" i="3"/>
  <c r="M109" i="3"/>
  <c r="F109" i="3"/>
  <c r="O109" i="3"/>
  <c r="G107" i="3"/>
  <c r="E107" i="5" s="1"/>
  <c r="L107" i="3"/>
  <c r="D88" i="3"/>
  <c r="J88" i="3"/>
  <c r="O88" i="3"/>
  <c r="B88" i="3"/>
  <c r="G88" i="3"/>
  <c r="M88" i="3"/>
  <c r="Q88" i="3"/>
  <c r="C88" i="3"/>
  <c r="I88" i="3"/>
  <c r="N88" i="3"/>
  <c r="D84" i="3"/>
  <c r="J84" i="3"/>
  <c r="O84" i="3"/>
  <c r="B84" i="3"/>
  <c r="G84" i="3"/>
  <c r="M84" i="3"/>
  <c r="Q84" i="3"/>
  <c r="C84" i="3"/>
  <c r="I84" i="3"/>
  <c r="N84" i="3"/>
  <c r="H171" i="2"/>
  <c r="J171" i="2" s="1"/>
  <c r="K171" i="2" s="1"/>
  <c r="Q132" i="2"/>
  <c r="L132" i="2"/>
  <c r="N132" i="2" s="1"/>
  <c r="O132" i="2" s="1"/>
  <c r="E132" i="2"/>
  <c r="Q130" i="2"/>
  <c r="N112" i="2"/>
  <c r="O112" i="2" s="1"/>
  <c r="C64" i="2"/>
  <c r="H64" i="2"/>
  <c r="P64" i="2"/>
  <c r="I55" i="2"/>
  <c r="Q55" i="2"/>
  <c r="C52" i="2"/>
  <c r="I52" i="2"/>
  <c r="J52" i="2" s="1"/>
  <c r="K52" i="2" s="1"/>
  <c r="S52" i="2"/>
  <c r="C43" i="2"/>
  <c r="S43" i="2"/>
  <c r="D37" i="2"/>
  <c r="I37" i="2"/>
  <c r="G32"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O150" i="3"/>
  <c r="B139" i="3"/>
  <c r="G139" i="3"/>
  <c r="M139" i="3"/>
  <c r="Q139" i="3"/>
  <c r="B138" i="3"/>
  <c r="G138" i="3"/>
  <c r="O138" i="3"/>
  <c r="F136" i="3"/>
  <c r="Q136" i="3"/>
  <c r="E130" i="3"/>
  <c r="B123" i="3"/>
  <c r="G123" i="3"/>
  <c r="M123" i="3"/>
  <c r="Q123" i="3"/>
  <c r="C123" i="3"/>
  <c r="I123" i="3"/>
  <c r="N123" i="3"/>
  <c r="C116" i="3"/>
  <c r="I116" i="3"/>
  <c r="N116" i="3"/>
  <c r="D116" i="3"/>
  <c r="J116" i="3"/>
  <c r="O116" i="3"/>
  <c r="D111" i="3"/>
  <c r="E111" i="3" s="1"/>
  <c r="M111" i="3"/>
  <c r="G111" i="3"/>
  <c r="O111" i="3"/>
  <c r="D100" i="3"/>
  <c r="J100" i="3"/>
  <c r="O100" i="3"/>
  <c r="B100" i="3"/>
  <c r="G100" i="3"/>
  <c r="H100" i="3" s="1"/>
  <c r="M100" i="3"/>
  <c r="Q100" i="3"/>
  <c r="C100" i="3"/>
  <c r="I100" i="3"/>
  <c r="N100" i="3"/>
  <c r="N155" i="2"/>
  <c r="O155" i="2" s="1"/>
  <c r="M176" i="2"/>
  <c r="J173" i="2"/>
  <c r="K173" i="2" s="1"/>
  <c r="Q159" i="2"/>
  <c r="Q151" i="2"/>
  <c r="L151" i="2"/>
  <c r="D151" i="2"/>
  <c r="N136" i="2"/>
  <c r="O136" i="2" s="1"/>
  <c r="P132" i="2"/>
  <c r="D132" i="2"/>
  <c r="L130" i="2"/>
  <c r="Q129" i="2"/>
  <c r="J120" i="2"/>
  <c r="K120" i="2" s="1"/>
  <c r="Q112" i="2"/>
  <c r="I112" i="2"/>
  <c r="D112" i="2"/>
  <c r="N104" i="2"/>
  <c r="O104" i="2" s="1"/>
  <c r="P100" i="2"/>
  <c r="D100" i="2"/>
  <c r="G100" i="2" s="1"/>
  <c r="L98" i="2"/>
  <c r="Q97" i="2"/>
  <c r="J88" i="2"/>
  <c r="K88" i="2" s="1"/>
  <c r="Q80" i="2"/>
  <c r="I80" i="2"/>
  <c r="D80" i="2"/>
  <c r="I73" i="2"/>
  <c r="Q73" i="2"/>
  <c r="G72" i="2"/>
  <c r="F72" i="2"/>
  <c r="M64" i="2"/>
  <c r="E64" i="2"/>
  <c r="B60" i="2"/>
  <c r="H60" i="2"/>
  <c r="J60" i="2" s="1"/>
  <c r="K60" i="2" s="1"/>
  <c r="M60" i="2"/>
  <c r="R60" i="2"/>
  <c r="Q58" i="2"/>
  <c r="M52" i="2"/>
  <c r="E52" i="2"/>
  <c r="I49" i="2"/>
  <c r="L49" i="2"/>
  <c r="J48" i="2"/>
  <c r="K48" i="2" s="1"/>
  <c r="Q42" i="2"/>
  <c r="J40" i="2"/>
  <c r="K40" i="2" s="1"/>
  <c r="B40" i="2"/>
  <c r="M40" i="2"/>
  <c r="S40" i="2"/>
  <c r="G28" i="2"/>
  <c r="I25" i="2"/>
  <c r="D25" i="2"/>
  <c r="M24" i="2"/>
  <c r="E24" i="2"/>
  <c r="C13" i="2"/>
  <c r="I13" i="2"/>
  <c r="C12" i="2"/>
  <c r="F12" i="2" s="1"/>
  <c r="H12" i="2"/>
  <c r="M12" i="2"/>
  <c r="R12" i="2"/>
  <c r="B186" i="3"/>
  <c r="D186" i="3"/>
  <c r="M186" i="3"/>
  <c r="B184" i="3"/>
  <c r="N184" i="3"/>
  <c r="K183" i="3"/>
  <c r="E183" i="3"/>
  <c r="M181" i="3"/>
  <c r="I176" i="3"/>
  <c r="Q176" i="3"/>
  <c r="M173" i="3"/>
  <c r="B170" i="3"/>
  <c r="D170" i="3"/>
  <c r="E170" i="3" s="1"/>
  <c r="M170" i="3"/>
  <c r="B168" i="3"/>
  <c r="N168" i="3"/>
  <c r="M167" i="3"/>
  <c r="F167" i="3"/>
  <c r="D161" i="3"/>
  <c r="Q161" i="3"/>
  <c r="D159" i="3"/>
  <c r="E159" i="3" s="1"/>
  <c r="J159" i="3"/>
  <c r="K159" i="3" s="1"/>
  <c r="O159" i="3"/>
  <c r="I158" i="3"/>
  <c r="N151" i="3"/>
  <c r="F151" i="3"/>
  <c r="Q150" i="3"/>
  <c r="I150" i="3"/>
  <c r="I149" i="3"/>
  <c r="Q149" i="3"/>
  <c r="B146" i="3"/>
  <c r="C146" i="3"/>
  <c r="L146" i="3"/>
  <c r="Q146" i="3"/>
  <c r="N139" i="3"/>
  <c r="F139" i="3"/>
  <c r="Q138" i="3"/>
  <c r="I138" i="3"/>
  <c r="J136" i="3"/>
  <c r="B131" i="3"/>
  <c r="G131" i="3"/>
  <c r="M131" i="3"/>
  <c r="Q131" i="3"/>
  <c r="B130" i="3"/>
  <c r="G130" i="3"/>
  <c r="E130" i="5" s="1"/>
  <c r="O130" i="3"/>
  <c r="C129" i="3"/>
  <c r="D129" i="3"/>
  <c r="L129" i="3"/>
  <c r="Q129" i="3"/>
  <c r="J123" i="3"/>
  <c r="Q116" i="3"/>
  <c r="G116" i="3"/>
  <c r="L111" i="3"/>
  <c r="P100" i="3"/>
  <c r="L88" i="3"/>
  <c r="D80" i="3"/>
  <c r="J80" i="3"/>
  <c r="O80" i="3"/>
  <c r="B80" i="3"/>
  <c r="G80" i="3"/>
  <c r="M80" i="3"/>
  <c r="Q80" i="3"/>
  <c r="C80" i="3"/>
  <c r="I80" i="3"/>
  <c r="N80" i="3"/>
  <c r="M171" i="2"/>
  <c r="R151" i="2"/>
  <c r="M151" i="2"/>
  <c r="E151" i="2"/>
  <c r="L181" i="2"/>
  <c r="N181" i="2" s="1"/>
  <c r="O181" i="2" s="1"/>
  <c r="E181" i="2"/>
  <c r="G181" i="2" s="1"/>
  <c r="Q155" i="2"/>
  <c r="N147" i="2"/>
  <c r="O147" i="2" s="1"/>
  <c r="H187" i="2"/>
  <c r="Q181" i="2"/>
  <c r="I181" i="2"/>
  <c r="P167" i="2"/>
  <c r="D3" i="21" s="1"/>
  <c r="Q165" i="2"/>
  <c r="P163" i="2"/>
  <c r="I163" i="2"/>
  <c r="Q136" i="2"/>
  <c r="I136" i="2"/>
  <c r="Q135" i="2"/>
  <c r="S132" i="2"/>
  <c r="I132" i="2"/>
  <c r="L129" i="2"/>
  <c r="N128" i="2"/>
  <c r="O128" i="2" s="1"/>
  <c r="P124" i="2"/>
  <c r="S123" i="2"/>
  <c r="Q121" i="2"/>
  <c r="F120" i="2"/>
  <c r="P112" i="2"/>
  <c r="H112" i="2"/>
  <c r="L109" i="2"/>
  <c r="Q104" i="2"/>
  <c r="I104" i="2"/>
  <c r="Q103" i="2"/>
  <c r="S100" i="2"/>
  <c r="I100" i="2"/>
  <c r="L97" i="2"/>
  <c r="N96" i="2"/>
  <c r="O96" i="2" s="1"/>
  <c r="P92" i="2"/>
  <c r="S91" i="2"/>
  <c r="Q89" i="2"/>
  <c r="F88" i="2"/>
  <c r="P80" i="2"/>
  <c r="H80" i="2"/>
  <c r="L77" i="2"/>
  <c r="D69" i="2"/>
  <c r="I69" i="2"/>
  <c r="S67" i="2"/>
  <c r="S64" i="2"/>
  <c r="L64" i="2"/>
  <c r="D64" i="2"/>
  <c r="I63" i="2"/>
  <c r="C63" i="2"/>
  <c r="D61" i="2"/>
  <c r="L61" i="2"/>
  <c r="E60" i="2"/>
  <c r="G60" i="2" s="1"/>
  <c r="L58" i="2"/>
  <c r="D56" i="2"/>
  <c r="I56" i="2"/>
  <c r="J56" i="2" s="1"/>
  <c r="K56" i="2" s="1"/>
  <c r="Q56" i="2"/>
  <c r="R52" i="2"/>
  <c r="L52" i="2"/>
  <c r="D52" i="2"/>
  <c r="C51" i="2"/>
  <c r="I51" i="2"/>
  <c r="J44" i="2"/>
  <c r="K44" i="2" s="1"/>
  <c r="D44" i="2"/>
  <c r="G44" i="2" s="1"/>
  <c r="P44" i="2"/>
  <c r="I42" i="2"/>
  <c r="P40" i="2"/>
  <c r="E40" i="2"/>
  <c r="G40" i="2" s="1"/>
  <c r="C32" i="2"/>
  <c r="F32" i="2" s="1"/>
  <c r="H32" i="2"/>
  <c r="J32" i="2" s="1"/>
  <c r="K32" i="2" s="1"/>
  <c r="P32" i="2"/>
  <c r="S24" i="2"/>
  <c r="L24" i="2"/>
  <c r="N24" i="2" s="1"/>
  <c r="O24" i="2" s="1"/>
  <c r="C24" i="2"/>
  <c r="Q13" i="2"/>
  <c r="S12" i="2"/>
  <c r="L12" i="2"/>
  <c r="E12" i="2"/>
  <c r="G12" i="2" s="1"/>
  <c r="Q186" i="3"/>
  <c r="I186" i="3"/>
  <c r="Q185" i="3"/>
  <c r="J184" i="3"/>
  <c r="L181" i="3"/>
  <c r="C179" i="3"/>
  <c r="E179" i="3" s="1"/>
  <c r="I179" i="3"/>
  <c r="K179" i="3" s="1"/>
  <c r="N179" i="3"/>
  <c r="J176" i="3"/>
  <c r="E175" i="3"/>
  <c r="L173" i="3"/>
  <c r="Q170" i="3"/>
  <c r="I170" i="3"/>
  <c r="Q169" i="3"/>
  <c r="J168" i="3"/>
  <c r="Q167" i="3"/>
  <c r="L167" i="3"/>
  <c r="C167" i="3"/>
  <c r="E162" i="3"/>
  <c r="M160" i="3"/>
  <c r="B160" i="3"/>
  <c r="N160" i="3"/>
  <c r="M159" i="3"/>
  <c r="F159" i="3"/>
  <c r="H159" i="3" s="1"/>
  <c r="P158" i="3"/>
  <c r="G158" i="3"/>
  <c r="C155" i="3"/>
  <c r="I155" i="3"/>
  <c r="K155" i="3" s="1"/>
  <c r="N155" i="3"/>
  <c r="L151" i="3"/>
  <c r="D151" i="3"/>
  <c r="E151" i="3" s="1"/>
  <c r="P150" i="3"/>
  <c r="D150" i="3"/>
  <c r="M149" i="3"/>
  <c r="D147" i="3"/>
  <c r="J147" i="3"/>
  <c r="K147" i="3" s="1"/>
  <c r="O147" i="3"/>
  <c r="I146" i="3"/>
  <c r="B140" i="3"/>
  <c r="Q140" i="3"/>
  <c r="L139" i="3"/>
  <c r="D139" i="3"/>
  <c r="E139" i="3" s="1"/>
  <c r="P138" i="3"/>
  <c r="D138" i="3"/>
  <c r="I136" i="3"/>
  <c r="B134" i="3"/>
  <c r="D134" i="3"/>
  <c r="M134" i="3"/>
  <c r="N131" i="3"/>
  <c r="F131" i="3"/>
  <c r="Q130" i="3"/>
  <c r="I130" i="3"/>
  <c r="P129" i="3"/>
  <c r="I129" i="3"/>
  <c r="K129" i="3" s="1"/>
  <c r="C127" i="3"/>
  <c r="E127" i="3" s="1"/>
  <c r="I127" i="3"/>
  <c r="N127" i="3"/>
  <c r="P123" i="3"/>
  <c r="F123" i="3"/>
  <c r="H123" i="3" s="1"/>
  <c r="M120" i="3"/>
  <c r="Q120" i="3"/>
  <c r="E119" i="3"/>
  <c r="P116" i="3"/>
  <c r="F116" i="3"/>
  <c r="I111" i="3"/>
  <c r="F105" i="3"/>
  <c r="I105" i="3"/>
  <c r="L100" i="3"/>
  <c r="G95" i="3"/>
  <c r="O95" i="3"/>
  <c r="C95" i="3"/>
  <c r="L95" i="3"/>
  <c r="Q95" i="3"/>
  <c r="D95" i="3"/>
  <c r="M95" i="3"/>
  <c r="F90" i="3"/>
  <c r="M90" i="3"/>
  <c r="B90" i="3"/>
  <c r="J90" i="3"/>
  <c r="K90" i="3" s="1"/>
  <c r="P90" i="3"/>
  <c r="D90" i="3"/>
  <c r="L90" i="3"/>
  <c r="Q90" i="3"/>
  <c r="F88" i="3"/>
  <c r="H88" i="3" s="1"/>
  <c r="F84" i="3"/>
  <c r="P80" i="3"/>
  <c r="O92" i="3"/>
  <c r="J92" i="3"/>
  <c r="D92" i="3"/>
  <c r="E92" i="3" s="1"/>
  <c r="Q91" i="3"/>
  <c r="I78" i="3"/>
  <c r="Q77" i="3"/>
  <c r="G77" i="3"/>
  <c r="F73" i="3"/>
  <c r="L71" i="3"/>
  <c r="Q70" i="3"/>
  <c r="Q69" i="3"/>
  <c r="J69" i="3"/>
  <c r="C69" i="3"/>
  <c r="I67" i="3"/>
  <c r="Q66" i="3"/>
  <c r="J66" i="3"/>
  <c r="Q65" i="3"/>
  <c r="H64" i="3"/>
  <c r="M63" i="3"/>
  <c r="D63" i="3"/>
  <c r="O60" i="3"/>
  <c r="J60" i="3"/>
  <c r="D60" i="3"/>
  <c r="Q59" i="3"/>
  <c r="Q58" i="3"/>
  <c r="L58" i="3"/>
  <c r="D58" i="3"/>
  <c r="N56" i="3"/>
  <c r="I56" i="3"/>
  <c r="D56" i="3"/>
  <c r="E56" i="3" s="1"/>
  <c r="Q55" i="3"/>
  <c r="G55" i="3"/>
  <c r="L54" i="3"/>
  <c r="O52" i="3"/>
  <c r="J52" i="3"/>
  <c r="D52" i="3"/>
  <c r="Q51" i="3"/>
  <c r="G51" i="3"/>
  <c r="P50" i="3"/>
  <c r="F50" i="3"/>
  <c r="O48" i="3"/>
  <c r="J48" i="3"/>
  <c r="D48" i="3"/>
  <c r="E48" i="3" s="1"/>
  <c r="N44" i="3"/>
  <c r="I44" i="3"/>
  <c r="C44" i="3"/>
  <c r="L43" i="3"/>
  <c r="I41" i="3"/>
  <c r="L34" i="3"/>
  <c r="Q31" i="3"/>
  <c r="I31" i="3"/>
  <c r="D30" i="3"/>
  <c r="N30" i="3"/>
  <c r="G29" i="3"/>
  <c r="D24" i="3"/>
  <c r="E24" i="3" s="1"/>
  <c r="J24" i="3"/>
  <c r="K24" i="3" s="1"/>
  <c r="O24" i="3"/>
  <c r="B22" i="3"/>
  <c r="L22" i="3"/>
  <c r="B21" i="3"/>
  <c r="I21" i="3"/>
  <c r="K21" i="3" s="1"/>
  <c r="O21" i="3"/>
  <c r="M20" i="3"/>
  <c r="F20" i="3"/>
  <c r="H20" i="3" s="1"/>
  <c r="G19" i="3"/>
  <c r="Q19" i="3"/>
  <c r="J18" i="3"/>
  <c r="B17" i="3"/>
  <c r="F17" i="3"/>
  <c r="M16" i="3"/>
  <c r="F16" i="3"/>
  <c r="P15" i="3"/>
  <c r="G15" i="3"/>
  <c r="C12" i="3"/>
  <c r="I12" i="3"/>
  <c r="K12" i="3" s="1"/>
  <c r="N12" i="3"/>
  <c r="Q10" i="3"/>
  <c r="I10" i="3"/>
  <c r="L8" i="3"/>
  <c r="D8" i="3"/>
  <c r="L185" i="7"/>
  <c r="B184" i="7"/>
  <c r="C184" i="7"/>
  <c r="K184" i="7"/>
  <c r="E184" i="7"/>
  <c r="M184" i="7"/>
  <c r="G184" i="7"/>
  <c r="O184" i="7"/>
  <c r="C173" i="7"/>
  <c r="B173" i="7"/>
  <c r="H173" i="7"/>
  <c r="M173" i="7"/>
  <c r="D173" i="7"/>
  <c r="I173" i="7"/>
  <c r="N173" i="7"/>
  <c r="E173" i="7"/>
  <c r="J173" i="7"/>
  <c r="N48" i="2"/>
  <c r="O48" i="2" s="1"/>
  <c r="H183" i="3"/>
  <c r="H135" i="3"/>
  <c r="K125" i="3"/>
  <c r="M121" i="3"/>
  <c r="F121" i="3"/>
  <c r="O108" i="3"/>
  <c r="J108" i="3"/>
  <c r="K108" i="3" s="1"/>
  <c r="H104" i="3"/>
  <c r="M101" i="3"/>
  <c r="O96" i="3"/>
  <c r="J96" i="3"/>
  <c r="K96" i="3" s="1"/>
  <c r="N92" i="3"/>
  <c r="I92" i="3"/>
  <c r="L91" i="3"/>
  <c r="M85" i="3"/>
  <c r="O79" i="3"/>
  <c r="Q78" i="3"/>
  <c r="O77" i="3"/>
  <c r="M74" i="3"/>
  <c r="Q73" i="3"/>
  <c r="C73" i="3"/>
  <c r="O72" i="3"/>
  <c r="J72" i="3"/>
  <c r="K72" i="3" s="1"/>
  <c r="Q71" i="3"/>
  <c r="L70" i="3"/>
  <c r="O69" i="3"/>
  <c r="I69" i="3"/>
  <c r="B69" i="3"/>
  <c r="O68" i="3"/>
  <c r="J68" i="3"/>
  <c r="K68" i="3" s="1"/>
  <c r="Q67" i="3"/>
  <c r="P66" i="3"/>
  <c r="F65" i="3"/>
  <c r="O64" i="3"/>
  <c r="J64" i="3"/>
  <c r="K64" i="3" s="1"/>
  <c r="Q63" i="3"/>
  <c r="L63" i="3"/>
  <c r="C63" i="3"/>
  <c r="N60" i="3"/>
  <c r="I60" i="3"/>
  <c r="L59" i="3"/>
  <c r="P58" i="3"/>
  <c r="J58" i="3"/>
  <c r="B58" i="3"/>
  <c r="Q56" i="3"/>
  <c r="M56" i="3"/>
  <c r="P55" i="3"/>
  <c r="C55" i="3"/>
  <c r="F54" i="3"/>
  <c r="N52" i="3"/>
  <c r="I52" i="3"/>
  <c r="O51" i="3"/>
  <c r="D51" i="3"/>
  <c r="M50" i="3"/>
  <c r="B50" i="3"/>
  <c r="N48" i="3"/>
  <c r="I48" i="3"/>
  <c r="Q45" i="3"/>
  <c r="Q44" i="3"/>
  <c r="M44" i="3"/>
  <c r="G44" i="3"/>
  <c r="H44" i="3" s="1"/>
  <c r="B44" i="3"/>
  <c r="G43" i="3"/>
  <c r="Q38" i="3"/>
  <c r="B37" i="3"/>
  <c r="I37" i="3"/>
  <c r="K37" i="3" s="1"/>
  <c r="K36" i="3"/>
  <c r="B33" i="3"/>
  <c r="Q33" i="3"/>
  <c r="P31" i="3"/>
  <c r="L30" i="3"/>
  <c r="Q29" i="3"/>
  <c r="F26" i="3"/>
  <c r="M26" i="3"/>
  <c r="C25" i="3"/>
  <c r="Q25" i="3"/>
  <c r="M24" i="3"/>
  <c r="F24" i="3"/>
  <c r="H24" i="3" s="1"/>
  <c r="G23" i="3"/>
  <c r="Q23" i="3"/>
  <c r="Q21" i="3"/>
  <c r="G21" i="3"/>
  <c r="E21" i="5" s="1"/>
  <c r="F21" i="5" s="1"/>
  <c r="G21" i="5" s="1"/>
  <c r="Q20" i="3"/>
  <c r="L20" i="3"/>
  <c r="L19" i="3"/>
  <c r="Q18" i="3"/>
  <c r="Q16" i="3"/>
  <c r="L16" i="3"/>
  <c r="O15" i="3"/>
  <c r="M12" i="3"/>
  <c r="F12" i="3"/>
  <c r="N10" i="3"/>
  <c r="N9" i="3"/>
  <c r="P8" i="3"/>
  <c r="J8" i="3"/>
  <c r="B179" i="7"/>
  <c r="F179" i="7"/>
  <c r="J179" i="7"/>
  <c r="N179" i="7"/>
  <c r="C179" i="7"/>
  <c r="G179" i="7"/>
  <c r="K179" i="7"/>
  <c r="O179" i="7"/>
  <c r="D179" i="7"/>
  <c r="H179" i="7"/>
  <c r="L179" i="7"/>
  <c r="E64" i="3"/>
  <c r="B29" i="3"/>
  <c r="M29" i="3"/>
  <c r="F18" i="3"/>
  <c r="P18" i="3"/>
  <c r="C15" i="3"/>
  <c r="E15" i="3" s="1"/>
  <c r="L15" i="3"/>
  <c r="Q15" i="3"/>
  <c r="B8" i="3"/>
  <c r="G8" i="3"/>
  <c r="E8" i="5" s="1"/>
  <c r="F8" i="5" s="1"/>
  <c r="G8" i="5" s="1"/>
  <c r="M8" i="3"/>
  <c r="Q8" i="3"/>
  <c r="C185" i="7"/>
  <c r="B185" i="7"/>
  <c r="H185" i="7"/>
  <c r="M185" i="7"/>
  <c r="D185" i="7"/>
  <c r="I185" i="7"/>
  <c r="N185" i="7"/>
  <c r="E185" i="7"/>
  <c r="J185" i="7"/>
  <c r="E178" i="7"/>
  <c r="I178" i="7"/>
  <c r="M178" i="7"/>
  <c r="B172" i="7"/>
  <c r="C172" i="7"/>
  <c r="K172" i="7"/>
  <c r="E172" i="7"/>
  <c r="M172" i="7"/>
  <c r="G172" i="7"/>
  <c r="O172" i="7"/>
  <c r="E79" i="3"/>
  <c r="K76" i="3"/>
  <c r="M69" i="3"/>
  <c r="O63" i="3"/>
  <c r="H60" i="3"/>
  <c r="M58" i="3"/>
  <c r="K56" i="3"/>
  <c r="Q54" i="3"/>
  <c r="Q50" i="3"/>
  <c r="O44" i="3"/>
  <c r="J44" i="3"/>
  <c r="Q43" i="3"/>
  <c r="J34" i="3"/>
  <c r="Q34" i="3"/>
  <c r="D31" i="3"/>
  <c r="E31" i="3" s="1"/>
  <c r="M31" i="3"/>
  <c r="J29" i="3"/>
  <c r="D20" i="3"/>
  <c r="E20" i="3" s="1"/>
  <c r="J20" i="3"/>
  <c r="K20" i="3" s="1"/>
  <c r="O20" i="3"/>
  <c r="L18" i="3"/>
  <c r="D16" i="3"/>
  <c r="J16" i="3"/>
  <c r="K16" i="3" s="1"/>
  <c r="O16" i="3"/>
  <c r="I15" i="3"/>
  <c r="C11" i="3"/>
  <c r="L11" i="3"/>
  <c r="B10" i="3"/>
  <c r="J10" i="3"/>
  <c r="P10" i="3"/>
  <c r="N8" i="3"/>
  <c r="F8" i="3"/>
  <c r="I184" i="7"/>
  <c r="I179" i="7"/>
  <c r="F173" i="7"/>
  <c r="O183" i="7"/>
  <c r="K183" i="7"/>
  <c r="G183" i="7"/>
  <c r="C183" i="7"/>
  <c r="N177" i="7"/>
  <c r="I177" i="7"/>
  <c r="D177" i="7"/>
  <c r="M176" i="7"/>
  <c r="E176" i="7"/>
  <c r="O171" i="7"/>
  <c r="K171" i="7"/>
  <c r="G171" i="7"/>
  <c r="C171" i="7"/>
  <c r="I170" i="7"/>
  <c r="N165" i="7"/>
  <c r="I165" i="7"/>
  <c r="D165" i="7"/>
  <c r="M164" i="7"/>
  <c r="E164" i="7"/>
  <c r="I157" i="7"/>
  <c r="O156" i="7"/>
  <c r="K156" i="7"/>
  <c r="G156" i="7"/>
  <c r="C156" i="7"/>
  <c r="N155" i="7"/>
  <c r="I155" i="7"/>
  <c r="C155" i="7"/>
  <c r="F151" i="7"/>
  <c r="K145" i="7"/>
  <c r="J145" i="12" s="1"/>
  <c r="E145" i="7"/>
  <c r="O144" i="7"/>
  <c r="K144" i="7"/>
  <c r="G144" i="7"/>
  <c r="C144" i="7"/>
  <c r="M142" i="7"/>
  <c r="F142" i="7"/>
  <c r="L137" i="7"/>
  <c r="E137" i="7"/>
  <c r="I135" i="7"/>
  <c r="N134" i="7"/>
  <c r="I134" i="7"/>
  <c r="D134" i="7"/>
  <c r="I130" i="7"/>
  <c r="O129" i="7"/>
  <c r="I129" i="7"/>
  <c r="D129" i="7"/>
  <c r="G125" i="7"/>
  <c r="N123" i="7"/>
  <c r="I123" i="7"/>
  <c r="C123" i="7"/>
  <c r="K120" i="7"/>
  <c r="E120" i="7"/>
  <c r="B119" i="7"/>
  <c r="I119" i="7"/>
  <c r="D118" i="7"/>
  <c r="I118" i="7"/>
  <c r="N118" i="7"/>
  <c r="B115" i="7"/>
  <c r="J115" i="7"/>
  <c r="K113" i="7"/>
  <c r="B112" i="7"/>
  <c r="F112" i="7"/>
  <c r="J112" i="7"/>
  <c r="N112" i="7"/>
  <c r="K108" i="7"/>
  <c r="J108" i="12" s="1"/>
  <c r="E108" i="7"/>
  <c r="K107" i="7"/>
  <c r="K105" i="7"/>
  <c r="M104" i="7"/>
  <c r="G104" i="7"/>
  <c r="N103" i="7"/>
  <c r="L102" i="7"/>
  <c r="K99" i="7"/>
  <c r="J99" i="12" s="1"/>
  <c r="G92" i="7"/>
  <c r="F88" i="7"/>
  <c r="B87" i="7"/>
  <c r="C87" i="7"/>
  <c r="N87" i="7"/>
  <c r="I87" i="7"/>
  <c r="K87" i="7"/>
  <c r="K83" i="7"/>
  <c r="H32" i="3"/>
  <c r="H28" i="3"/>
  <c r="L187" i="7"/>
  <c r="H187" i="7"/>
  <c r="N183" i="7"/>
  <c r="J183" i="7"/>
  <c r="F183" i="7"/>
  <c r="J181" i="7"/>
  <c r="E181" i="7"/>
  <c r="O180" i="7"/>
  <c r="G180" i="7"/>
  <c r="M177" i="7"/>
  <c r="H177" i="7"/>
  <c r="B177" i="7"/>
  <c r="K176" i="7"/>
  <c r="C176" i="7"/>
  <c r="N171" i="7"/>
  <c r="J171" i="7"/>
  <c r="F171" i="7"/>
  <c r="L167" i="7"/>
  <c r="H167" i="7"/>
  <c r="M166" i="7"/>
  <c r="M165" i="7"/>
  <c r="H165" i="7"/>
  <c r="B165" i="7"/>
  <c r="K164" i="7"/>
  <c r="C164" i="7"/>
  <c r="J161" i="7"/>
  <c r="E161" i="7"/>
  <c r="O160" i="7"/>
  <c r="G160" i="7"/>
  <c r="G157" i="7"/>
  <c r="N156" i="7"/>
  <c r="J156" i="7"/>
  <c r="F156" i="7"/>
  <c r="M155" i="7"/>
  <c r="G155" i="7"/>
  <c r="L152" i="7"/>
  <c r="H152" i="7"/>
  <c r="N151" i="7"/>
  <c r="C151" i="7"/>
  <c r="I146" i="7"/>
  <c r="O145" i="7"/>
  <c r="I145" i="7"/>
  <c r="D145" i="7"/>
  <c r="N144" i="7"/>
  <c r="J144" i="7"/>
  <c r="F144" i="7"/>
  <c r="L142" i="7"/>
  <c r="E142" i="7"/>
  <c r="K137" i="7"/>
  <c r="F135" i="7"/>
  <c r="M134" i="7"/>
  <c r="H134" i="7"/>
  <c r="L132" i="7"/>
  <c r="H132" i="7"/>
  <c r="F130" i="7"/>
  <c r="M129" i="7"/>
  <c r="H129" i="7"/>
  <c r="O125" i="7"/>
  <c r="D125" i="7"/>
  <c r="M123" i="7"/>
  <c r="G123" i="7"/>
  <c r="H121" i="7"/>
  <c r="O120" i="7"/>
  <c r="I120" i="7"/>
  <c r="D120" i="7"/>
  <c r="K119" i="7"/>
  <c r="F118" i="7"/>
  <c r="B114" i="7"/>
  <c r="I114" i="7"/>
  <c r="D113" i="7"/>
  <c r="I113" i="7"/>
  <c r="O113" i="7"/>
  <c r="J108" i="7"/>
  <c r="E107" i="7"/>
  <c r="J107" i="7"/>
  <c r="O107" i="7"/>
  <c r="F107" i="7"/>
  <c r="M107" i="7"/>
  <c r="G105" i="7"/>
  <c r="L104" i="7"/>
  <c r="E104" i="7"/>
  <c r="F103" i="7"/>
  <c r="D102" i="7"/>
  <c r="I102" i="7"/>
  <c r="I102" i="12" s="1"/>
  <c r="N102" i="7"/>
  <c r="F102" i="7"/>
  <c r="M102" i="7"/>
  <c r="F99" i="7"/>
  <c r="M92" i="7"/>
  <c r="M88" i="7"/>
  <c r="B82" i="7"/>
  <c r="D82" i="7"/>
  <c r="N82" i="7"/>
  <c r="I82" i="7"/>
  <c r="L82" i="7"/>
  <c r="E166" i="7"/>
  <c r="O157" i="7"/>
  <c r="D157" i="7"/>
  <c r="M145" i="7"/>
  <c r="H145" i="7"/>
  <c r="J142" i="7"/>
  <c r="N135" i="7"/>
  <c r="C135" i="7"/>
  <c r="N130" i="7"/>
  <c r="D130" i="7"/>
  <c r="M120" i="7"/>
  <c r="H120" i="7"/>
  <c r="C117" i="7"/>
  <c r="G117" i="7"/>
  <c r="D108" i="7"/>
  <c r="H108" i="7"/>
  <c r="L108" i="7"/>
  <c r="K108" i="12" s="1"/>
  <c r="C108" i="7"/>
  <c r="I108" i="7"/>
  <c r="N108" i="7"/>
  <c r="B106" i="7"/>
  <c r="L106" i="7"/>
  <c r="F106" i="7"/>
  <c r="K104" i="7"/>
  <c r="C101" i="7"/>
  <c r="G101" i="7"/>
  <c r="L101" i="7"/>
  <c r="O99" i="7"/>
  <c r="B92" i="7"/>
  <c r="F92" i="7"/>
  <c r="J92" i="7"/>
  <c r="N92" i="7"/>
  <c r="D92" i="7"/>
  <c r="I92" i="7"/>
  <c r="O92" i="7"/>
  <c r="E92" i="7"/>
  <c r="K92" i="7"/>
  <c r="D88" i="7"/>
  <c r="H88" i="7"/>
  <c r="L88" i="7"/>
  <c r="C88" i="7"/>
  <c r="I88" i="7"/>
  <c r="N88" i="7"/>
  <c r="E88" i="7"/>
  <c r="J88" i="7"/>
  <c r="O88" i="7"/>
  <c r="B120" i="7"/>
  <c r="F120" i="7"/>
  <c r="J120" i="7"/>
  <c r="N120" i="7"/>
  <c r="E105" i="7"/>
  <c r="L105" i="7"/>
  <c r="H105" i="7"/>
  <c r="B104" i="7"/>
  <c r="F104" i="7"/>
  <c r="J104" i="7"/>
  <c r="N104" i="7"/>
  <c r="D104" i="7"/>
  <c r="I104" i="7"/>
  <c r="I104" i="12" s="1"/>
  <c r="O104" i="7"/>
  <c r="B103" i="7"/>
  <c r="I103" i="7"/>
  <c r="K103" i="7"/>
  <c r="B99" i="7"/>
  <c r="J99" i="7"/>
  <c r="G99" i="7"/>
  <c r="H92" i="7"/>
  <c r="G88" i="7"/>
  <c r="F83" i="7"/>
  <c r="M83" i="7"/>
  <c r="E83" i="7"/>
  <c r="O83" i="7"/>
  <c r="G83" i="7"/>
  <c r="D80" i="7"/>
  <c r="H80" i="7"/>
  <c r="L80" i="7"/>
  <c r="E80" i="7"/>
  <c r="J80" i="7"/>
  <c r="O80" i="7"/>
  <c r="B80" i="7"/>
  <c r="G80" i="7"/>
  <c r="M80" i="7"/>
  <c r="C80" i="7"/>
  <c r="I80" i="7"/>
  <c r="N80" i="7"/>
  <c r="E78" i="7"/>
  <c r="L78" i="7"/>
  <c r="H78" i="7"/>
  <c r="B78" i="7"/>
  <c r="M78" i="7"/>
  <c r="F78" i="7"/>
  <c r="B96" i="7"/>
  <c r="F96" i="7"/>
  <c r="J96" i="7"/>
  <c r="N96" i="7"/>
  <c r="C93" i="7"/>
  <c r="G93" i="7"/>
  <c r="B91" i="7"/>
  <c r="G91" i="7"/>
  <c r="M91" i="7"/>
  <c r="C84" i="7"/>
  <c r="G84" i="7"/>
  <c r="K84" i="7"/>
  <c r="O84" i="7"/>
  <c r="B79" i="7"/>
  <c r="K79" i="7"/>
  <c r="D76" i="7"/>
  <c r="H76" i="7"/>
  <c r="L76" i="7"/>
  <c r="B72" i="7"/>
  <c r="F72" i="7"/>
  <c r="J72" i="7"/>
  <c r="N72" i="7"/>
  <c r="K67" i="7"/>
  <c r="M64" i="7"/>
  <c r="E64" i="7"/>
  <c r="M60" i="7"/>
  <c r="E60" i="7"/>
  <c r="E59" i="7"/>
  <c r="J59" i="7"/>
  <c r="O59" i="7"/>
  <c r="B59" i="7"/>
  <c r="G59" i="7"/>
  <c r="M59" i="7"/>
  <c r="O56" i="7"/>
  <c r="G56" i="7"/>
  <c r="K55" i="7"/>
  <c r="K51" i="7"/>
  <c r="L50" i="7"/>
  <c r="K48" i="7"/>
  <c r="O44" i="7"/>
  <c r="G44" i="7"/>
  <c r="N43" i="7"/>
  <c r="O36" i="7"/>
  <c r="G36" i="7"/>
  <c r="B34" i="7"/>
  <c r="F34" i="7"/>
  <c r="C29" i="7"/>
  <c r="G29" i="7"/>
  <c r="I24" i="7"/>
  <c r="I16" i="7"/>
  <c r="C185" i="6"/>
  <c r="G185" i="6"/>
  <c r="K185" i="6"/>
  <c r="O185" i="6"/>
  <c r="D185" i="6"/>
  <c r="H185" i="6"/>
  <c r="L185" i="6"/>
  <c r="B185" i="6"/>
  <c r="F185" i="6"/>
  <c r="J185" i="6"/>
  <c r="N185" i="6"/>
  <c r="B98" i="7"/>
  <c r="I98" i="7"/>
  <c r="D97" i="7"/>
  <c r="I97" i="7"/>
  <c r="O97" i="7"/>
  <c r="K96" i="7"/>
  <c r="E96" i="7"/>
  <c r="L93" i="7"/>
  <c r="N91" i="7"/>
  <c r="F91" i="7"/>
  <c r="J84" i="7"/>
  <c r="E84" i="7"/>
  <c r="O76" i="7"/>
  <c r="J76" i="7"/>
  <c r="E76" i="7"/>
  <c r="E75" i="7"/>
  <c r="J75" i="7"/>
  <c r="O75" i="7"/>
  <c r="E73" i="7"/>
  <c r="L73" i="7"/>
  <c r="K72" i="7"/>
  <c r="E72" i="7"/>
  <c r="B71" i="7"/>
  <c r="I71" i="7"/>
  <c r="D70" i="7"/>
  <c r="I70" i="7"/>
  <c r="N70" i="7"/>
  <c r="K64" i="7"/>
  <c r="K60" i="7"/>
  <c r="I59" i="7"/>
  <c r="M56" i="7"/>
  <c r="B48" i="7"/>
  <c r="F48" i="7"/>
  <c r="J48" i="7"/>
  <c r="N48" i="7"/>
  <c r="D48" i="7"/>
  <c r="H48" i="7"/>
  <c r="L48" i="7"/>
  <c r="M44" i="7"/>
  <c r="B43" i="7"/>
  <c r="G43" i="7"/>
  <c r="M43" i="7"/>
  <c r="E43" i="7"/>
  <c r="J43" i="7"/>
  <c r="O43" i="7"/>
  <c r="M36" i="7"/>
  <c r="C20" i="7"/>
  <c r="G20" i="7"/>
  <c r="K20" i="7"/>
  <c r="O20" i="7"/>
  <c r="D20" i="7"/>
  <c r="H20" i="7"/>
  <c r="L20" i="7"/>
  <c r="B20" i="7"/>
  <c r="F20" i="7"/>
  <c r="J20" i="7"/>
  <c r="N20" i="7"/>
  <c r="C12" i="7"/>
  <c r="G12" i="7"/>
  <c r="K12" i="7"/>
  <c r="O12" i="7"/>
  <c r="D12" i="7"/>
  <c r="H12" i="7"/>
  <c r="L12" i="7"/>
  <c r="B12" i="7"/>
  <c r="F12" i="7"/>
  <c r="J12" i="7"/>
  <c r="N12" i="7"/>
  <c r="C189" i="6"/>
  <c r="G189" i="6"/>
  <c r="K189" i="6"/>
  <c r="O189" i="6"/>
  <c r="D189" i="6"/>
  <c r="H189" i="6"/>
  <c r="L189" i="6"/>
  <c r="O190" i="12" s="1"/>
  <c r="B189" i="6"/>
  <c r="F189" i="6"/>
  <c r="J189" i="6"/>
  <c r="N189" i="6"/>
  <c r="D64" i="7"/>
  <c r="H64" i="7"/>
  <c r="L64" i="7"/>
  <c r="B64" i="7"/>
  <c r="F64" i="7"/>
  <c r="J64" i="7"/>
  <c r="N64" i="7"/>
  <c r="D60" i="7"/>
  <c r="H60" i="7"/>
  <c r="L60" i="7"/>
  <c r="B60" i="7"/>
  <c r="F60" i="7"/>
  <c r="J60" i="7"/>
  <c r="N60" i="7"/>
  <c r="B55" i="7"/>
  <c r="I55" i="7"/>
  <c r="C55" i="7"/>
  <c r="N55" i="7"/>
  <c r="B50" i="7"/>
  <c r="I50" i="7"/>
  <c r="D50" i="7"/>
  <c r="N50" i="7"/>
  <c r="C24" i="7"/>
  <c r="G24" i="7"/>
  <c r="K24" i="7"/>
  <c r="O24" i="7"/>
  <c r="D24" i="7"/>
  <c r="H24" i="7"/>
  <c r="L24" i="7"/>
  <c r="B24" i="7"/>
  <c r="F24" i="7"/>
  <c r="J24" i="7"/>
  <c r="N24" i="7"/>
  <c r="C19" i="7"/>
  <c r="I19" i="7"/>
  <c r="M19" i="7"/>
  <c r="E19" i="7"/>
  <c r="C16" i="7"/>
  <c r="G16" i="7"/>
  <c r="K16" i="7"/>
  <c r="O16" i="7"/>
  <c r="D16" i="7"/>
  <c r="H16" i="7"/>
  <c r="L16" i="7"/>
  <c r="B16" i="7"/>
  <c r="F16" i="7"/>
  <c r="J16" i="7"/>
  <c r="N16" i="7"/>
  <c r="D184" i="6"/>
  <c r="E184" i="6"/>
  <c r="M184" i="6"/>
  <c r="G184" i="6"/>
  <c r="O184" i="6"/>
  <c r="C184" i="6"/>
  <c r="K184" i="6"/>
  <c r="B74" i="7"/>
  <c r="L74" i="7"/>
  <c r="C69" i="7"/>
  <c r="G69" i="7"/>
  <c r="F67" i="7"/>
  <c r="M67" i="7"/>
  <c r="B67" i="7"/>
  <c r="J67" i="7"/>
  <c r="O64" i="7"/>
  <c r="G64" i="7"/>
  <c r="O60" i="7"/>
  <c r="G60" i="7"/>
  <c r="B56" i="7"/>
  <c r="F56" i="7"/>
  <c r="J56" i="7"/>
  <c r="N56" i="7"/>
  <c r="D56" i="7"/>
  <c r="H56" i="7"/>
  <c r="L56" i="7"/>
  <c r="C53" i="7"/>
  <c r="G53" i="7"/>
  <c r="B51" i="7"/>
  <c r="J51" i="7"/>
  <c r="F51" i="7"/>
  <c r="M51" i="7"/>
  <c r="B44" i="7"/>
  <c r="F44" i="7"/>
  <c r="J44" i="7"/>
  <c r="N44" i="7"/>
  <c r="D44" i="7"/>
  <c r="H44" i="7"/>
  <c r="L44" i="7"/>
  <c r="B39" i="7"/>
  <c r="F39" i="7"/>
  <c r="D36" i="7"/>
  <c r="H36" i="7"/>
  <c r="L36" i="7"/>
  <c r="B36" i="7"/>
  <c r="F36" i="7"/>
  <c r="J36" i="7"/>
  <c r="N36" i="7"/>
  <c r="D11" i="7"/>
  <c r="E11" i="7"/>
  <c r="M11" i="7"/>
  <c r="G11" i="7"/>
  <c r="O11" i="7"/>
  <c r="C11" i="7"/>
  <c r="K11" i="7"/>
  <c r="D188" i="6"/>
  <c r="E188" i="6"/>
  <c r="M188" i="6"/>
  <c r="G188" i="6"/>
  <c r="O188" i="6"/>
  <c r="C188" i="6"/>
  <c r="K188" i="6"/>
  <c r="O65" i="7"/>
  <c r="I65" i="7"/>
  <c r="G61" i="7"/>
  <c r="O52" i="7"/>
  <c r="K52" i="7"/>
  <c r="G52" i="7"/>
  <c r="K47" i="7"/>
  <c r="L46" i="7"/>
  <c r="L42" i="7"/>
  <c r="L41" i="7"/>
  <c r="G37" i="7"/>
  <c r="C4" i="21" s="1"/>
  <c r="K35" i="7"/>
  <c r="F31" i="7"/>
  <c r="L30" i="7"/>
  <c r="F26" i="7"/>
  <c r="L25" i="7"/>
  <c r="N22" i="7"/>
  <c r="I22" i="7"/>
  <c r="D22" i="7"/>
  <c r="M21" i="7"/>
  <c r="N14" i="7"/>
  <c r="I14" i="7"/>
  <c r="D14" i="7"/>
  <c r="M13" i="7"/>
  <c r="O8" i="7"/>
  <c r="K8" i="7"/>
  <c r="G8" i="7"/>
  <c r="M7" i="7"/>
  <c r="E7" i="7"/>
  <c r="J179" i="6"/>
  <c r="E179" i="6"/>
  <c r="I178" i="6"/>
  <c r="J175" i="6"/>
  <c r="E175" i="6"/>
  <c r="L173" i="6"/>
  <c r="H173" i="6"/>
  <c r="D173" i="6"/>
  <c r="O172" i="6"/>
  <c r="G172" i="6"/>
  <c r="N171" i="6"/>
  <c r="I171" i="6"/>
  <c r="L169" i="6"/>
  <c r="O169" i="12" s="1"/>
  <c r="H169" i="6"/>
  <c r="D169" i="6"/>
  <c r="O168" i="6"/>
  <c r="G168" i="6"/>
  <c r="N167" i="6"/>
  <c r="I167" i="6"/>
  <c r="O165" i="6"/>
  <c r="K165" i="6"/>
  <c r="N165" i="12" s="1"/>
  <c r="G165" i="6"/>
  <c r="M164" i="6"/>
  <c r="E164" i="6"/>
  <c r="M163" i="6"/>
  <c r="E233" i="2" s="1"/>
  <c r="H163" i="6"/>
  <c r="D232" i="2" s="1"/>
  <c r="B163" i="6"/>
  <c r="O161" i="6"/>
  <c r="K161" i="6"/>
  <c r="G161" i="6"/>
  <c r="M160" i="6"/>
  <c r="E160" i="6"/>
  <c r="M159" i="6"/>
  <c r="H159" i="6"/>
  <c r="B159" i="6"/>
  <c r="N157" i="6"/>
  <c r="J157" i="6"/>
  <c r="F157" i="6"/>
  <c r="B157" i="6"/>
  <c r="K156" i="6"/>
  <c r="C156" i="6"/>
  <c r="N153" i="6"/>
  <c r="J153" i="6"/>
  <c r="F153" i="6"/>
  <c r="B153" i="6"/>
  <c r="K152" i="6"/>
  <c r="C152" i="6"/>
  <c r="J147" i="6"/>
  <c r="E147" i="6"/>
  <c r="I146" i="6"/>
  <c r="O144" i="6"/>
  <c r="I144" i="6"/>
  <c r="N143" i="6"/>
  <c r="J143" i="6"/>
  <c r="F143" i="6"/>
  <c r="B143" i="6"/>
  <c r="I142" i="6"/>
  <c r="Q142" i="12" s="1"/>
  <c r="M141" i="6"/>
  <c r="F141" i="6"/>
  <c r="L139" i="6"/>
  <c r="H139" i="6"/>
  <c r="P139" i="12" s="1"/>
  <c r="D139" i="6"/>
  <c r="O138" i="6"/>
  <c r="J138" i="6"/>
  <c r="E138" i="6"/>
  <c r="N137" i="6"/>
  <c r="D137" i="6"/>
  <c r="K136" i="6"/>
  <c r="C136" i="6"/>
  <c r="M133" i="6"/>
  <c r="H133" i="6"/>
  <c r="B133" i="6"/>
  <c r="I132" i="6"/>
  <c r="M132" i="12" s="1"/>
  <c r="O131" i="6"/>
  <c r="K131" i="6"/>
  <c r="G131" i="6"/>
  <c r="M130" i="6"/>
  <c r="F130" i="6"/>
  <c r="F129" i="6"/>
  <c r="L128" i="6"/>
  <c r="M127" i="6"/>
  <c r="H127" i="6"/>
  <c r="F125" i="6"/>
  <c r="M125" i="6"/>
  <c r="M123" i="6"/>
  <c r="G123" i="6"/>
  <c r="K122" i="6"/>
  <c r="C120" i="6"/>
  <c r="K120" i="6"/>
  <c r="J117" i="6"/>
  <c r="M115" i="6"/>
  <c r="H115" i="6"/>
  <c r="F114" i="6"/>
  <c r="M114" i="6"/>
  <c r="D111" i="6"/>
  <c r="H111" i="6"/>
  <c r="L111" i="6"/>
  <c r="O111" i="12" s="1"/>
  <c r="B110" i="6"/>
  <c r="C110" i="6"/>
  <c r="N110" i="6"/>
  <c r="K107" i="6"/>
  <c r="E107" i="6"/>
  <c r="J105" i="6"/>
  <c r="I104" i="6"/>
  <c r="O103" i="6"/>
  <c r="I103" i="6"/>
  <c r="C100" i="6"/>
  <c r="B99" i="6"/>
  <c r="F99" i="6"/>
  <c r="J99" i="6"/>
  <c r="N99" i="6"/>
  <c r="L97" i="6"/>
  <c r="E96" i="6"/>
  <c r="M96" i="6"/>
  <c r="K95" i="6"/>
  <c r="E95" i="6"/>
  <c r="I92" i="6"/>
  <c r="Q92" i="12" s="1"/>
  <c r="M91" i="6"/>
  <c r="H91" i="6"/>
  <c r="M89" i="6"/>
  <c r="F89" i="6"/>
  <c r="O88" i="6"/>
  <c r="B87" i="6"/>
  <c r="F87" i="6"/>
  <c r="J87" i="6"/>
  <c r="N87" i="6"/>
  <c r="M83" i="6"/>
  <c r="K79" i="6"/>
  <c r="O75" i="6"/>
  <c r="G75" i="6"/>
  <c r="M71" i="6"/>
  <c r="C70" i="6"/>
  <c r="M70" i="6"/>
  <c r="E70" i="6"/>
  <c r="D67" i="6"/>
  <c r="H67" i="6"/>
  <c r="L67" i="6"/>
  <c r="B67" i="6"/>
  <c r="F67" i="6"/>
  <c r="J67" i="6"/>
  <c r="N67" i="6"/>
  <c r="O63" i="6"/>
  <c r="G63" i="6"/>
  <c r="N62" i="6"/>
  <c r="D61" i="6"/>
  <c r="N61" i="6"/>
  <c r="I61" i="6"/>
  <c r="C60" i="6"/>
  <c r="K60" i="6"/>
  <c r="G60" i="6"/>
  <c r="M60" i="6"/>
  <c r="I57" i="6"/>
  <c r="O54" i="6"/>
  <c r="B127" i="6"/>
  <c r="F127" i="6"/>
  <c r="J127" i="6"/>
  <c r="N127" i="6"/>
  <c r="D123" i="6"/>
  <c r="H123" i="6"/>
  <c r="L123" i="6"/>
  <c r="B117" i="6"/>
  <c r="H117" i="6"/>
  <c r="M117" i="6"/>
  <c r="C115" i="6"/>
  <c r="G115" i="6"/>
  <c r="K115" i="6"/>
  <c r="O115" i="6"/>
  <c r="D105" i="6"/>
  <c r="I105" i="6"/>
  <c r="M105" i="12" s="1"/>
  <c r="N105" i="6"/>
  <c r="C102" i="6"/>
  <c r="E102" i="6"/>
  <c r="B91" i="6"/>
  <c r="F91" i="6"/>
  <c r="J91" i="6"/>
  <c r="N91" i="6"/>
  <c r="E88" i="6"/>
  <c r="M88" i="6"/>
  <c r="D79" i="6"/>
  <c r="H79" i="6"/>
  <c r="L79" i="6"/>
  <c r="O79" i="12" s="1"/>
  <c r="B79" i="6"/>
  <c r="F79" i="6"/>
  <c r="J79" i="6"/>
  <c r="N79" i="6"/>
  <c r="B65" i="6"/>
  <c r="J65" i="6"/>
  <c r="F65" i="6"/>
  <c r="M65" i="6"/>
  <c r="E62" i="6"/>
  <c r="J62" i="6"/>
  <c r="O62" i="6"/>
  <c r="B62" i="6"/>
  <c r="G62" i="6"/>
  <c r="M62" i="6"/>
  <c r="D53" i="6"/>
  <c r="N53" i="6"/>
  <c r="L53" i="6"/>
  <c r="F53" i="6"/>
  <c r="I23" i="7"/>
  <c r="I15" i="7"/>
  <c r="M179" i="6"/>
  <c r="H179" i="6"/>
  <c r="B179" i="6"/>
  <c r="M175" i="6"/>
  <c r="H175" i="6"/>
  <c r="B175" i="6"/>
  <c r="N173" i="6"/>
  <c r="J173" i="6"/>
  <c r="F173" i="6"/>
  <c r="K172" i="6"/>
  <c r="C172" i="6"/>
  <c r="N169" i="6"/>
  <c r="J169" i="6"/>
  <c r="F169" i="6"/>
  <c r="K168" i="6"/>
  <c r="C168" i="6"/>
  <c r="J163" i="6"/>
  <c r="E232" i="2" s="1"/>
  <c r="E163" i="6"/>
  <c r="D231" i="2" s="1"/>
  <c r="I162" i="6"/>
  <c r="J159" i="6"/>
  <c r="E159" i="6"/>
  <c r="L157" i="6"/>
  <c r="H157" i="6"/>
  <c r="D157" i="6"/>
  <c r="O156" i="6"/>
  <c r="G156" i="6"/>
  <c r="L153" i="6"/>
  <c r="H153" i="6"/>
  <c r="P153" i="12" s="1"/>
  <c r="D153" i="6"/>
  <c r="O152" i="6"/>
  <c r="G152" i="6"/>
  <c r="M147" i="6"/>
  <c r="H147" i="6"/>
  <c r="L143" i="6"/>
  <c r="H143" i="6"/>
  <c r="D143" i="6"/>
  <c r="N142" i="6"/>
  <c r="C142" i="6"/>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J115" i="6"/>
  <c r="E115" i="6"/>
  <c r="M107" i="6"/>
  <c r="H107" i="6"/>
  <c r="M105" i="6"/>
  <c r="F105" i="6"/>
  <c r="O104" i="6"/>
  <c r="B103" i="6"/>
  <c r="F103" i="6"/>
  <c r="J103" i="6"/>
  <c r="N103" i="6"/>
  <c r="K100" i="6"/>
  <c r="D97" i="6"/>
  <c r="I97" i="6"/>
  <c r="N97" i="6"/>
  <c r="M95" i="6"/>
  <c r="H95" i="6"/>
  <c r="P95" i="12" s="1"/>
  <c r="C94" i="6"/>
  <c r="L94" i="5" s="1"/>
  <c r="E94" i="6"/>
  <c r="K91" i="6"/>
  <c r="E91" i="6"/>
  <c r="J89" i="6"/>
  <c r="I88" i="6"/>
  <c r="C86" i="6"/>
  <c r="M86" i="6"/>
  <c r="E86" i="6"/>
  <c r="D83" i="6"/>
  <c r="H83" i="6"/>
  <c r="L83" i="6"/>
  <c r="O83" i="12" s="1"/>
  <c r="B83" i="6"/>
  <c r="F83" i="6"/>
  <c r="J83" i="6"/>
  <c r="N83" i="6"/>
  <c r="O79" i="6"/>
  <c r="G79" i="6"/>
  <c r="K75" i="6"/>
  <c r="D71" i="6"/>
  <c r="H71" i="6"/>
  <c r="L71" i="6"/>
  <c r="B71" i="6"/>
  <c r="F71" i="6"/>
  <c r="J71" i="6"/>
  <c r="N71" i="6"/>
  <c r="L65" i="6"/>
  <c r="K63" i="6"/>
  <c r="I62" i="6"/>
  <c r="N57" i="6"/>
  <c r="N163" i="6"/>
  <c r="I163" i="6"/>
  <c r="Q163" i="12" s="1"/>
  <c r="N159" i="6"/>
  <c r="I159" i="6"/>
  <c r="O157" i="6"/>
  <c r="K157" i="6"/>
  <c r="N157" i="12" s="1"/>
  <c r="G157" i="6"/>
  <c r="M156" i="6"/>
  <c r="E156" i="6"/>
  <c r="O153" i="6"/>
  <c r="K153" i="6"/>
  <c r="G153" i="6"/>
  <c r="M152" i="6"/>
  <c r="E152" i="6"/>
  <c r="O143" i="6"/>
  <c r="K143" i="6"/>
  <c r="G143" i="6"/>
  <c r="F137" i="6"/>
  <c r="L136" i="6"/>
  <c r="N133" i="6"/>
  <c r="I133" i="6"/>
  <c r="O127" i="6"/>
  <c r="I127" i="6"/>
  <c r="D127" i="6"/>
  <c r="N123" i="6"/>
  <c r="I123" i="6"/>
  <c r="Q123" i="12" s="1"/>
  <c r="C123" i="6"/>
  <c r="L117" i="6"/>
  <c r="E117" i="6"/>
  <c r="N115" i="6"/>
  <c r="I115" i="6"/>
  <c r="D115" i="6"/>
  <c r="B107" i="6"/>
  <c r="F107" i="6"/>
  <c r="J107" i="6"/>
  <c r="N107" i="6"/>
  <c r="L105" i="6"/>
  <c r="E105" i="6"/>
  <c r="E104" i="6"/>
  <c r="M104" i="6"/>
  <c r="M102" i="6"/>
  <c r="I100" i="6"/>
  <c r="M100" i="12" s="1"/>
  <c r="B95" i="6"/>
  <c r="F95" i="6"/>
  <c r="J95" i="6"/>
  <c r="N95" i="6"/>
  <c r="O91" i="6"/>
  <c r="I91" i="6"/>
  <c r="D91" i="6"/>
  <c r="D89" i="6"/>
  <c r="I89" i="6"/>
  <c r="N89" i="6"/>
  <c r="G88" i="6"/>
  <c r="M79" i="6"/>
  <c r="E79" i="6"/>
  <c r="C78" i="6"/>
  <c r="M78" i="6"/>
  <c r="E78" i="6"/>
  <c r="D75" i="6"/>
  <c r="H75" i="6"/>
  <c r="L75" i="6"/>
  <c r="B75" i="6"/>
  <c r="F75" i="6"/>
  <c r="J75" i="6"/>
  <c r="N75" i="6"/>
  <c r="H65" i="6"/>
  <c r="P65" i="12" s="1"/>
  <c r="D63" i="6"/>
  <c r="H63" i="6"/>
  <c r="L63" i="6"/>
  <c r="B63" i="6"/>
  <c r="F63" i="6"/>
  <c r="J63" i="6"/>
  <c r="N63" i="6"/>
  <c r="F62" i="6"/>
  <c r="B57" i="6"/>
  <c r="H57" i="6"/>
  <c r="M57" i="6"/>
  <c r="E57" i="6"/>
  <c r="J57" i="6"/>
  <c r="F54" i="6"/>
  <c r="M54" i="6"/>
  <c r="G54" i="6"/>
  <c r="B54" i="6"/>
  <c r="K54" i="6"/>
  <c r="N81" i="6"/>
  <c r="I81" i="6"/>
  <c r="M81" i="12" s="1"/>
  <c r="M80" i="6"/>
  <c r="N73" i="6"/>
  <c r="I73" i="6"/>
  <c r="M72" i="6"/>
  <c r="L64" i="6"/>
  <c r="O59" i="6"/>
  <c r="K59" i="6"/>
  <c r="G59" i="6"/>
  <c r="L55" i="6"/>
  <c r="H55" i="6"/>
  <c r="D55" i="6"/>
  <c r="D51" i="6"/>
  <c r="H51" i="6"/>
  <c r="L51" i="6"/>
  <c r="C50" i="6"/>
  <c r="N50" i="6"/>
  <c r="L48" i="6"/>
  <c r="M47" i="6"/>
  <c r="H47" i="6"/>
  <c r="K46" i="6"/>
  <c r="M43" i="6"/>
  <c r="G43" i="6"/>
  <c r="M39" i="6"/>
  <c r="H39" i="6"/>
  <c r="L39" i="12" s="1"/>
  <c r="E38" i="6"/>
  <c r="K38" i="6"/>
  <c r="M35" i="6"/>
  <c r="D31" i="6"/>
  <c r="H31" i="6"/>
  <c r="L31" i="6"/>
  <c r="B31" i="6"/>
  <c r="F31" i="6"/>
  <c r="J31" i="6"/>
  <c r="N31" i="6"/>
  <c r="G30" i="6"/>
  <c r="O30" i="6"/>
  <c r="C30" i="6"/>
  <c r="K30" i="6"/>
  <c r="M27" i="6"/>
  <c r="I22" i="6"/>
  <c r="Q22" i="12" s="1"/>
  <c r="I18" i="6"/>
  <c r="D18" i="6"/>
  <c r="O18" i="6"/>
  <c r="C12" i="6"/>
  <c r="K12" i="6"/>
  <c r="K9" i="6"/>
  <c r="B189" i="10"/>
  <c r="F189" i="10"/>
  <c r="J189" i="10"/>
  <c r="N189" i="10"/>
  <c r="D189" i="10"/>
  <c r="H189" i="10"/>
  <c r="L189" i="10"/>
  <c r="K185" i="10"/>
  <c r="B47" i="6"/>
  <c r="F47" i="6"/>
  <c r="J47" i="6"/>
  <c r="N47" i="6"/>
  <c r="D43" i="6"/>
  <c r="H43" i="6"/>
  <c r="L43" i="12" s="1"/>
  <c r="L43" i="6"/>
  <c r="C42" i="6"/>
  <c r="N42" i="6"/>
  <c r="B39" i="6"/>
  <c r="F39" i="6"/>
  <c r="J39" i="6"/>
  <c r="N39" i="6"/>
  <c r="D26" i="6"/>
  <c r="O26" i="6"/>
  <c r="I26" i="6"/>
  <c r="C24" i="6"/>
  <c r="B24" i="6"/>
  <c r="J24" i="6"/>
  <c r="F24" i="6"/>
  <c r="M24" i="6"/>
  <c r="G22" i="6"/>
  <c r="C20" i="6"/>
  <c r="K20" i="6"/>
  <c r="D19" i="6"/>
  <c r="B19" i="6"/>
  <c r="J19" i="6"/>
  <c r="F19" i="6"/>
  <c r="M19" i="6"/>
  <c r="B9" i="6"/>
  <c r="F9" i="6"/>
  <c r="J9" i="6"/>
  <c r="N9" i="6"/>
  <c r="D9" i="6"/>
  <c r="H9" i="6"/>
  <c r="L9" i="6"/>
  <c r="D185" i="10"/>
  <c r="H185" i="10"/>
  <c r="L185" i="10"/>
  <c r="B185" i="10"/>
  <c r="F185" i="10"/>
  <c r="J185" i="10"/>
  <c r="N185" i="10"/>
  <c r="B49" i="6"/>
  <c r="J49" i="6"/>
  <c r="K47" i="6"/>
  <c r="N47" i="12" s="1"/>
  <c r="E47" i="6"/>
  <c r="B46" i="6"/>
  <c r="G46" i="6"/>
  <c r="M46" i="6"/>
  <c r="O43" i="6"/>
  <c r="J43" i="6"/>
  <c r="E43" i="6"/>
  <c r="K42" i="6"/>
  <c r="K39" i="6"/>
  <c r="E39" i="6"/>
  <c r="D37" i="6"/>
  <c r="C234" i="2" s="1"/>
  <c r="F37" i="6"/>
  <c r="D35" i="6"/>
  <c r="H35" i="6"/>
  <c r="L35" i="6"/>
  <c r="B35" i="6"/>
  <c r="F35" i="6"/>
  <c r="J35" i="6"/>
  <c r="D27" i="6"/>
  <c r="H27" i="6"/>
  <c r="L27" i="12" s="1"/>
  <c r="L27" i="6"/>
  <c r="B27" i="6"/>
  <c r="F27" i="6"/>
  <c r="J27" i="6"/>
  <c r="N27" i="6"/>
  <c r="K24" i="6"/>
  <c r="O22" i="6"/>
  <c r="L19" i="6"/>
  <c r="D14" i="6"/>
  <c r="C14" i="6"/>
  <c r="K14" i="6"/>
  <c r="G14" i="6"/>
  <c r="M14" i="6"/>
  <c r="O9" i="6"/>
  <c r="G9" i="6"/>
  <c r="O185" i="10"/>
  <c r="G185" i="10"/>
  <c r="C22" i="6"/>
  <c r="H22" i="6"/>
  <c r="M22" i="6"/>
  <c r="E22" i="6"/>
  <c r="K22" i="6"/>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L33" i="6"/>
  <c r="N29" i="6"/>
  <c r="I29" i="6"/>
  <c r="M29" i="12" s="1"/>
  <c r="D29" i="6"/>
  <c r="O17" i="6"/>
  <c r="K17" i="6"/>
  <c r="G17" i="6"/>
  <c r="N16" i="6"/>
  <c r="I16" i="6"/>
  <c r="K8" i="6"/>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1" i="2"/>
  <c r="G245"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E129" i="3"/>
  <c r="N164" i="5"/>
  <c r="C162" i="5"/>
  <c r="O162" i="5"/>
  <c r="P162" i="5" s="1"/>
  <c r="K162" i="5"/>
  <c r="K156" i="5"/>
  <c r="C156" i="5"/>
  <c r="O156" i="5"/>
  <c r="P156" i="5" s="1"/>
  <c r="N154" i="5"/>
  <c r="N148" i="5"/>
  <c r="H167" i="3"/>
  <c r="E147" i="3"/>
  <c r="E131" i="3"/>
  <c r="K127" i="3"/>
  <c r="E123" i="3"/>
  <c r="K121" i="3"/>
  <c r="K117" i="3"/>
  <c r="E112" i="3"/>
  <c r="K104" i="3"/>
  <c r="H96" i="3"/>
  <c r="H92" i="3"/>
  <c r="K88" i="3"/>
  <c r="K44" i="3"/>
  <c r="C158" i="5"/>
  <c r="O158" i="5"/>
  <c r="P158" i="5" s="1"/>
  <c r="K158" i="5"/>
  <c r="K152" i="5"/>
  <c r="C152" i="5"/>
  <c r="O152" i="5"/>
  <c r="P152" i="5" s="1"/>
  <c r="K52" i="3"/>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H187" i="3"/>
  <c r="E178" i="3"/>
  <c r="E171" i="3"/>
  <c r="E155" i="3"/>
  <c r="E138" i="3"/>
  <c r="K119" i="3"/>
  <c r="H112" i="3"/>
  <c r="H108" i="3"/>
  <c r="E104" i="3"/>
  <c r="E96" i="3"/>
  <c r="E88" i="3"/>
  <c r="K84" i="3"/>
  <c r="I162" i="5"/>
  <c r="K160" i="5"/>
  <c r="C160" i="5"/>
  <c r="O160" i="5"/>
  <c r="P160" i="5" s="1"/>
  <c r="I156" i="5"/>
  <c r="C150" i="5"/>
  <c r="O150" i="5"/>
  <c r="P150" i="5" s="1"/>
  <c r="K150" i="5"/>
  <c r="K85" i="3"/>
  <c r="H80" i="3"/>
  <c r="H76" i="3"/>
  <c r="H68" i="3"/>
  <c r="K32" i="3"/>
  <c r="H12" i="3"/>
  <c r="K8" i="3"/>
  <c r="P163" i="5"/>
  <c r="P159" i="5"/>
  <c r="P155" i="5"/>
  <c r="P151" i="5"/>
  <c r="K146" i="5"/>
  <c r="P143" i="5"/>
  <c r="K142" i="5"/>
  <c r="P139" i="5"/>
  <c r="K138" i="5"/>
  <c r="P135" i="5"/>
  <c r="K134" i="5"/>
  <c r="P131" i="5"/>
  <c r="K130" i="5"/>
  <c r="K126" i="5"/>
  <c r="P123" i="5"/>
  <c r="K122" i="5"/>
  <c r="P119" i="5"/>
  <c r="K118" i="5"/>
  <c r="P115" i="5"/>
  <c r="K114" i="5"/>
  <c r="K110" i="5"/>
  <c r="O108" i="5"/>
  <c r="P108" i="5" s="1"/>
  <c r="C108" i="5"/>
  <c r="P107" i="5"/>
  <c r="K106" i="5"/>
  <c r="O104" i="5"/>
  <c r="P104" i="5" s="1"/>
  <c r="C104" i="5"/>
  <c r="P103" i="5"/>
  <c r="K102" i="5"/>
  <c r="O100" i="5"/>
  <c r="C100" i="5"/>
  <c r="P99" i="5"/>
  <c r="K98" i="5"/>
  <c r="O96" i="5"/>
  <c r="P96" i="5" s="1"/>
  <c r="C96" i="5"/>
  <c r="P95" i="5"/>
  <c r="K94" i="5"/>
  <c r="O92" i="5"/>
  <c r="P92" i="5" s="1"/>
  <c r="C92" i="5"/>
  <c r="P91" i="5"/>
  <c r="K90" i="5"/>
  <c r="O88" i="5"/>
  <c r="P88" i="5" s="1"/>
  <c r="C88" i="5"/>
  <c r="K86" i="5"/>
  <c r="O84" i="5"/>
  <c r="P84" i="5" s="1"/>
  <c r="C84" i="5"/>
  <c r="P83" i="5"/>
  <c r="K82" i="5"/>
  <c r="O80" i="5"/>
  <c r="P80" i="5" s="1"/>
  <c r="C80" i="5"/>
  <c r="P79" i="5"/>
  <c r="K78" i="5"/>
  <c r="O76" i="5"/>
  <c r="C76" i="5"/>
  <c r="P75" i="5"/>
  <c r="K74" i="5"/>
  <c r="O72" i="5"/>
  <c r="P72" i="5" s="1"/>
  <c r="C72" i="5"/>
  <c r="P71" i="5"/>
  <c r="K70" i="5"/>
  <c r="O68" i="5"/>
  <c r="P68" i="5" s="1"/>
  <c r="C68" i="5"/>
  <c r="P67" i="5"/>
  <c r="K66" i="5"/>
  <c r="O64" i="5"/>
  <c r="P64" i="5" s="1"/>
  <c r="C64" i="5"/>
  <c r="K49" i="5"/>
  <c r="O47" i="5"/>
  <c r="C47" i="5"/>
  <c r="K45" i="5"/>
  <c r="O43" i="5"/>
  <c r="C43" i="5"/>
  <c r="K41" i="5"/>
  <c r="O39" i="5"/>
  <c r="P39" i="5" s="1"/>
  <c r="C39" i="5"/>
  <c r="K37" i="5"/>
  <c r="O35" i="5"/>
  <c r="C35" i="5"/>
  <c r="K33" i="5"/>
  <c r="O31" i="5"/>
  <c r="C31" i="5"/>
  <c r="K29" i="5"/>
  <c r="O27" i="5"/>
  <c r="C27" i="5"/>
  <c r="K25" i="5"/>
  <c r="O23" i="5"/>
  <c r="P23" i="5" s="1"/>
  <c r="C23" i="5"/>
  <c r="K21" i="5"/>
  <c r="O19" i="5"/>
  <c r="C19" i="5"/>
  <c r="K17" i="5"/>
  <c r="O15" i="5"/>
  <c r="C15" i="5"/>
  <c r="K13" i="5"/>
  <c r="O11" i="5"/>
  <c r="C11" i="5"/>
  <c r="K9" i="5"/>
  <c r="O7" i="5"/>
  <c r="P7" i="5" s="1"/>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E72" i="3"/>
  <c r="K53" i="3"/>
  <c r="H48" i="3"/>
  <c r="K40" i="3"/>
  <c r="H36" i="3"/>
  <c r="E16" i="3"/>
  <c r="E8" i="3"/>
  <c r="P166" i="5"/>
  <c r="P161" i="5"/>
  <c r="P157" i="5"/>
  <c r="P153" i="5"/>
  <c r="P149" i="5"/>
  <c r="O146" i="5"/>
  <c r="O142" i="5"/>
  <c r="P142" i="5" s="1"/>
  <c r="O138" i="5"/>
  <c r="P138" i="5" s="1"/>
  <c r="P137" i="5"/>
  <c r="O134" i="5"/>
  <c r="P134" i="5" s="1"/>
  <c r="P133" i="5"/>
  <c r="O130" i="5"/>
  <c r="P130" i="5" s="1"/>
  <c r="P129" i="5"/>
  <c r="O126" i="5"/>
  <c r="P126" i="5" s="1"/>
  <c r="P125" i="5"/>
  <c r="O122" i="5"/>
  <c r="P121" i="5"/>
  <c r="O118" i="5"/>
  <c r="P118" i="5" s="1"/>
  <c r="P117" i="5"/>
  <c r="O114" i="5"/>
  <c r="P114" i="5" s="1"/>
  <c r="O110" i="5"/>
  <c r="K108" i="5"/>
  <c r="O106" i="5"/>
  <c r="P106" i="5" s="1"/>
  <c r="P105" i="5"/>
  <c r="K104" i="5"/>
  <c r="O102" i="5"/>
  <c r="P102" i="5" s="1"/>
  <c r="P101" i="5"/>
  <c r="K100" i="5"/>
  <c r="O98" i="5"/>
  <c r="P98" i="5" s="1"/>
  <c r="P97" i="5"/>
  <c r="K96" i="5"/>
  <c r="O94" i="5"/>
  <c r="P94" i="5" s="1"/>
  <c r="P93" i="5"/>
  <c r="K92" i="5"/>
  <c r="O90" i="5"/>
  <c r="P90" i="5" s="1"/>
  <c r="P89" i="5"/>
  <c r="K88" i="5"/>
  <c r="O86" i="5"/>
  <c r="P86" i="5" s="1"/>
  <c r="P85" i="5"/>
  <c r="K84" i="5"/>
  <c r="O82" i="5"/>
  <c r="P82" i="5" s="1"/>
  <c r="K80" i="5"/>
  <c r="O78" i="5"/>
  <c r="P78" i="5" s="1"/>
  <c r="P77" i="5"/>
  <c r="K76" i="5"/>
  <c r="O74" i="5"/>
  <c r="P73" i="5"/>
  <c r="K72" i="5"/>
  <c r="O70" i="5"/>
  <c r="P70" i="5" s="1"/>
  <c r="K68" i="5"/>
  <c r="O66" i="5"/>
  <c r="P66" i="5" s="1"/>
  <c r="P65" i="5"/>
  <c r="K64" i="5"/>
  <c r="O49" i="5"/>
  <c r="C49" i="5"/>
  <c r="K47" i="5"/>
  <c r="I46" i="5"/>
  <c r="O45" i="5"/>
  <c r="C45" i="5"/>
  <c r="K43" i="5"/>
  <c r="I42" i="5"/>
  <c r="O41" i="5"/>
  <c r="C41" i="5"/>
  <c r="K39" i="5"/>
  <c r="I38" i="5"/>
  <c r="O37" i="5"/>
  <c r="C37" i="5"/>
  <c r="K35" i="5"/>
  <c r="I34" i="5"/>
  <c r="O33" i="5"/>
  <c r="P33" i="5" s="1"/>
  <c r="C33" i="5"/>
  <c r="K31" i="5"/>
  <c r="I30" i="5"/>
  <c r="O29" i="5"/>
  <c r="C29" i="5"/>
  <c r="K27" i="5"/>
  <c r="I26" i="5"/>
  <c r="O25" i="5"/>
  <c r="C25" i="5"/>
  <c r="K23" i="5"/>
  <c r="I22" i="5"/>
  <c r="O21" i="5"/>
  <c r="P21" i="5" s="1"/>
  <c r="C21" i="5"/>
  <c r="K19" i="5"/>
  <c r="I18" i="5"/>
  <c r="O17" i="5"/>
  <c r="C17" i="5"/>
  <c r="K15" i="5"/>
  <c r="I14" i="5"/>
  <c r="O13" i="5"/>
  <c r="C13" i="5"/>
  <c r="K11" i="5"/>
  <c r="I10" i="5"/>
  <c r="O9" i="5"/>
  <c r="P9" i="5" s="1"/>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P146" i="5"/>
  <c r="P74" i="5"/>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G157" i="14" s="1"/>
  <c r="C146" i="14"/>
  <c r="D140" i="14"/>
  <c r="B140" i="14"/>
  <c r="E140" i="14"/>
  <c r="E138" i="14"/>
  <c r="C134" i="14"/>
  <c r="D134" i="14"/>
  <c r="C132" i="14"/>
  <c r="E132" i="14"/>
  <c r="G131" i="14"/>
  <c r="G123" i="14"/>
  <c r="C116" i="14"/>
  <c r="E116" i="14"/>
  <c r="G115"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G167" i="14" s="1"/>
  <c r="C165" i="14"/>
  <c r="E159" i="14"/>
  <c r="B153" i="14"/>
  <c r="G153" i="14" s="1"/>
  <c r="F153" i="14"/>
  <c r="D141" i="14"/>
  <c r="B141" i="14"/>
  <c r="G141" i="14" s="1"/>
  <c r="F141" i="14"/>
  <c r="F135" i="14"/>
  <c r="E133" i="14"/>
  <c r="E117" i="14"/>
  <c r="B101" i="14"/>
  <c r="G101" i="14" s="1"/>
  <c r="F101" i="14"/>
  <c r="C101" i="14"/>
  <c r="D101" i="14"/>
  <c r="D58" i="14"/>
  <c r="C58" i="14"/>
  <c r="E58" i="14"/>
  <c r="F105" i="14"/>
  <c r="B105" i="14"/>
  <c r="G105" i="14" s="1"/>
  <c r="E100" i="14"/>
  <c r="F89" i="14"/>
  <c r="B89" i="14"/>
  <c r="G89" i="14" s="1"/>
  <c r="B60" i="14"/>
  <c r="C56" i="14"/>
  <c r="F53" i="14"/>
  <c r="B53" i="14"/>
  <c r="G53" i="14" s="1"/>
  <c r="D51" i="14"/>
  <c r="C50" i="14"/>
  <c r="C46" i="14"/>
  <c r="F37" i="14"/>
  <c r="B37" i="14"/>
  <c r="F21" i="14"/>
  <c r="B21" i="14"/>
  <c r="G21" i="14" s="1"/>
  <c r="C20" i="14"/>
  <c r="C16" i="14"/>
  <c r="C12" i="14"/>
  <c r="C8" i="14"/>
  <c r="G95" i="14"/>
  <c r="G31" i="14"/>
  <c r="G27" i="14"/>
  <c r="G19" i="14"/>
  <c r="G16" i="14"/>
  <c r="G12" i="14"/>
  <c r="G11" i="14"/>
  <c r="G8" i="14"/>
  <c r="G7"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N192" i="2" s="1"/>
  <c r="O192" i="2" s="1"/>
  <c r="P192" i="2"/>
  <c r="E244" i="2"/>
  <c r="F193" i="2"/>
  <c r="S188" i="2"/>
  <c r="S186" i="2"/>
  <c r="S180" i="2"/>
  <c r="S178" i="2"/>
  <c r="F177" i="2"/>
  <c r="S172" i="2"/>
  <c r="M170" i="2"/>
  <c r="E170" i="2"/>
  <c r="B168" i="2"/>
  <c r="R168" i="2"/>
  <c r="E168" i="2"/>
  <c r="G168" i="2" s="1"/>
  <c r="P168" i="2"/>
  <c r="C168" i="2"/>
  <c r="F168" i="2" s="1"/>
  <c r="H168" i="2"/>
  <c r="J168" i="2" s="1"/>
  <c r="K168" i="2" s="1"/>
  <c r="M168" i="2"/>
  <c r="S168" i="2"/>
  <c r="J167" i="2"/>
  <c r="K167" i="2" s="1"/>
  <c r="D166" i="2"/>
  <c r="H166" i="2"/>
  <c r="J166" i="2" s="1"/>
  <c r="K166" i="2" s="1"/>
  <c r="L166" i="2"/>
  <c r="P166" i="2"/>
  <c r="B166" i="2"/>
  <c r="M166" i="2"/>
  <c r="R166" i="2"/>
  <c r="E166" i="2"/>
  <c r="Q164" i="2"/>
  <c r="Q162" i="2"/>
  <c r="B160" i="2"/>
  <c r="R160" i="2"/>
  <c r="E160" i="2"/>
  <c r="G160" i="2" s="1"/>
  <c r="P160" i="2"/>
  <c r="C160" i="2"/>
  <c r="H160" i="2"/>
  <c r="J160" i="2" s="1"/>
  <c r="K160" i="2" s="1"/>
  <c r="M160" i="2"/>
  <c r="N160" i="2" s="1"/>
  <c r="O160" i="2" s="1"/>
  <c r="S160" i="2"/>
  <c r="D158" i="2"/>
  <c r="H158" i="2"/>
  <c r="J158" i="2" s="1"/>
  <c r="K158" i="2" s="1"/>
  <c r="L158" i="2"/>
  <c r="P158" i="2"/>
  <c r="B158" i="2"/>
  <c r="M158" i="2"/>
  <c r="R158" i="2"/>
  <c r="E158" i="2"/>
  <c r="Q156" i="2"/>
  <c r="Q154" i="2"/>
  <c r="B152" i="2"/>
  <c r="R152" i="2"/>
  <c r="E152" i="2"/>
  <c r="G152" i="2" s="1"/>
  <c r="P152" i="2"/>
  <c r="C152" i="2"/>
  <c r="H152" i="2"/>
  <c r="J152" i="2" s="1"/>
  <c r="K152" i="2" s="1"/>
  <c r="M152" i="2"/>
  <c r="N152" i="2" s="1"/>
  <c r="O152" i="2" s="1"/>
  <c r="S152" i="2"/>
  <c r="D150" i="2"/>
  <c r="H150" i="2"/>
  <c r="J150" i="2" s="1"/>
  <c r="K150" i="2" s="1"/>
  <c r="L150" i="2"/>
  <c r="P150" i="2"/>
  <c r="B150" i="2"/>
  <c r="M150" i="2"/>
  <c r="R150" i="2"/>
  <c r="E150" i="2"/>
  <c r="Q148" i="2"/>
  <c r="Q146" i="2"/>
  <c r="B144" i="2"/>
  <c r="R144" i="2"/>
  <c r="E144" i="2"/>
  <c r="G144" i="2" s="1"/>
  <c r="P144" i="2"/>
  <c r="C144" i="2"/>
  <c r="H144" i="2"/>
  <c r="J144" i="2" s="1"/>
  <c r="K144" i="2" s="1"/>
  <c r="M144" i="2"/>
  <c r="N144" i="2" s="1"/>
  <c r="O144" i="2" s="1"/>
  <c r="S144" i="2"/>
  <c r="Q142" i="2"/>
  <c r="F140" i="2"/>
  <c r="C138" i="2"/>
  <c r="F138" i="2" s="1"/>
  <c r="S138" i="2"/>
  <c r="B138" i="2"/>
  <c r="H138" i="2"/>
  <c r="J138" i="2" s="1"/>
  <c r="K138" i="2" s="1"/>
  <c r="M138" i="2"/>
  <c r="N138" i="2" s="1"/>
  <c r="O138" i="2" s="1"/>
  <c r="R138" i="2"/>
  <c r="E138" i="2"/>
  <c r="P138" i="2"/>
  <c r="S135" i="2"/>
  <c r="Q134" i="2"/>
  <c r="F132" i="2"/>
  <c r="C130" i="2"/>
  <c r="F130" i="2" s="1"/>
  <c r="S130" i="2"/>
  <c r="B130" i="2"/>
  <c r="H130" i="2"/>
  <c r="J130" i="2" s="1"/>
  <c r="K130" i="2" s="1"/>
  <c r="M130" i="2"/>
  <c r="N130" i="2" s="1"/>
  <c r="O130" i="2" s="1"/>
  <c r="R130" i="2"/>
  <c r="E130" i="2"/>
  <c r="G130" i="2" s="1"/>
  <c r="P130" i="2"/>
  <c r="S127" i="2"/>
  <c r="Q126" i="2"/>
  <c r="F124" i="2"/>
  <c r="C122" i="2"/>
  <c r="F122" i="2" s="1"/>
  <c r="S122" i="2"/>
  <c r="B122" i="2"/>
  <c r="H122" i="2"/>
  <c r="J122" i="2" s="1"/>
  <c r="K122" i="2" s="1"/>
  <c r="M122" i="2"/>
  <c r="N122" i="2" s="1"/>
  <c r="O122" i="2" s="1"/>
  <c r="R122" i="2"/>
  <c r="E122" i="2"/>
  <c r="P122" i="2"/>
  <c r="S119" i="2"/>
  <c r="Q118" i="2"/>
  <c r="F116" i="2"/>
  <c r="C114" i="2"/>
  <c r="F114" i="2" s="1"/>
  <c r="S114" i="2"/>
  <c r="B114" i="2"/>
  <c r="H114" i="2"/>
  <c r="M114" i="2"/>
  <c r="N114" i="2" s="1"/>
  <c r="O114" i="2" s="1"/>
  <c r="R114" i="2"/>
  <c r="E114" i="2"/>
  <c r="P114" i="2"/>
  <c r="S111" i="2"/>
  <c r="Q110" i="2"/>
  <c r="F108" i="2"/>
  <c r="C106" i="2"/>
  <c r="F106" i="2" s="1"/>
  <c r="S106" i="2"/>
  <c r="B106" i="2"/>
  <c r="H106" i="2"/>
  <c r="J106" i="2" s="1"/>
  <c r="K106" i="2" s="1"/>
  <c r="M106" i="2"/>
  <c r="N106" i="2" s="1"/>
  <c r="O106" i="2" s="1"/>
  <c r="R106" i="2"/>
  <c r="E106" i="2"/>
  <c r="P106" i="2"/>
  <c r="S103" i="2"/>
  <c r="Q102" i="2"/>
  <c r="C98" i="2"/>
  <c r="F98" i="2" s="1"/>
  <c r="S98" i="2"/>
  <c r="B98" i="2"/>
  <c r="H98" i="2"/>
  <c r="J98" i="2" s="1"/>
  <c r="K98" i="2" s="1"/>
  <c r="M98" i="2"/>
  <c r="N98" i="2" s="1"/>
  <c r="O98" i="2" s="1"/>
  <c r="R98" i="2"/>
  <c r="E98" i="2"/>
  <c r="P98" i="2"/>
  <c r="S95" i="2"/>
  <c r="Q94" i="2"/>
  <c r="F92" i="2"/>
  <c r="C90" i="2"/>
  <c r="F90" i="2" s="1"/>
  <c r="S90" i="2"/>
  <c r="B90" i="2"/>
  <c r="H90" i="2"/>
  <c r="J90" i="2" s="1"/>
  <c r="K90" i="2" s="1"/>
  <c r="M90" i="2"/>
  <c r="N90" i="2" s="1"/>
  <c r="O90" i="2" s="1"/>
  <c r="R90" i="2"/>
  <c r="E90" i="2"/>
  <c r="P90" i="2"/>
  <c r="S87" i="2"/>
  <c r="Q86" i="2"/>
  <c r="F84" i="2"/>
  <c r="C82" i="2"/>
  <c r="F82" i="2" s="1"/>
  <c r="S82" i="2"/>
  <c r="B82" i="2"/>
  <c r="H82" i="2"/>
  <c r="J82" i="2" s="1"/>
  <c r="K82" i="2" s="1"/>
  <c r="M82" i="2"/>
  <c r="N82" i="2" s="1"/>
  <c r="O82" i="2" s="1"/>
  <c r="R82" i="2"/>
  <c r="E82" i="2"/>
  <c r="P82" i="2"/>
  <c r="S79" i="2"/>
  <c r="Q78" i="2"/>
  <c r="F76" i="2"/>
  <c r="C74" i="2"/>
  <c r="F74" i="2" s="1"/>
  <c r="S74" i="2"/>
  <c r="B74" i="2"/>
  <c r="H74" i="2"/>
  <c r="J74" i="2" s="1"/>
  <c r="K74" i="2" s="1"/>
  <c r="M74" i="2"/>
  <c r="N74" i="2" s="1"/>
  <c r="O74" i="2" s="1"/>
  <c r="R74" i="2"/>
  <c r="E74" i="2"/>
  <c r="P74" i="2"/>
  <c r="S71" i="2"/>
  <c r="Q70" i="2"/>
  <c r="C66" i="2"/>
  <c r="F66" i="2" s="1"/>
  <c r="S66" i="2"/>
  <c r="B66" i="2"/>
  <c r="H66" i="2"/>
  <c r="J66" i="2" s="1"/>
  <c r="K66" i="2" s="1"/>
  <c r="M66" i="2"/>
  <c r="N66" i="2" s="1"/>
  <c r="O66" i="2" s="1"/>
  <c r="R66" i="2"/>
  <c r="E66" i="2"/>
  <c r="G66" i="2" s="1"/>
  <c r="P66" i="2"/>
  <c r="S63" i="2"/>
  <c r="Q62" i="2"/>
  <c r="F60" i="2"/>
  <c r="C58" i="2"/>
  <c r="F58" i="2" s="1"/>
  <c r="S58" i="2"/>
  <c r="B58" i="2"/>
  <c r="H58" i="2"/>
  <c r="J58" i="2" s="1"/>
  <c r="K58" i="2" s="1"/>
  <c r="M58" i="2"/>
  <c r="R58" i="2"/>
  <c r="E58" i="2"/>
  <c r="G58" i="2" s="1"/>
  <c r="P58" i="2"/>
  <c r="S55" i="2"/>
  <c r="Q54" i="2"/>
  <c r="F52" i="2"/>
  <c r="C50" i="2"/>
  <c r="F50" i="2" s="1"/>
  <c r="S50" i="2"/>
  <c r="B50" i="2"/>
  <c r="H50" i="2"/>
  <c r="J50" i="2" s="1"/>
  <c r="K50" i="2" s="1"/>
  <c r="M50" i="2"/>
  <c r="N50" i="2" s="1"/>
  <c r="O50" i="2" s="1"/>
  <c r="R50" i="2"/>
  <c r="E50" i="2"/>
  <c r="P50" i="2"/>
  <c r="S47" i="2"/>
  <c r="Q46" i="2"/>
  <c r="F44" i="2"/>
  <c r="C42" i="2"/>
  <c r="F42" i="2" s="1"/>
  <c r="S42" i="2"/>
  <c r="B42" i="2"/>
  <c r="H42" i="2"/>
  <c r="J42" i="2" s="1"/>
  <c r="K42" i="2" s="1"/>
  <c r="M42" i="2"/>
  <c r="N42" i="2" s="1"/>
  <c r="O42" i="2" s="1"/>
  <c r="R42" i="2"/>
  <c r="E42" i="2"/>
  <c r="P42" i="2"/>
  <c r="S39" i="2"/>
  <c r="Q38" i="2"/>
  <c r="C34" i="2"/>
  <c r="F34" i="2" s="1"/>
  <c r="S34" i="2"/>
  <c r="B34" i="2"/>
  <c r="H34" i="2"/>
  <c r="J34" i="2" s="1"/>
  <c r="K34" i="2" s="1"/>
  <c r="M34" i="2"/>
  <c r="N34" i="2" s="1"/>
  <c r="O34" i="2" s="1"/>
  <c r="R34" i="2"/>
  <c r="E34" i="2"/>
  <c r="G34" i="2" s="1"/>
  <c r="P34" i="2"/>
  <c r="S31" i="2"/>
  <c r="Q30" i="2"/>
  <c r="F28" i="2"/>
  <c r="C26" i="2"/>
  <c r="S26" i="2"/>
  <c r="B26" i="2"/>
  <c r="H26" i="2"/>
  <c r="J26" i="2" s="1"/>
  <c r="K26" i="2" s="1"/>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C189" i="3"/>
  <c r="G189" i="3"/>
  <c r="H189" i="3" s="1"/>
  <c r="O189" i="3"/>
  <c r="D189" i="3"/>
  <c r="I189" i="3"/>
  <c r="N189" i="3"/>
  <c r="J189" i="3"/>
  <c r="P189" i="3"/>
  <c r="B189" i="3"/>
  <c r="M189" i="3"/>
  <c r="B188" i="2"/>
  <c r="R188" i="2"/>
  <c r="D188" i="2"/>
  <c r="H188" i="2"/>
  <c r="J188" i="2" s="1"/>
  <c r="K188" i="2" s="1"/>
  <c r="L188" i="2"/>
  <c r="P188" i="2"/>
  <c r="D186" i="2"/>
  <c r="H186" i="2"/>
  <c r="J186" i="2" s="1"/>
  <c r="K186" i="2" s="1"/>
  <c r="L186" i="2"/>
  <c r="P186" i="2"/>
  <c r="B186" i="2"/>
  <c r="R186" i="2"/>
  <c r="B180" i="2"/>
  <c r="R180" i="2"/>
  <c r="D180" i="2"/>
  <c r="H180" i="2"/>
  <c r="J180" i="2" s="1"/>
  <c r="K180" i="2" s="1"/>
  <c r="L180" i="2"/>
  <c r="P180" i="2"/>
  <c r="D178" i="2"/>
  <c r="H178" i="2"/>
  <c r="J178" i="2" s="1"/>
  <c r="K178" i="2" s="1"/>
  <c r="L178" i="2"/>
  <c r="P178" i="2"/>
  <c r="B178" i="2"/>
  <c r="R178" i="2"/>
  <c r="B172" i="2"/>
  <c r="R172" i="2"/>
  <c r="D172" i="2"/>
  <c r="H172" i="2"/>
  <c r="J172" i="2" s="1"/>
  <c r="K172" i="2" s="1"/>
  <c r="L172" i="2"/>
  <c r="P172" i="2"/>
  <c r="S170" i="2"/>
  <c r="C170" i="2"/>
  <c r="C169" i="2"/>
  <c r="F169" i="2" s="1"/>
  <c r="S169" i="2"/>
  <c r="B169" i="2"/>
  <c r="H169" i="2"/>
  <c r="J169" i="2" s="1"/>
  <c r="K169" i="2" s="1"/>
  <c r="M169" i="2"/>
  <c r="N169" i="2" s="1"/>
  <c r="O169" i="2" s="1"/>
  <c r="R169" i="2"/>
  <c r="E169" i="2"/>
  <c r="G169" i="2" s="1"/>
  <c r="P169" i="2"/>
  <c r="K3" i="21"/>
  <c r="D164" i="2"/>
  <c r="C161" i="2"/>
  <c r="F161" i="2" s="1"/>
  <c r="S161" i="2"/>
  <c r="B161" i="2"/>
  <c r="H161" i="2"/>
  <c r="J161" i="2" s="1"/>
  <c r="K161" i="2" s="1"/>
  <c r="M161" i="2"/>
  <c r="N161" i="2" s="1"/>
  <c r="O161" i="2" s="1"/>
  <c r="R161" i="2"/>
  <c r="E161" i="2"/>
  <c r="G161" i="2" s="1"/>
  <c r="P161" i="2"/>
  <c r="D156" i="2"/>
  <c r="C153" i="2"/>
  <c r="F153" i="2" s="1"/>
  <c r="S153" i="2"/>
  <c r="B153" i="2"/>
  <c r="H153" i="2"/>
  <c r="J153" i="2" s="1"/>
  <c r="K153" i="2" s="1"/>
  <c r="M153" i="2"/>
  <c r="R153" i="2"/>
  <c r="E153" i="2"/>
  <c r="G153" i="2" s="1"/>
  <c r="P153" i="2"/>
  <c r="C145" i="2"/>
  <c r="F145" i="2" s="1"/>
  <c r="S145" i="2"/>
  <c r="B145" i="2"/>
  <c r="H145" i="2"/>
  <c r="J145" i="2" s="1"/>
  <c r="K145" i="2" s="1"/>
  <c r="M145" i="2"/>
  <c r="N145" i="2" s="1"/>
  <c r="O145" i="2" s="1"/>
  <c r="R145" i="2"/>
  <c r="E145" i="2"/>
  <c r="G145" i="2" s="1"/>
  <c r="P145" i="2"/>
  <c r="B141" i="2"/>
  <c r="R141" i="2"/>
  <c r="C141" i="2"/>
  <c r="F141" i="2" s="1"/>
  <c r="H141" i="2"/>
  <c r="J141" i="2" s="1"/>
  <c r="K141" i="2" s="1"/>
  <c r="M141" i="2"/>
  <c r="N141" i="2" s="1"/>
  <c r="O141" i="2" s="1"/>
  <c r="S141" i="2"/>
  <c r="E141" i="2"/>
  <c r="G141" i="2" s="1"/>
  <c r="P141" i="2"/>
  <c r="D139" i="2"/>
  <c r="H139" i="2"/>
  <c r="J139" i="2" s="1"/>
  <c r="K139" i="2" s="1"/>
  <c r="L139" i="2"/>
  <c r="P139" i="2"/>
  <c r="E139" i="2"/>
  <c r="B139" i="2"/>
  <c r="M139" i="2"/>
  <c r="R139" i="2"/>
  <c r="B133" i="2"/>
  <c r="R133" i="2"/>
  <c r="C133" i="2"/>
  <c r="F133" i="2" s="1"/>
  <c r="H133" i="2"/>
  <c r="J133" i="2" s="1"/>
  <c r="K133" i="2" s="1"/>
  <c r="M133" i="2"/>
  <c r="N133" i="2" s="1"/>
  <c r="O133" i="2" s="1"/>
  <c r="S133" i="2"/>
  <c r="E133" i="2"/>
  <c r="G133" i="2" s="1"/>
  <c r="P133" i="2"/>
  <c r="D131" i="2"/>
  <c r="H131" i="2"/>
  <c r="L131" i="2"/>
  <c r="P131" i="2"/>
  <c r="E131" i="2"/>
  <c r="B131" i="2"/>
  <c r="M131" i="2"/>
  <c r="R131" i="2"/>
  <c r="B125" i="2"/>
  <c r="R125" i="2"/>
  <c r="C125" i="2"/>
  <c r="F125" i="2" s="1"/>
  <c r="H125" i="2"/>
  <c r="J125" i="2" s="1"/>
  <c r="K125" i="2" s="1"/>
  <c r="M125" i="2"/>
  <c r="S125" i="2"/>
  <c r="E125" i="2"/>
  <c r="G125" i="2" s="1"/>
  <c r="P125" i="2"/>
  <c r="D123" i="2"/>
  <c r="H123" i="2"/>
  <c r="J123" i="2" s="1"/>
  <c r="K123" i="2" s="1"/>
  <c r="L123" i="2"/>
  <c r="P123" i="2"/>
  <c r="E123" i="2"/>
  <c r="B123" i="2"/>
  <c r="M123" i="2"/>
  <c r="R123" i="2"/>
  <c r="B117" i="2"/>
  <c r="R117" i="2"/>
  <c r="C117" i="2"/>
  <c r="F117" i="2" s="1"/>
  <c r="H117" i="2"/>
  <c r="J117" i="2" s="1"/>
  <c r="K117" i="2" s="1"/>
  <c r="M117" i="2"/>
  <c r="N117" i="2" s="1"/>
  <c r="O117" i="2" s="1"/>
  <c r="S117" i="2"/>
  <c r="E117" i="2"/>
  <c r="G117" i="2" s="1"/>
  <c r="P117" i="2"/>
  <c r="D115" i="2"/>
  <c r="H115" i="2"/>
  <c r="J115" i="2" s="1"/>
  <c r="K115" i="2" s="1"/>
  <c r="L115" i="2"/>
  <c r="P115" i="2"/>
  <c r="E115" i="2"/>
  <c r="B115" i="2"/>
  <c r="M115" i="2"/>
  <c r="R115" i="2"/>
  <c r="B109" i="2"/>
  <c r="R109" i="2"/>
  <c r="C109" i="2"/>
  <c r="F109" i="2" s="1"/>
  <c r="H109" i="2"/>
  <c r="J109" i="2" s="1"/>
  <c r="K109" i="2" s="1"/>
  <c r="M109" i="2"/>
  <c r="N109" i="2" s="1"/>
  <c r="O109" i="2" s="1"/>
  <c r="S109" i="2"/>
  <c r="E109" i="2"/>
  <c r="G109" i="2" s="1"/>
  <c r="P109" i="2"/>
  <c r="D107" i="2"/>
  <c r="H107" i="2"/>
  <c r="J107" i="2" s="1"/>
  <c r="K107" i="2" s="1"/>
  <c r="L107" i="2"/>
  <c r="P107" i="2"/>
  <c r="E107" i="2"/>
  <c r="B107" i="2"/>
  <c r="M107" i="2"/>
  <c r="R107" i="2"/>
  <c r="B101" i="2"/>
  <c r="R101" i="2"/>
  <c r="C101" i="2"/>
  <c r="F101" i="2" s="1"/>
  <c r="H101" i="2"/>
  <c r="J101" i="2" s="1"/>
  <c r="K101" i="2" s="1"/>
  <c r="M101" i="2"/>
  <c r="N101" i="2" s="1"/>
  <c r="O101" i="2" s="1"/>
  <c r="S101" i="2"/>
  <c r="E101" i="2"/>
  <c r="G101" i="2" s="1"/>
  <c r="P101" i="2"/>
  <c r="D99" i="2"/>
  <c r="H99" i="2"/>
  <c r="J99" i="2" s="1"/>
  <c r="K99" i="2" s="1"/>
  <c r="L99" i="2"/>
  <c r="P99" i="2"/>
  <c r="E99" i="2"/>
  <c r="B99" i="2"/>
  <c r="M99" i="2"/>
  <c r="R99" i="2"/>
  <c r="B93" i="2"/>
  <c r="R93" i="2"/>
  <c r="C93" i="2"/>
  <c r="F93" i="2" s="1"/>
  <c r="H93" i="2"/>
  <c r="J93" i="2" s="1"/>
  <c r="K93" i="2" s="1"/>
  <c r="M93" i="2"/>
  <c r="N93" i="2" s="1"/>
  <c r="O93" i="2" s="1"/>
  <c r="S93" i="2"/>
  <c r="E93" i="2"/>
  <c r="G93" i="2" s="1"/>
  <c r="P93" i="2"/>
  <c r="D91" i="2"/>
  <c r="H91" i="2"/>
  <c r="J91" i="2" s="1"/>
  <c r="K91" i="2" s="1"/>
  <c r="L91" i="2"/>
  <c r="P91" i="2"/>
  <c r="E91" i="2"/>
  <c r="B91" i="2"/>
  <c r="M91" i="2"/>
  <c r="R91" i="2"/>
  <c r="B85" i="2"/>
  <c r="R85" i="2"/>
  <c r="C85" i="2"/>
  <c r="F85" i="2" s="1"/>
  <c r="H85" i="2"/>
  <c r="J85" i="2" s="1"/>
  <c r="K85" i="2" s="1"/>
  <c r="M85" i="2"/>
  <c r="N85" i="2" s="1"/>
  <c r="O85" i="2" s="1"/>
  <c r="S85" i="2"/>
  <c r="E85" i="2"/>
  <c r="G85" i="2" s="1"/>
  <c r="P85" i="2"/>
  <c r="D83" i="2"/>
  <c r="H83" i="2"/>
  <c r="J83" i="2" s="1"/>
  <c r="K83" i="2" s="1"/>
  <c r="L83" i="2"/>
  <c r="P83" i="2"/>
  <c r="E83" i="2"/>
  <c r="B83" i="2"/>
  <c r="M83" i="2"/>
  <c r="R83" i="2"/>
  <c r="B77" i="2"/>
  <c r="R77" i="2"/>
  <c r="C77" i="2"/>
  <c r="F77" i="2" s="1"/>
  <c r="H77" i="2"/>
  <c r="J77" i="2" s="1"/>
  <c r="K77" i="2" s="1"/>
  <c r="M77" i="2"/>
  <c r="N77" i="2" s="1"/>
  <c r="O77" i="2" s="1"/>
  <c r="S77" i="2"/>
  <c r="E77" i="2"/>
  <c r="G77" i="2" s="1"/>
  <c r="P77" i="2"/>
  <c r="D75" i="2"/>
  <c r="H75" i="2"/>
  <c r="J75" i="2" s="1"/>
  <c r="K75" i="2" s="1"/>
  <c r="L75" i="2"/>
  <c r="P75" i="2"/>
  <c r="E75" i="2"/>
  <c r="B75" i="2"/>
  <c r="M75" i="2"/>
  <c r="R75" i="2"/>
  <c r="B69" i="2"/>
  <c r="R69" i="2"/>
  <c r="C69" i="2"/>
  <c r="F69" i="2" s="1"/>
  <c r="H69" i="2"/>
  <c r="J69" i="2" s="1"/>
  <c r="K69" i="2" s="1"/>
  <c r="M69" i="2"/>
  <c r="N69" i="2" s="1"/>
  <c r="O69" i="2" s="1"/>
  <c r="S69" i="2"/>
  <c r="E69" i="2"/>
  <c r="G69" i="2" s="1"/>
  <c r="P69" i="2"/>
  <c r="D67" i="2"/>
  <c r="H67" i="2"/>
  <c r="J67" i="2" s="1"/>
  <c r="K67" i="2" s="1"/>
  <c r="L67" i="2"/>
  <c r="P67" i="2"/>
  <c r="E67" i="2"/>
  <c r="B67" i="2"/>
  <c r="M67" i="2"/>
  <c r="R67" i="2"/>
  <c r="B61" i="2"/>
  <c r="R61" i="2"/>
  <c r="C61" i="2"/>
  <c r="F61" i="2" s="1"/>
  <c r="H61" i="2"/>
  <c r="J61" i="2" s="1"/>
  <c r="K61" i="2" s="1"/>
  <c r="M61" i="2"/>
  <c r="N61" i="2" s="1"/>
  <c r="O61" i="2" s="1"/>
  <c r="S61" i="2"/>
  <c r="E61" i="2"/>
  <c r="G61" i="2" s="1"/>
  <c r="P61" i="2"/>
  <c r="D59" i="2"/>
  <c r="H59" i="2"/>
  <c r="J59" i="2" s="1"/>
  <c r="K59" i="2" s="1"/>
  <c r="L59" i="2"/>
  <c r="P59" i="2"/>
  <c r="E59" i="2"/>
  <c r="B59" i="2"/>
  <c r="M59" i="2"/>
  <c r="R59" i="2"/>
  <c r="B53" i="2"/>
  <c r="R53" i="2"/>
  <c r="C53" i="2"/>
  <c r="F53" i="2" s="1"/>
  <c r="H53" i="2"/>
  <c r="J53" i="2" s="1"/>
  <c r="K53" i="2" s="1"/>
  <c r="M53" i="2"/>
  <c r="N53" i="2" s="1"/>
  <c r="O53" i="2" s="1"/>
  <c r="S53" i="2"/>
  <c r="E53" i="2"/>
  <c r="G53" i="2" s="1"/>
  <c r="P53" i="2"/>
  <c r="D51" i="2"/>
  <c r="H51" i="2"/>
  <c r="L51" i="2"/>
  <c r="P51" i="2"/>
  <c r="E51" i="2"/>
  <c r="B51" i="2"/>
  <c r="M51" i="2"/>
  <c r="R51" i="2"/>
  <c r="B45" i="2"/>
  <c r="R45" i="2"/>
  <c r="C45" i="2"/>
  <c r="F45" i="2" s="1"/>
  <c r="H45" i="2"/>
  <c r="J45" i="2" s="1"/>
  <c r="K45" i="2" s="1"/>
  <c r="M45" i="2"/>
  <c r="N45" i="2" s="1"/>
  <c r="O45" i="2" s="1"/>
  <c r="S45" i="2"/>
  <c r="E45" i="2"/>
  <c r="G45" i="2" s="1"/>
  <c r="P45" i="2"/>
  <c r="D43" i="2"/>
  <c r="H43" i="2"/>
  <c r="J43" i="2" s="1"/>
  <c r="K43" i="2" s="1"/>
  <c r="L43" i="2"/>
  <c r="P43" i="2"/>
  <c r="E43" i="2"/>
  <c r="B43" i="2"/>
  <c r="M43" i="2"/>
  <c r="R43" i="2"/>
  <c r="B37" i="2"/>
  <c r="R37" i="2"/>
  <c r="C37" i="2"/>
  <c r="F37" i="2" s="1"/>
  <c r="H37" i="2"/>
  <c r="J37" i="2" s="1"/>
  <c r="K37" i="2" s="1"/>
  <c r="M37" i="2"/>
  <c r="N37" i="2" s="1"/>
  <c r="O37" i="2" s="1"/>
  <c r="S37" i="2"/>
  <c r="E37" i="2"/>
  <c r="G37" i="2" s="1"/>
  <c r="P37" i="2"/>
  <c r="D35" i="2"/>
  <c r="H35" i="2"/>
  <c r="J35" i="2" s="1"/>
  <c r="K35" i="2" s="1"/>
  <c r="L35" i="2"/>
  <c r="P35" i="2"/>
  <c r="E35" i="2"/>
  <c r="B35" i="2"/>
  <c r="M35" i="2"/>
  <c r="R35" i="2"/>
  <c r="B29" i="2"/>
  <c r="R29" i="2"/>
  <c r="C29" i="2"/>
  <c r="H29" i="2"/>
  <c r="J29" i="2" s="1"/>
  <c r="K29" i="2" s="1"/>
  <c r="M29" i="2"/>
  <c r="N29" i="2" s="1"/>
  <c r="O29" i="2" s="1"/>
  <c r="S29" i="2"/>
  <c r="E29" i="2"/>
  <c r="P29" i="2"/>
  <c r="D27" i="2"/>
  <c r="H27" i="2"/>
  <c r="J27" i="2" s="1"/>
  <c r="K27" i="2" s="1"/>
  <c r="L27" i="2"/>
  <c r="P27" i="2"/>
  <c r="E27" i="2"/>
  <c r="B27" i="2"/>
  <c r="M27" i="2"/>
  <c r="R27" i="2"/>
  <c r="C22" i="2"/>
  <c r="S22" i="2"/>
  <c r="E22" i="2"/>
  <c r="P22" i="2"/>
  <c r="B22" i="2"/>
  <c r="H22" i="2"/>
  <c r="M22" i="2"/>
  <c r="R22" i="2"/>
  <c r="D22" i="2"/>
  <c r="I22" i="2"/>
  <c r="E242" i="2"/>
  <c r="L164" i="2"/>
  <c r="N164" i="2" s="1"/>
  <c r="O164" i="2" s="1"/>
  <c r="D162" i="2"/>
  <c r="H162" i="2"/>
  <c r="L162" i="2"/>
  <c r="P162" i="2"/>
  <c r="E162" i="2"/>
  <c r="B162" i="2"/>
  <c r="M162" i="2"/>
  <c r="R162" i="2"/>
  <c r="L156" i="2"/>
  <c r="N156" i="2" s="1"/>
  <c r="O156" i="2" s="1"/>
  <c r="D154" i="2"/>
  <c r="H154" i="2"/>
  <c r="L154" i="2"/>
  <c r="P154" i="2"/>
  <c r="E154" i="2"/>
  <c r="B154" i="2"/>
  <c r="M154" i="2"/>
  <c r="R154" i="2"/>
  <c r="B148" i="2"/>
  <c r="R148" i="2"/>
  <c r="C148" i="2"/>
  <c r="F148" i="2" s="1"/>
  <c r="H148" i="2"/>
  <c r="M148" i="2"/>
  <c r="N148" i="2" s="1"/>
  <c r="O148" i="2" s="1"/>
  <c r="S148" i="2"/>
  <c r="E148" i="2"/>
  <c r="G148" i="2" s="1"/>
  <c r="P148" i="2"/>
  <c r="D146" i="2"/>
  <c r="H146" i="2"/>
  <c r="L146" i="2"/>
  <c r="P146" i="2"/>
  <c r="E146" i="2"/>
  <c r="B146" i="2"/>
  <c r="M146" i="2"/>
  <c r="R146" i="2"/>
  <c r="C142" i="2"/>
  <c r="F142" i="2" s="1"/>
  <c r="B4" i="28" s="1"/>
  <c r="S142" i="2"/>
  <c r="E142" i="2"/>
  <c r="C6" i="28" s="1"/>
  <c r="P142" i="2"/>
  <c r="B142" i="2"/>
  <c r="B2" i="28" s="1"/>
  <c r="H142" i="2"/>
  <c r="M142" i="2"/>
  <c r="N142" i="2" s="1"/>
  <c r="O142" i="2" s="1"/>
  <c r="R142" i="2"/>
  <c r="C134" i="2"/>
  <c r="F134" i="2" s="1"/>
  <c r="S134" i="2"/>
  <c r="E134" i="2"/>
  <c r="G134" i="2" s="1"/>
  <c r="P134" i="2"/>
  <c r="B134" i="2"/>
  <c r="H134" i="2"/>
  <c r="M134" i="2"/>
  <c r="N134" i="2" s="1"/>
  <c r="O134" i="2" s="1"/>
  <c r="R134" i="2"/>
  <c r="C126" i="2"/>
  <c r="F126" i="2" s="1"/>
  <c r="S126" i="2"/>
  <c r="E126" i="2"/>
  <c r="G126" i="2" s="1"/>
  <c r="P126" i="2"/>
  <c r="B126" i="2"/>
  <c r="H126" i="2"/>
  <c r="M126" i="2"/>
  <c r="N126" i="2" s="1"/>
  <c r="O126" i="2" s="1"/>
  <c r="R126" i="2"/>
  <c r="C118" i="2"/>
  <c r="F118" i="2" s="1"/>
  <c r="S118" i="2"/>
  <c r="E118" i="2"/>
  <c r="G118" i="2" s="1"/>
  <c r="P118" i="2"/>
  <c r="B118" i="2"/>
  <c r="H118" i="2"/>
  <c r="M118" i="2"/>
  <c r="N118" i="2" s="1"/>
  <c r="O118" i="2" s="1"/>
  <c r="R118" i="2"/>
  <c r="C110" i="2"/>
  <c r="F110" i="2" s="1"/>
  <c r="S110" i="2"/>
  <c r="E110" i="2"/>
  <c r="G110" i="2" s="1"/>
  <c r="P110" i="2"/>
  <c r="B110" i="2"/>
  <c r="H110" i="2"/>
  <c r="M110" i="2"/>
  <c r="N110" i="2" s="1"/>
  <c r="O110" i="2" s="1"/>
  <c r="R110" i="2"/>
  <c r="C102" i="2"/>
  <c r="F102" i="2" s="1"/>
  <c r="S102" i="2"/>
  <c r="E102" i="2"/>
  <c r="G102" i="2" s="1"/>
  <c r="P102" i="2"/>
  <c r="B102" i="2"/>
  <c r="H102" i="2"/>
  <c r="M102" i="2"/>
  <c r="N102" i="2" s="1"/>
  <c r="O102" i="2" s="1"/>
  <c r="R102" i="2"/>
  <c r="C94" i="2"/>
  <c r="F94" i="2" s="1"/>
  <c r="S94" i="2"/>
  <c r="E94" i="2"/>
  <c r="G94" i="2" s="1"/>
  <c r="P94" i="2"/>
  <c r="B94" i="2"/>
  <c r="H94" i="2"/>
  <c r="M94" i="2"/>
  <c r="N94" i="2" s="1"/>
  <c r="O94" i="2" s="1"/>
  <c r="R94" i="2"/>
  <c r="C86" i="2"/>
  <c r="F86" i="2" s="1"/>
  <c r="S86" i="2"/>
  <c r="E86" i="2"/>
  <c r="G86" i="2" s="1"/>
  <c r="P86" i="2"/>
  <c r="B86" i="2"/>
  <c r="H86" i="2"/>
  <c r="M86" i="2"/>
  <c r="N86" i="2" s="1"/>
  <c r="O86" i="2" s="1"/>
  <c r="R86" i="2"/>
  <c r="C78" i="2"/>
  <c r="F78" i="2" s="1"/>
  <c r="S78" i="2"/>
  <c r="E78" i="2"/>
  <c r="G78" i="2" s="1"/>
  <c r="P78" i="2"/>
  <c r="B78" i="2"/>
  <c r="H78" i="2"/>
  <c r="M78" i="2"/>
  <c r="N78" i="2" s="1"/>
  <c r="O78" i="2" s="1"/>
  <c r="R78" i="2"/>
  <c r="C70" i="2"/>
  <c r="F70" i="2" s="1"/>
  <c r="S70" i="2"/>
  <c r="E70" i="2"/>
  <c r="G70" i="2" s="1"/>
  <c r="P70" i="2"/>
  <c r="B70" i="2"/>
  <c r="H70" i="2"/>
  <c r="M70" i="2"/>
  <c r="R70" i="2"/>
  <c r="C62" i="2"/>
  <c r="F62" i="2" s="1"/>
  <c r="S62" i="2"/>
  <c r="E62" i="2"/>
  <c r="G62" i="2" s="1"/>
  <c r="P62" i="2"/>
  <c r="B62" i="2"/>
  <c r="H62" i="2"/>
  <c r="M62" i="2"/>
  <c r="N62" i="2" s="1"/>
  <c r="O62" i="2" s="1"/>
  <c r="R62" i="2"/>
  <c r="C54" i="2"/>
  <c r="F54" i="2" s="1"/>
  <c r="S54" i="2"/>
  <c r="E54" i="2"/>
  <c r="G54" i="2" s="1"/>
  <c r="P54" i="2"/>
  <c r="B54" i="2"/>
  <c r="H54" i="2"/>
  <c r="M54" i="2"/>
  <c r="N54" i="2" s="1"/>
  <c r="O54" i="2" s="1"/>
  <c r="R54" i="2"/>
  <c r="C46" i="2"/>
  <c r="F46" i="2" s="1"/>
  <c r="S46" i="2"/>
  <c r="E46" i="2"/>
  <c r="G46" i="2" s="1"/>
  <c r="P46" i="2"/>
  <c r="B46" i="2"/>
  <c r="H46" i="2"/>
  <c r="M46" i="2"/>
  <c r="N46" i="2" s="1"/>
  <c r="O46" i="2" s="1"/>
  <c r="R46" i="2"/>
  <c r="I4" i="21"/>
  <c r="C38" i="2"/>
  <c r="F38" i="2" s="1"/>
  <c r="S38" i="2"/>
  <c r="E38" i="2"/>
  <c r="G38" i="2" s="1"/>
  <c r="P38" i="2"/>
  <c r="B38" i="2"/>
  <c r="H38" i="2"/>
  <c r="M38" i="2"/>
  <c r="N38" i="2" s="1"/>
  <c r="O38" i="2" s="1"/>
  <c r="R38" i="2"/>
  <c r="C30" i="2"/>
  <c r="S30" i="2"/>
  <c r="E30" i="2"/>
  <c r="P30" i="2"/>
  <c r="B30" i="2"/>
  <c r="H30" i="2"/>
  <c r="M30" i="2"/>
  <c r="N30" i="2" s="1"/>
  <c r="O30" i="2" s="1"/>
  <c r="R30" i="2"/>
  <c r="G16" i="2"/>
  <c r="F16" i="2"/>
  <c r="C14" i="2"/>
  <c r="S14" i="2"/>
  <c r="D14" i="2"/>
  <c r="I14" i="2"/>
  <c r="E14" i="2"/>
  <c r="P14" i="2"/>
  <c r="B14" i="2"/>
  <c r="H14" i="2"/>
  <c r="M14" i="2"/>
  <c r="N14" i="2" s="1"/>
  <c r="O14" i="2" s="1"/>
  <c r="R14" i="2"/>
  <c r="I170" i="2"/>
  <c r="Q192" i="2"/>
  <c r="I192" i="2"/>
  <c r="D190" i="2"/>
  <c r="H190" i="2"/>
  <c r="J190" i="2" s="1"/>
  <c r="K190" i="2" s="1"/>
  <c r="L190" i="2"/>
  <c r="N190" i="2" s="1"/>
  <c r="O190" i="2" s="1"/>
  <c r="P190" i="2"/>
  <c r="B190" i="2"/>
  <c r="R190" i="2"/>
  <c r="M188" i="2"/>
  <c r="E188" i="2"/>
  <c r="F187" i="2"/>
  <c r="M186" i="2"/>
  <c r="E186" i="2"/>
  <c r="B184" i="2"/>
  <c r="R184" i="2"/>
  <c r="D184" i="2"/>
  <c r="H184" i="2"/>
  <c r="J184" i="2" s="1"/>
  <c r="K184" i="2" s="1"/>
  <c r="L184" i="2"/>
  <c r="N184" i="2" s="1"/>
  <c r="O184" i="2" s="1"/>
  <c r="P184" i="2"/>
  <c r="D182" i="2"/>
  <c r="H182" i="2"/>
  <c r="J182" i="2" s="1"/>
  <c r="K182" i="2" s="1"/>
  <c r="L182" i="2"/>
  <c r="N182" i="2" s="1"/>
  <c r="O182" i="2" s="1"/>
  <c r="P182" i="2"/>
  <c r="B182" i="2"/>
  <c r="R182" i="2"/>
  <c r="M180" i="2"/>
  <c r="E180" i="2"/>
  <c r="F179" i="2"/>
  <c r="M178" i="2"/>
  <c r="E178" i="2"/>
  <c r="B176" i="2"/>
  <c r="R176" i="2"/>
  <c r="D176" i="2"/>
  <c r="H176" i="2"/>
  <c r="J176" i="2" s="1"/>
  <c r="K176" i="2" s="1"/>
  <c r="L176" i="2"/>
  <c r="N176" i="2" s="1"/>
  <c r="O176" i="2" s="1"/>
  <c r="P176" i="2"/>
  <c r="D174" i="2"/>
  <c r="H174" i="2"/>
  <c r="J174" i="2" s="1"/>
  <c r="K174" i="2" s="1"/>
  <c r="L174" i="2"/>
  <c r="N174" i="2" s="1"/>
  <c r="O174" i="2" s="1"/>
  <c r="P174" i="2"/>
  <c r="B174" i="2"/>
  <c r="R174" i="2"/>
  <c r="M172" i="2"/>
  <c r="E172" i="2"/>
  <c r="Q169" i="2"/>
  <c r="F167" i="2"/>
  <c r="C165" i="2"/>
  <c r="F165" i="2" s="1"/>
  <c r="S165" i="2"/>
  <c r="E165" i="2"/>
  <c r="G165" i="2" s="1"/>
  <c r="P165" i="2"/>
  <c r="B165" i="2"/>
  <c r="H165" i="2"/>
  <c r="J165" i="2" s="1"/>
  <c r="K165" i="2" s="1"/>
  <c r="M165" i="2"/>
  <c r="N165" i="2" s="1"/>
  <c r="O165" i="2" s="1"/>
  <c r="R165" i="2"/>
  <c r="I164" i="2"/>
  <c r="S162" i="2"/>
  <c r="I162" i="2"/>
  <c r="Q161" i="2"/>
  <c r="F160" i="2"/>
  <c r="F159" i="2"/>
  <c r="C157" i="2"/>
  <c r="F157" i="2" s="1"/>
  <c r="S157" i="2"/>
  <c r="E157" i="2"/>
  <c r="G157" i="2" s="1"/>
  <c r="P157" i="2"/>
  <c r="B157" i="2"/>
  <c r="H157" i="2"/>
  <c r="J157" i="2" s="1"/>
  <c r="K157" i="2" s="1"/>
  <c r="M157" i="2"/>
  <c r="N157" i="2" s="1"/>
  <c r="O157" i="2" s="1"/>
  <c r="R157" i="2"/>
  <c r="I156" i="2"/>
  <c r="S154" i="2"/>
  <c r="I154" i="2"/>
  <c r="Q153" i="2"/>
  <c r="F152" i="2"/>
  <c r="C149" i="2"/>
  <c r="F149" i="2" s="1"/>
  <c r="S149" i="2"/>
  <c r="E149" i="2"/>
  <c r="G149" i="2" s="1"/>
  <c r="P149" i="2"/>
  <c r="B149" i="2"/>
  <c r="H149" i="2"/>
  <c r="J149" i="2" s="1"/>
  <c r="K149" i="2" s="1"/>
  <c r="M149" i="2"/>
  <c r="N149" i="2" s="1"/>
  <c r="O149" i="2" s="1"/>
  <c r="R149" i="2"/>
  <c r="I148" i="2"/>
  <c r="S146" i="2"/>
  <c r="I146" i="2"/>
  <c r="Q145" i="2"/>
  <c r="F144" i="2"/>
  <c r="D143" i="2"/>
  <c r="H143" i="2"/>
  <c r="J143" i="2" s="1"/>
  <c r="M143" i="2"/>
  <c r="N143" i="2" s="1"/>
  <c r="O143" i="2" s="1"/>
  <c r="Q143" i="2"/>
  <c r="B143" i="2"/>
  <c r="S143" i="2"/>
  <c r="E143" i="2"/>
  <c r="P143" i="2"/>
  <c r="I142" i="2"/>
  <c r="Q141" i="2"/>
  <c r="Q139" i="2"/>
  <c r="G138" i="2"/>
  <c r="B137" i="2"/>
  <c r="R137" i="2"/>
  <c r="E137" i="2"/>
  <c r="G137" i="2" s="1"/>
  <c r="P137" i="2"/>
  <c r="C137" i="2"/>
  <c r="F137" i="2" s="1"/>
  <c r="H137" i="2"/>
  <c r="J137" i="2" s="1"/>
  <c r="K137" i="2" s="1"/>
  <c r="M137" i="2"/>
  <c r="N137" i="2" s="1"/>
  <c r="O137" i="2" s="1"/>
  <c r="S137" i="2"/>
  <c r="D135" i="2"/>
  <c r="H135" i="2"/>
  <c r="J135" i="2" s="1"/>
  <c r="K135" i="2" s="1"/>
  <c r="L135" i="2"/>
  <c r="P135" i="2"/>
  <c r="B135" i="2"/>
  <c r="M135" i="2"/>
  <c r="R135" i="2"/>
  <c r="E135" i="2"/>
  <c r="I134" i="2"/>
  <c r="Q133" i="2"/>
  <c r="Q131" i="2"/>
  <c r="B129" i="2"/>
  <c r="R129" i="2"/>
  <c r="E129" i="2"/>
  <c r="G129" i="2" s="1"/>
  <c r="P129" i="2"/>
  <c r="C129" i="2"/>
  <c r="F129" i="2" s="1"/>
  <c r="H129" i="2"/>
  <c r="J129" i="2" s="1"/>
  <c r="K129" i="2" s="1"/>
  <c r="M129" i="2"/>
  <c r="N129" i="2" s="1"/>
  <c r="O129" i="2" s="1"/>
  <c r="S129" i="2"/>
  <c r="D127" i="2"/>
  <c r="H127" i="2"/>
  <c r="J127" i="2" s="1"/>
  <c r="K127" i="2" s="1"/>
  <c r="L127" i="2"/>
  <c r="P127" i="2"/>
  <c r="B127" i="2"/>
  <c r="M127" i="2"/>
  <c r="R127" i="2"/>
  <c r="E127" i="2"/>
  <c r="I126" i="2"/>
  <c r="Q125" i="2"/>
  <c r="Q123" i="2"/>
  <c r="G122" i="2"/>
  <c r="B121" i="2"/>
  <c r="R121" i="2"/>
  <c r="E121" i="2"/>
  <c r="P121" i="2"/>
  <c r="C121" i="2"/>
  <c r="F121" i="2" s="1"/>
  <c r="H121" i="2"/>
  <c r="J121" i="2" s="1"/>
  <c r="K121" i="2" s="1"/>
  <c r="M121" i="2"/>
  <c r="S121" i="2"/>
  <c r="D119" i="2"/>
  <c r="H119" i="2"/>
  <c r="J119" i="2" s="1"/>
  <c r="K119" i="2" s="1"/>
  <c r="L119" i="2"/>
  <c r="P119" i="2"/>
  <c r="B119" i="2"/>
  <c r="M119" i="2"/>
  <c r="R119" i="2"/>
  <c r="E119" i="2"/>
  <c r="I118" i="2"/>
  <c r="Q117" i="2"/>
  <c r="Q115" i="2"/>
  <c r="G114" i="2"/>
  <c r="B113" i="2"/>
  <c r="R113" i="2"/>
  <c r="E113" i="2"/>
  <c r="G113" i="2" s="1"/>
  <c r="P113" i="2"/>
  <c r="C113" i="2"/>
  <c r="F113" i="2" s="1"/>
  <c r="H113" i="2"/>
  <c r="J113" i="2" s="1"/>
  <c r="K113" i="2" s="1"/>
  <c r="M113" i="2"/>
  <c r="N113" i="2" s="1"/>
  <c r="O113" i="2" s="1"/>
  <c r="S113" i="2"/>
  <c r="D111" i="2"/>
  <c r="H111" i="2"/>
  <c r="J111" i="2" s="1"/>
  <c r="K111" i="2" s="1"/>
  <c r="L111" i="2"/>
  <c r="P111" i="2"/>
  <c r="B111" i="2"/>
  <c r="M111" i="2"/>
  <c r="R111" i="2"/>
  <c r="E111" i="2"/>
  <c r="I110" i="2"/>
  <c r="Q109" i="2"/>
  <c r="Q107" i="2"/>
  <c r="G106" i="2"/>
  <c r="B105" i="2"/>
  <c r="R105" i="2"/>
  <c r="E105" i="2"/>
  <c r="G105" i="2" s="1"/>
  <c r="P105" i="2"/>
  <c r="C105" i="2"/>
  <c r="F105" i="2" s="1"/>
  <c r="H105" i="2"/>
  <c r="J105" i="2" s="1"/>
  <c r="K105" i="2" s="1"/>
  <c r="M105" i="2"/>
  <c r="N105" i="2" s="1"/>
  <c r="O105" i="2" s="1"/>
  <c r="S105" i="2"/>
  <c r="D103" i="2"/>
  <c r="H103" i="2"/>
  <c r="J103" i="2" s="1"/>
  <c r="K103" i="2" s="1"/>
  <c r="L103" i="2"/>
  <c r="P103" i="2"/>
  <c r="B103" i="2"/>
  <c r="M103" i="2"/>
  <c r="R103" i="2"/>
  <c r="E103" i="2"/>
  <c r="I102" i="2"/>
  <c r="Q101" i="2"/>
  <c r="Q99" i="2"/>
  <c r="G98" i="2"/>
  <c r="B97" i="2"/>
  <c r="R97" i="2"/>
  <c r="E97" i="2"/>
  <c r="P97" i="2"/>
  <c r="C97" i="2"/>
  <c r="H97" i="2"/>
  <c r="J97" i="2" s="1"/>
  <c r="K97" i="2" s="1"/>
  <c r="M97" i="2"/>
  <c r="N97" i="2" s="1"/>
  <c r="O97" i="2" s="1"/>
  <c r="S97" i="2"/>
  <c r="D95" i="2"/>
  <c r="H95" i="2"/>
  <c r="J95" i="2" s="1"/>
  <c r="K95" i="2" s="1"/>
  <c r="L95" i="2"/>
  <c r="P95" i="2"/>
  <c r="B95" i="2"/>
  <c r="M95" i="2"/>
  <c r="R95" i="2"/>
  <c r="E95" i="2"/>
  <c r="I94" i="2"/>
  <c r="Q93" i="2"/>
  <c r="Q91" i="2"/>
  <c r="G90" i="2"/>
  <c r="B89" i="2"/>
  <c r="R89" i="2"/>
  <c r="E89" i="2"/>
  <c r="G89" i="2" s="1"/>
  <c r="P89" i="2"/>
  <c r="C89" i="2"/>
  <c r="F89" i="2" s="1"/>
  <c r="H89" i="2"/>
  <c r="J89" i="2" s="1"/>
  <c r="K89" i="2" s="1"/>
  <c r="M89" i="2"/>
  <c r="N89" i="2" s="1"/>
  <c r="O89" i="2" s="1"/>
  <c r="S89" i="2"/>
  <c r="D87" i="2"/>
  <c r="H87" i="2"/>
  <c r="J87" i="2" s="1"/>
  <c r="K87" i="2" s="1"/>
  <c r="L87" i="2"/>
  <c r="P87" i="2"/>
  <c r="B87" i="2"/>
  <c r="M87" i="2"/>
  <c r="R87" i="2"/>
  <c r="E87" i="2"/>
  <c r="I86" i="2"/>
  <c r="Q85" i="2"/>
  <c r="Q83" i="2"/>
  <c r="G82" i="2"/>
  <c r="B81" i="2"/>
  <c r="R81" i="2"/>
  <c r="E81" i="2"/>
  <c r="G81" i="2" s="1"/>
  <c r="P81" i="2"/>
  <c r="C81" i="2"/>
  <c r="F81" i="2" s="1"/>
  <c r="H81" i="2"/>
  <c r="J81" i="2" s="1"/>
  <c r="K81" i="2" s="1"/>
  <c r="M81" i="2"/>
  <c r="N81" i="2" s="1"/>
  <c r="O81" i="2" s="1"/>
  <c r="S81" i="2"/>
  <c r="D79" i="2"/>
  <c r="H79" i="2"/>
  <c r="J79" i="2" s="1"/>
  <c r="K79" i="2" s="1"/>
  <c r="L79" i="2"/>
  <c r="P79" i="2"/>
  <c r="B79" i="2"/>
  <c r="M79" i="2"/>
  <c r="R79" i="2"/>
  <c r="E79" i="2"/>
  <c r="I78" i="2"/>
  <c r="Q77" i="2"/>
  <c r="Q75" i="2"/>
  <c r="G74" i="2"/>
  <c r="B73" i="2"/>
  <c r="R73" i="2"/>
  <c r="E73" i="2"/>
  <c r="P73" i="2"/>
  <c r="C73" i="2"/>
  <c r="F73" i="2" s="1"/>
  <c r="H73" i="2"/>
  <c r="J73" i="2" s="1"/>
  <c r="K73" i="2" s="1"/>
  <c r="M73" i="2"/>
  <c r="N73" i="2" s="1"/>
  <c r="O73" i="2" s="1"/>
  <c r="S73" i="2"/>
  <c r="D71" i="2"/>
  <c r="H71" i="2"/>
  <c r="J71" i="2" s="1"/>
  <c r="K71" i="2" s="1"/>
  <c r="L71" i="2"/>
  <c r="P71" i="2"/>
  <c r="B71" i="2"/>
  <c r="M71" i="2"/>
  <c r="R71" i="2"/>
  <c r="E71" i="2"/>
  <c r="I70" i="2"/>
  <c r="Q69" i="2"/>
  <c r="Q67" i="2"/>
  <c r="B65" i="2"/>
  <c r="R65" i="2"/>
  <c r="E65" i="2"/>
  <c r="G65" i="2" s="1"/>
  <c r="P65" i="2"/>
  <c r="C65" i="2"/>
  <c r="F65" i="2" s="1"/>
  <c r="H65" i="2"/>
  <c r="J65" i="2" s="1"/>
  <c r="K65" i="2" s="1"/>
  <c r="M65" i="2"/>
  <c r="N65" i="2" s="1"/>
  <c r="O65" i="2" s="1"/>
  <c r="S65" i="2"/>
  <c r="D63" i="2"/>
  <c r="H63" i="2"/>
  <c r="L63" i="2"/>
  <c r="P63" i="2"/>
  <c r="B63" i="2"/>
  <c r="M63" i="2"/>
  <c r="R63" i="2"/>
  <c r="E63" i="2"/>
  <c r="I62" i="2"/>
  <c r="Q61" i="2"/>
  <c r="Q59" i="2"/>
  <c r="B57" i="2"/>
  <c r="R57" i="2"/>
  <c r="E57" i="2"/>
  <c r="G57" i="2" s="1"/>
  <c r="P57" i="2"/>
  <c r="C57" i="2"/>
  <c r="F57" i="2" s="1"/>
  <c r="H57" i="2"/>
  <c r="J57" i="2" s="1"/>
  <c r="K57" i="2" s="1"/>
  <c r="M57" i="2"/>
  <c r="N57" i="2" s="1"/>
  <c r="O57" i="2" s="1"/>
  <c r="S57" i="2"/>
  <c r="D55" i="2"/>
  <c r="H55" i="2"/>
  <c r="J55" i="2" s="1"/>
  <c r="K55" i="2" s="1"/>
  <c r="L55" i="2"/>
  <c r="P55" i="2"/>
  <c r="B55" i="2"/>
  <c r="M55" i="2"/>
  <c r="R55" i="2"/>
  <c r="E55" i="2"/>
  <c r="I54" i="2"/>
  <c r="Q53" i="2"/>
  <c r="Q51" i="2"/>
  <c r="G50" i="2"/>
  <c r="B49" i="2"/>
  <c r="R49" i="2"/>
  <c r="E49" i="2"/>
  <c r="G49" i="2" s="1"/>
  <c r="P49" i="2"/>
  <c r="C49" i="2"/>
  <c r="F49" i="2" s="1"/>
  <c r="H49" i="2"/>
  <c r="J49" i="2" s="1"/>
  <c r="K49" i="2" s="1"/>
  <c r="M49" i="2"/>
  <c r="N49" i="2" s="1"/>
  <c r="O49" i="2" s="1"/>
  <c r="S49" i="2"/>
  <c r="D47" i="2"/>
  <c r="H47" i="2"/>
  <c r="J47" i="2" s="1"/>
  <c r="K47" i="2" s="1"/>
  <c r="L47" i="2"/>
  <c r="P47" i="2"/>
  <c r="B47" i="2"/>
  <c r="M47" i="2"/>
  <c r="R47" i="2"/>
  <c r="E47" i="2"/>
  <c r="I46" i="2"/>
  <c r="Q45" i="2"/>
  <c r="Q43" i="2"/>
  <c r="G42" i="2"/>
  <c r="B41" i="2"/>
  <c r="R41" i="2"/>
  <c r="E41" i="2"/>
  <c r="J4" i="21" s="1"/>
  <c r="P41" i="2"/>
  <c r="D4" i="21" s="1"/>
  <c r="C41" i="2"/>
  <c r="H4" i="21" s="1"/>
  <c r="H41" i="2"/>
  <c r="M41" i="2"/>
  <c r="N41" i="2" s="1"/>
  <c r="O41" i="2" s="1"/>
  <c r="S41" i="2"/>
  <c r="D39" i="2"/>
  <c r="H39" i="2"/>
  <c r="J39" i="2" s="1"/>
  <c r="K39" i="2" s="1"/>
  <c r="L39" i="2"/>
  <c r="P39" i="2"/>
  <c r="B39" i="2"/>
  <c r="M39" i="2"/>
  <c r="R39" i="2"/>
  <c r="E4" i="21" s="1"/>
  <c r="E39" i="2"/>
  <c r="I38" i="2"/>
  <c r="Q37" i="2"/>
  <c r="Q35" i="2"/>
  <c r="B33" i="2"/>
  <c r="R33" i="2"/>
  <c r="E33" i="2"/>
  <c r="G33" i="2" s="1"/>
  <c r="P33" i="2"/>
  <c r="C33" i="2"/>
  <c r="F33" i="2" s="1"/>
  <c r="H33" i="2"/>
  <c r="J33" i="2" s="1"/>
  <c r="K33" i="2" s="1"/>
  <c r="M33" i="2"/>
  <c r="N33" i="2" s="1"/>
  <c r="O33" i="2" s="1"/>
  <c r="S33" i="2"/>
  <c r="D31" i="2"/>
  <c r="H31" i="2"/>
  <c r="L31" i="2"/>
  <c r="P31" i="2"/>
  <c r="B31" i="2"/>
  <c r="M31" i="2"/>
  <c r="R31" i="2"/>
  <c r="E31" i="2"/>
  <c r="I30" i="2"/>
  <c r="Q29" i="2"/>
  <c r="Q27" i="2"/>
  <c r="B25" i="2"/>
  <c r="R25" i="2"/>
  <c r="E25" i="2"/>
  <c r="G25" i="2" s="1"/>
  <c r="P25" i="2"/>
  <c r="C25" i="2"/>
  <c r="F25" i="2" s="1"/>
  <c r="H25" i="2"/>
  <c r="J25" i="2" s="1"/>
  <c r="K25" i="2" s="1"/>
  <c r="M25" i="2"/>
  <c r="S25" i="2"/>
  <c r="L22" i="2"/>
  <c r="N22" i="2" s="1"/>
  <c r="O22" i="2" s="1"/>
  <c r="D19" i="2"/>
  <c r="H19" i="2"/>
  <c r="L19" i="2"/>
  <c r="P19" i="2"/>
  <c r="C19" i="2"/>
  <c r="I19" i="2"/>
  <c r="S19" i="2"/>
  <c r="E19" i="2"/>
  <c r="B19" i="2"/>
  <c r="M19" i="2"/>
  <c r="R19" i="2"/>
  <c r="Q14" i="2"/>
  <c r="D23" i="2"/>
  <c r="H23" i="2"/>
  <c r="J23" i="2" s="1"/>
  <c r="K23" i="2" s="1"/>
  <c r="L23" i="2"/>
  <c r="P23" i="2"/>
  <c r="B21" i="2"/>
  <c r="R21" i="2"/>
  <c r="L18" i="2"/>
  <c r="Q15" i="2"/>
  <c r="S191" i="2"/>
  <c r="S187" i="2"/>
  <c r="S183" i="2"/>
  <c r="S179" i="2"/>
  <c r="S175" i="2"/>
  <c r="E23" i="2"/>
  <c r="P21" i="2"/>
  <c r="E21" i="2"/>
  <c r="G21" i="2" s="1"/>
  <c r="P18" i="2"/>
  <c r="E18" i="2"/>
  <c r="G18" i="2" s="1"/>
  <c r="E15" i="2"/>
  <c r="P13" i="2"/>
  <c r="E13" i="2"/>
  <c r="E187" i="3"/>
  <c r="P185" i="3"/>
  <c r="K184" i="3"/>
  <c r="D184" i="3"/>
  <c r="L184" i="3"/>
  <c r="P184" i="3"/>
  <c r="C184" i="3"/>
  <c r="G184" i="3"/>
  <c r="O184" i="3"/>
  <c r="C181" i="3"/>
  <c r="E181" i="3" s="1"/>
  <c r="G181" i="3"/>
  <c r="O181" i="3"/>
  <c r="B181" i="3"/>
  <c r="F181" i="3"/>
  <c r="J181" i="3"/>
  <c r="K181" i="3" s="1"/>
  <c r="N181" i="3"/>
  <c r="J180" i="3"/>
  <c r="K180" i="3" s="1"/>
  <c r="H179" i="3"/>
  <c r="L177" i="3"/>
  <c r="E174" i="3"/>
  <c r="N172" i="3"/>
  <c r="F172" i="3"/>
  <c r="P169" i="3"/>
  <c r="K168" i="3"/>
  <c r="D168" i="3"/>
  <c r="L168" i="3"/>
  <c r="P168" i="3"/>
  <c r="C168" i="3"/>
  <c r="G168" i="3"/>
  <c r="H168" i="3" s="1"/>
  <c r="O168" i="3"/>
  <c r="C165" i="3"/>
  <c r="E165" i="3" s="1"/>
  <c r="G165" i="3"/>
  <c r="O165" i="3"/>
  <c r="B165" i="3"/>
  <c r="F165" i="3"/>
  <c r="J165" i="3"/>
  <c r="K165" i="3" s="1"/>
  <c r="N165" i="3"/>
  <c r="J164" i="3"/>
  <c r="K164" i="3" s="1"/>
  <c r="L161" i="3"/>
  <c r="E158" i="3"/>
  <c r="N156" i="3"/>
  <c r="F156" i="3"/>
  <c r="P153" i="3"/>
  <c r="K152" i="3"/>
  <c r="D152" i="3"/>
  <c r="L152" i="3"/>
  <c r="P152" i="3"/>
  <c r="C152" i="3"/>
  <c r="G152" i="3"/>
  <c r="H152" i="3" s="1"/>
  <c r="O152" i="3"/>
  <c r="C149" i="3"/>
  <c r="E149" i="3" s="1"/>
  <c r="G149" i="3"/>
  <c r="E149" i="5" s="1"/>
  <c r="O149" i="3"/>
  <c r="B149" i="3"/>
  <c r="F149" i="3"/>
  <c r="J149" i="3"/>
  <c r="K149" i="3" s="1"/>
  <c r="N149" i="3"/>
  <c r="J148" i="3"/>
  <c r="K148" i="3" s="1"/>
  <c r="H147" i="3"/>
  <c r="L145" i="3"/>
  <c r="E142" i="3"/>
  <c r="N140" i="3"/>
  <c r="F140" i="3"/>
  <c r="P137" i="3"/>
  <c r="K136" i="3"/>
  <c r="D136" i="3"/>
  <c r="L136" i="3"/>
  <c r="P136" i="3"/>
  <c r="C136" i="3"/>
  <c r="G136" i="3"/>
  <c r="O136" i="3"/>
  <c r="C133" i="3"/>
  <c r="E133" i="3" s="1"/>
  <c r="G133" i="3"/>
  <c r="O133" i="3"/>
  <c r="B133" i="3"/>
  <c r="F133" i="3"/>
  <c r="J133" i="3"/>
  <c r="K133" i="3" s="1"/>
  <c r="N133" i="3"/>
  <c r="J132" i="3"/>
  <c r="K132" i="3" s="1"/>
  <c r="H131" i="3"/>
  <c r="D124" i="3"/>
  <c r="L124" i="3"/>
  <c r="P124" i="3"/>
  <c r="B124" i="3"/>
  <c r="F124" i="3"/>
  <c r="J124" i="3"/>
  <c r="N124" i="3"/>
  <c r="C124" i="3"/>
  <c r="G124" i="3"/>
  <c r="O124" i="3"/>
  <c r="Q113" i="3"/>
  <c r="Q107" i="3"/>
  <c r="Q97" i="3"/>
  <c r="D180" i="3"/>
  <c r="L180" i="3"/>
  <c r="P180" i="3"/>
  <c r="C180" i="3"/>
  <c r="G180" i="3"/>
  <c r="O180" i="3"/>
  <c r="C177" i="3"/>
  <c r="E177" i="3" s="1"/>
  <c r="G177" i="3"/>
  <c r="O177" i="3"/>
  <c r="B177" i="3"/>
  <c r="F177" i="3"/>
  <c r="J177" i="3"/>
  <c r="K177" i="3" s="1"/>
  <c r="N177" i="3"/>
  <c r="D164" i="3"/>
  <c r="L164" i="3"/>
  <c r="P164" i="3"/>
  <c r="C164" i="3"/>
  <c r="G164" i="3"/>
  <c r="O164" i="3"/>
  <c r="C161" i="3"/>
  <c r="E161" i="3" s="1"/>
  <c r="G161" i="3"/>
  <c r="E161" i="5" s="1"/>
  <c r="O161" i="3"/>
  <c r="B161" i="3"/>
  <c r="F161" i="3"/>
  <c r="J161" i="3"/>
  <c r="K161" i="3" s="1"/>
  <c r="N161" i="3"/>
  <c r="D148" i="3"/>
  <c r="L148" i="3"/>
  <c r="P148" i="3"/>
  <c r="C148" i="3"/>
  <c r="G148" i="3"/>
  <c r="E148" i="5" s="1"/>
  <c r="O148" i="3"/>
  <c r="C145" i="3"/>
  <c r="E145" i="3" s="1"/>
  <c r="G145" i="3"/>
  <c r="O145" i="3"/>
  <c r="B145" i="3"/>
  <c r="F145" i="3"/>
  <c r="J145" i="3"/>
  <c r="K145" i="3" s="1"/>
  <c r="N145" i="3"/>
  <c r="D132" i="3"/>
  <c r="L132" i="3"/>
  <c r="P132" i="3"/>
  <c r="C132" i="3"/>
  <c r="G132" i="3"/>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H184" i="3"/>
  <c r="C245" i="2"/>
  <c r="R23" i="2"/>
  <c r="M23" i="2"/>
  <c r="B23" i="2"/>
  <c r="S21" i="2"/>
  <c r="M21" i="2"/>
  <c r="N21" i="2" s="1"/>
  <c r="O21" i="2" s="1"/>
  <c r="H21" i="2"/>
  <c r="J21" i="2" s="1"/>
  <c r="K21" i="2" s="1"/>
  <c r="C21" i="2"/>
  <c r="F21" i="2" s="1"/>
  <c r="R18" i="2"/>
  <c r="M18" i="2"/>
  <c r="H18" i="2"/>
  <c r="J18" i="2" s="1"/>
  <c r="K18" i="2" s="1"/>
  <c r="R15" i="2"/>
  <c r="M15" i="2"/>
  <c r="S13" i="2"/>
  <c r="M13" i="2"/>
  <c r="N13" i="2" s="1"/>
  <c r="O13" i="2" s="1"/>
  <c r="H13" i="2"/>
  <c r="J13" i="2" s="1"/>
  <c r="K13" i="2" s="1"/>
  <c r="I6" i="3"/>
  <c r="L6" i="3"/>
  <c r="O6" i="3"/>
  <c r="F6" i="3"/>
  <c r="H188" i="3"/>
  <c r="D188" i="3"/>
  <c r="E188" i="3" s="1"/>
  <c r="L188" i="3"/>
  <c r="P188" i="3"/>
  <c r="L185" i="3"/>
  <c r="M184" i="3"/>
  <c r="E182" i="3"/>
  <c r="N180" i="3"/>
  <c r="F180" i="3"/>
  <c r="P177" i="3"/>
  <c r="D176" i="3"/>
  <c r="L176" i="3"/>
  <c r="P176" i="3"/>
  <c r="C176" i="3"/>
  <c r="G176" i="3"/>
  <c r="H176" i="3" s="1"/>
  <c r="O176" i="3"/>
  <c r="C173" i="3"/>
  <c r="G173" i="3"/>
  <c r="O173" i="3"/>
  <c r="B173" i="3"/>
  <c r="F173" i="3"/>
  <c r="J173" i="3"/>
  <c r="K173" i="3" s="1"/>
  <c r="N173" i="3"/>
  <c r="J172" i="3"/>
  <c r="K172" i="3" s="1"/>
  <c r="H171" i="3"/>
  <c r="L169" i="3"/>
  <c r="M168" i="3"/>
  <c r="N164" i="3"/>
  <c r="F164" i="3"/>
  <c r="H164" i="3" s="1"/>
  <c r="P161" i="3"/>
  <c r="K160" i="3"/>
  <c r="D160" i="3"/>
  <c r="L160" i="3"/>
  <c r="P160" i="3"/>
  <c r="C160" i="3"/>
  <c r="G160" i="3"/>
  <c r="H160" i="3" s="1"/>
  <c r="O160" i="3"/>
  <c r="C157" i="3"/>
  <c r="E157" i="3" s="1"/>
  <c r="G157" i="3"/>
  <c r="O157" i="3"/>
  <c r="B157" i="3"/>
  <c r="F157" i="3"/>
  <c r="J157" i="3"/>
  <c r="K157" i="3" s="1"/>
  <c r="N157" i="3"/>
  <c r="J156" i="3"/>
  <c r="K156" i="3" s="1"/>
  <c r="H155" i="3"/>
  <c r="L153" i="3"/>
  <c r="M152" i="3"/>
  <c r="E150" i="3"/>
  <c r="N148" i="3"/>
  <c r="F148" i="3"/>
  <c r="P145" i="3"/>
  <c r="K144" i="3"/>
  <c r="D144" i="3"/>
  <c r="L144" i="3"/>
  <c r="P144" i="3"/>
  <c r="C144" i="3"/>
  <c r="G144" i="3"/>
  <c r="H144" i="3" s="1"/>
  <c r="O144" i="3"/>
  <c r="C141" i="3"/>
  <c r="E141" i="3" s="1"/>
  <c r="G141" i="3"/>
  <c r="O141" i="3"/>
  <c r="B141" i="3"/>
  <c r="F141" i="3"/>
  <c r="J141" i="3"/>
  <c r="K141" i="3" s="1"/>
  <c r="N141" i="3"/>
  <c r="J140" i="3"/>
  <c r="K140" i="3" s="1"/>
  <c r="H139" i="3"/>
  <c r="L137" i="3"/>
  <c r="M136" i="3"/>
  <c r="E134" i="3"/>
  <c r="M133" i="3"/>
  <c r="N132" i="3"/>
  <c r="F132" i="3"/>
  <c r="M128" i="3"/>
  <c r="I124" i="3"/>
  <c r="O118" i="3"/>
  <c r="Q102" i="3"/>
  <c r="C18" i="2"/>
  <c r="F18" i="2" s="1"/>
  <c r="S18" i="2"/>
  <c r="D15" i="2"/>
  <c r="H15" i="2"/>
  <c r="J15" i="2" s="1"/>
  <c r="K15" i="2" s="1"/>
  <c r="L15" i="2"/>
  <c r="N15" i="2" s="1"/>
  <c r="O15" i="2" s="1"/>
  <c r="P15" i="2"/>
  <c r="B13" i="2"/>
  <c r="R13" i="2"/>
  <c r="B6" i="6"/>
  <c r="N6" i="5"/>
  <c r="H6" i="5"/>
  <c r="K6" i="5"/>
  <c r="C185" i="3"/>
  <c r="E185" i="3" s="1"/>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O153" i="3"/>
  <c r="B153" i="3"/>
  <c r="F153" i="3"/>
  <c r="J153" i="3"/>
  <c r="K153" i="3" s="1"/>
  <c r="N153" i="3"/>
  <c r="M148" i="3"/>
  <c r="M145" i="3"/>
  <c r="D140" i="3"/>
  <c r="L140" i="3"/>
  <c r="P140" i="3"/>
  <c r="C140" i="3"/>
  <c r="G140" i="3"/>
  <c r="E140" i="5" s="1"/>
  <c r="O140" i="3"/>
  <c r="C137" i="3"/>
  <c r="E137" i="3" s="1"/>
  <c r="G137" i="3"/>
  <c r="O137" i="3"/>
  <c r="B137" i="3"/>
  <c r="F137" i="3"/>
  <c r="J137" i="3"/>
  <c r="K137" i="3" s="1"/>
  <c r="N137" i="3"/>
  <c r="M132" i="3"/>
  <c r="I128" i="3"/>
  <c r="D120" i="3"/>
  <c r="L120" i="3"/>
  <c r="P120" i="3"/>
  <c r="B120" i="3"/>
  <c r="F120" i="3"/>
  <c r="J120" i="3"/>
  <c r="K120" i="3" s="1"/>
  <c r="N120" i="3"/>
  <c r="C120" i="3"/>
  <c r="G120" i="3"/>
  <c r="E120" i="5" s="1"/>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H115" i="3" s="1"/>
  <c r="J115" i="3"/>
  <c r="K115" i="3" s="1"/>
  <c r="N115" i="3"/>
  <c r="C110" i="3"/>
  <c r="E110" i="3" s="1"/>
  <c r="G110" i="3"/>
  <c r="H110" i="3" s="1"/>
  <c r="O110" i="3"/>
  <c r="D105" i="3"/>
  <c r="L105" i="3"/>
  <c r="P105" i="3"/>
  <c r="B99" i="3"/>
  <c r="F99" i="3"/>
  <c r="H99" i="3" s="1"/>
  <c r="J99" i="3"/>
  <c r="K99" i="3" s="1"/>
  <c r="N99" i="3"/>
  <c r="C94" i="3"/>
  <c r="E94" i="3" s="1"/>
  <c r="G94" i="3"/>
  <c r="H94" i="3" s="1"/>
  <c r="O94" i="3"/>
  <c r="O91" i="3"/>
  <c r="I91" i="3"/>
  <c r="D91" i="3"/>
  <c r="E91" i="3" s="1"/>
  <c r="D89" i="3"/>
  <c r="E89" i="3" s="1"/>
  <c r="L89" i="3"/>
  <c r="P89" i="3"/>
  <c r="N86" i="3"/>
  <c r="I86" i="3"/>
  <c r="D86" i="3"/>
  <c r="B83" i="3"/>
  <c r="F83" i="3"/>
  <c r="J83" i="3"/>
  <c r="K83" i="3" s="1"/>
  <c r="N83" i="3"/>
  <c r="N81" i="3"/>
  <c r="I81" i="3"/>
  <c r="C81" i="3"/>
  <c r="C78" i="3"/>
  <c r="E78" i="3" s="1"/>
  <c r="G78" i="3"/>
  <c r="H78" i="3" s="1"/>
  <c r="O78" i="3"/>
  <c r="O75" i="3"/>
  <c r="I75" i="3"/>
  <c r="D75" i="3"/>
  <c r="E75" i="3" s="1"/>
  <c r="D73" i="3"/>
  <c r="E73" i="3" s="1"/>
  <c r="L73" i="3"/>
  <c r="P73" i="3"/>
  <c r="N70" i="3"/>
  <c r="I70" i="3"/>
  <c r="D70" i="3"/>
  <c r="B67" i="3"/>
  <c r="F67" i="3"/>
  <c r="H67" i="3" s="1"/>
  <c r="J67" i="3"/>
  <c r="K67" i="3" s="1"/>
  <c r="N67" i="3"/>
  <c r="N65" i="3"/>
  <c r="I65" i="3"/>
  <c r="C65" i="3"/>
  <c r="C62" i="3"/>
  <c r="G62" i="3"/>
  <c r="H62" i="3" s="1"/>
  <c r="O62" i="3"/>
  <c r="O59" i="3"/>
  <c r="I59" i="3"/>
  <c r="D59" i="3"/>
  <c r="E59" i="3" s="1"/>
  <c r="D57" i="3"/>
  <c r="E57" i="3" s="1"/>
  <c r="L57" i="3"/>
  <c r="P57" i="3"/>
  <c r="N54" i="3"/>
  <c r="I54" i="3"/>
  <c r="D54" i="3"/>
  <c r="B51" i="3"/>
  <c r="F51" i="3"/>
  <c r="H51" i="3" s="1"/>
  <c r="J51" i="3"/>
  <c r="K51" i="3" s="1"/>
  <c r="N51" i="3"/>
  <c r="N49" i="3"/>
  <c r="I49" i="3"/>
  <c r="C49" i="3"/>
  <c r="C46" i="3"/>
  <c r="E46" i="3" s="1"/>
  <c r="G46" i="3"/>
  <c r="H46" i="3" s="1"/>
  <c r="O46" i="3"/>
  <c r="O43" i="3"/>
  <c r="I43" i="3"/>
  <c r="D43" i="3"/>
  <c r="E43" i="3" s="1"/>
  <c r="D41" i="3"/>
  <c r="E41" i="3" s="1"/>
  <c r="L41" i="3"/>
  <c r="P41" i="3"/>
  <c r="N38" i="3"/>
  <c r="I38" i="3"/>
  <c r="D38" i="3"/>
  <c r="B35" i="3"/>
  <c r="F35" i="3"/>
  <c r="H35" i="3" s="1"/>
  <c r="J35" i="3"/>
  <c r="K35" i="3" s="1"/>
  <c r="N35" i="3"/>
  <c r="N33" i="3"/>
  <c r="I33" i="3"/>
  <c r="C33" i="3"/>
  <c r="C30" i="3"/>
  <c r="E30" i="3" s="1"/>
  <c r="G30" i="3"/>
  <c r="H30" i="3" s="1"/>
  <c r="O30" i="3"/>
  <c r="O27" i="3"/>
  <c r="I27" i="3"/>
  <c r="D27" i="3"/>
  <c r="E27" i="3" s="1"/>
  <c r="D25" i="3"/>
  <c r="E25" i="3" s="1"/>
  <c r="L25" i="3"/>
  <c r="P25" i="3"/>
  <c r="N22" i="3"/>
  <c r="I22" i="3"/>
  <c r="D22" i="3"/>
  <c r="B19" i="3"/>
  <c r="F19" i="3"/>
  <c r="H19" i="3" s="1"/>
  <c r="J19" i="3"/>
  <c r="N19" i="3"/>
  <c r="N17" i="3"/>
  <c r="I17" i="3"/>
  <c r="C17" i="3"/>
  <c r="C14" i="3"/>
  <c r="E14" i="3" s="1"/>
  <c r="G14" i="3"/>
  <c r="H14" i="3" s="1"/>
  <c r="O14" i="3"/>
  <c r="O11" i="3"/>
  <c r="I11" i="3"/>
  <c r="D11" i="3"/>
  <c r="D9" i="3"/>
  <c r="E9" i="3" s="1"/>
  <c r="L9" i="3"/>
  <c r="P9" i="3"/>
  <c r="D62" i="5"/>
  <c r="I62" i="5"/>
  <c r="O62" i="5"/>
  <c r="D61" i="5"/>
  <c r="H61" i="5"/>
  <c r="D60" i="5"/>
  <c r="H60" i="5"/>
  <c r="L60" i="5"/>
  <c r="D59" i="5"/>
  <c r="H59" i="5"/>
  <c r="L59" i="5"/>
  <c r="D58" i="5"/>
  <c r="H58" i="5"/>
  <c r="D57" i="5"/>
  <c r="H57" i="5"/>
  <c r="D56" i="5"/>
  <c r="H56" i="5"/>
  <c r="D55" i="5"/>
  <c r="H55" i="5"/>
  <c r="L55" i="5"/>
  <c r="D54" i="5"/>
  <c r="H54" i="5"/>
  <c r="D53" i="5"/>
  <c r="H53" i="5"/>
  <c r="D52" i="5"/>
  <c r="H52" i="5"/>
  <c r="L52" i="5"/>
  <c r="D51" i="5"/>
  <c r="H51" i="5"/>
  <c r="L51" i="5"/>
  <c r="D50" i="5"/>
  <c r="H50" i="5"/>
  <c r="L50" i="5"/>
  <c r="E48" i="5"/>
  <c r="E40" i="5"/>
  <c r="F40" i="5" s="1"/>
  <c r="G40" i="5" s="1"/>
  <c r="E36" i="5"/>
  <c r="F36" i="5" s="1"/>
  <c r="G36" i="5" s="1"/>
  <c r="E32" i="5"/>
  <c r="F32" i="5" s="1"/>
  <c r="G32" i="5" s="1"/>
  <c r="E28" i="5"/>
  <c r="E24" i="5"/>
  <c r="E20" i="5"/>
  <c r="F20" i="5" s="1"/>
  <c r="G20" i="5" s="1"/>
  <c r="E12" i="5"/>
  <c r="F12" i="5" s="1"/>
  <c r="G12" i="5" s="1"/>
  <c r="D159" i="7"/>
  <c r="C159" i="7"/>
  <c r="H159" i="7"/>
  <c r="L159" i="7"/>
  <c r="E159" i="7"/>
  <c r="I159" i="7"/>
  <c r="M159" i="7"/>
  <c r="B159" i="7"/>
  <c r="G159" i="7"/>
  <c r="K159" i="7"/>
  <c r="J159" i="12" s="1"/>
  <c r="O159" i="7"/>
  <c r="C154" i="7"/>
  <c r="G154" i="7"/>
  <c r="K154" i="7"/>
  <c r="O154" i="7"/>
  <c r="D154" i="7"/>
  <c r="I154" i="7"/>
  <c r="I154" i="12" s="1"/>
  <c r="N154" i="7"/>
  <c r="E154" i="7"/>
  <c r="J154" i="7"/>
  <c r="B154" i="7"/>
  <c r="H154" i="7"/>
  <c r="M154" i="7"/>
  <c r="K143" i="7"/>
  <c r="J143" i="12" s="1"/>
  <c r="L138" i="7"/>
  <c r="P126" i="3"/>
  <c r="L126" i="3"/>
  <c r="D126" i="3"/>
  <c r="E126" i="3" s="1"/>
  <c r="P122" i="3"/>
  <c r="L122" i="3"/>
  <c r="D122" i="3"/>
  <c r="E122" i="3" s="1"/>
  <c r="P115" i="3"/>
  <c r="C114" i="3"/>
  <c r="G114" i="3"/>
  <c r="H114" i="3" s="1"/>
  <c r="O114" i="3"/>
  <c r="P110" i="3"/>
  <c r="J110" i="3"/>
  <c r="K110" i="3" s="1"/>
  <c r="H109" i="3"/>
  <c r="D109" i="3"/>
  <c r="L109" i="3"/>
  <c r="P109" i="3"/>
  <c r="K106" i="3"/>
  <c r="O105" i="3"/>
  <c r="J105" i="3"/>
  <c r="B103" i="3"/>
  <c r="F103" i="3"/>
  <c r="H103" i="3" s="1"/>
  <c r="J103" i="3"/>
  <c r="N103" i="3"/>
  <c r="E100" i="3"/>
  <c r="P99" i="3"/>
  <c r="C98" i="3"/>
  <c r="G98" i="3"/>
  <c r="H98" i="3" s="1"/>
  <c r="O98" i="3"/>
  <c r="P94" i="3"/>
  <c r="J94" i="3"/>
  <c r="K94" i="3" s="1"/>
  <c r="D93" i="3"/>
  <c r="L93" i="3"/>
  <c r="P93" i="3"/>
  <c r="M91" i="3"/>
  <c r="O89" i="3"/>
  <c r="J89" i="3"/>
  <c r="K89" i="3" s="1"/>
  <c r="B87" i="3"/>
  <c r="F87" i="3"/>
  <c r="H87" i="3" s="1"/>
  <c r="J87" i="3"/>
  <c r="N87" i="3"/>
  <c r="M86" i="3"/>
  <c r="P83" i="3"/>
  <c r="C82" i="3"/>
  <c r="G82" i="3"/>
  <c r="H82" i="3" s="1"/>
  <c r="O82" i="3"/>
  <c r="M81" i="3"/>
  <c r="G81" i="3"/>
  <c r="E81" i="5" s="1"/>
  <c r="P78" i="3"/>
  <c r="J78" i="3"/>
  <c r="K78" i="3" s="1"/>
  <c r="H77" i="3"/>
  <c r="D77" i="3"/>
  <c r="L77" i="3"/>
  <c r="P77" i="3"/>
  <c r="M75" i="3"/>
  <c r="K74" i="3"/>
  <c r="O73" i="3"/>
  <c r="J73" i="3"/>
  <c r="K73" i="3" s="1"/>
  <c r="B71" i="3"/>
  <c r="F71" i="3"/>
  <c r="H71" i="3" s="1"/>
  <c r="J71" i="3"/>
  <c r="N71" i="3"/>
  <c r="M70" i="3"/>
  <c r="P67" i="3"/>
  <c r="C66" i="3"/>
  <c r="G66" i="3"/>
  <c r="H66" i="3" s="1"/>
  <c r="O66" i="3"/>
  <c r="M65" i="3"/>
  <c r="G65" i="3"/>
  <c r="P62" i="3"/>
  <c r="J62" i="3"/>
  <c r="H61" i="3"/>
  <c r="D61" i="3"/>
  <c r="L61" i="3"/>
  <c r="P61" i="3"/>
  <c r="M59" i="3"/>
  <c r="K58" i="3"/>
  <c r="O57" i="3"/>
  <c r="J57" i="3"/>
  <c r="K57" i="3" s="1"/>
  <c r="B55" i="3"/>
  <c r="F55" i="3"/>
  <c r="H55" i="3" s="1"/>
  <c r="J55" i="3"/>
  <c r="N55" i="3"/>
  <c r="M54" i="3"/>
  <c r="E52" i="3"/>
  <c r="P51" i="3"/>
  <c r="C50" i="3"/>
  <c r="G50" i="3"/>
  <c r="O50" i="3"/>
  <c r="M49" i="3"/>
  <c r="G49" i="3"/>
  <c r="E49" i="5" s="1"/>
  <c r="F49" i="5" s="1"/>
  <c r="G49" i="5" s="1"/>
  <c r="P46" i="3"/>
  <c r="J46" i="3"/>
  <c r="D45" i="3"/>
  <c r="L45" i="3"/>
  <c r="P45" i="3"/>
  <c r="M43" i="3"/>
  <c r="K42" i="3"/>
  <c r="O41" i="3"/>
  <c r="J41" i="3"/>
  <c r="K41" i="3" s="1"/>
  <c r="B39" i="3"/>
  <c r="F39" i="3"/>
  <c r="H39" i="3" s="1"/>
  <c r="J39" i="3"/>
  <c r="N39" i="3"/>
  <c r="M38" i="3"/>
  <c r="E36" i="3"/>
  <c r="P35" i="3"/>
  <c r="C34" i="3"/>
  <c r="G34" i="3"/>
  <c r="H34" i="3" s="1"/>
  <c r="O34" i="3"/>
  <c r="M33" i="3"/>
  <c r="G33" i="3"/>
  <c r="E33" i="5" s="1"/>
  <c r="F33" i="5" s="1"/>
  <c r="G33" i="5" s="1"/>
  <c r="P30" i="3"/>
  <c r="J30" i="3"/>
  <c r="K30" i="3" s="1"/>
  <c r="H29" i="3"/>
  <c r="D29" i="3"/>
  <c r="L29" i="3"/>
  <c r="P29" i="3"/>
  <c r="M27" i="3"/>
  <c r="K26" i="3"/>
  <c r="O25" i="3"/>
  <c r="J25" i="3"/>
  <c r="K25" i="3" s="1"/>
  <c r="B23" i="3"/>
  <c r="F23" i="3"/>
  <c r="H23" i="3" s="1"/>
  <c r="J23" i="3"/>
  <c r="N23" i="3"/>
  <c r="M22" i="3"/>
  <c r="P19" i="3"/>
  <c r="C18" i="3"/>
  <c r="G18" i="3"/>
  <c r="H18" i="3" s="1"/>
  <c r="O18" i="3"/>
  <c r="M17" i="3"/>
  <c r="G17" i="3"/>
  <c r="H17" i="3" s="1"/>
  <c r="P14" i="3"/>
  <c r="J14" i="3"/>
  <c r="K14" i="3" s="1"/>
  <c r="H13" i="3"/>
  <c r="D13" i="3"/>
  <c r="L13" i="3"/>
  <c r="P13" i="3"/>
  <c r="M11" i="3"/>
  <c r="K10" i="3"/>
  <c r="O9" i="3"/>
  <c r="J9" i="3"/>
  <c r="K9" i="3" s="1"/>
  <c r="B8" i="28"/>
  <c r="C8" i="28"/>
  <c r="B7" i="3"/>
  <c r="F7" i="3"/>
  <c r="J7" i="3"/>
  <c r="N7" i="3"/>
  <c r="E166" i="5"/>
  <c r="E164" i="5"/>
  <c r="E162" i="5"/>
  <c r="E159" i="5"/>
  <c r="E158" i="5"/>
  <c r="E157" i="5"/>
  <c r="E155" i="5"/>
  <c r="E154" i="5"/>
  <c r="E153" i="5"/>
  <c r="E152" i="5"/>
  <c r="E151" i="5"/>
  <c r="E150" i="5"/>
  <c r="E147" i="5"/>
  <c r="E146" i="5"/>
  <c r="E145" i="5"/>
  <c r="E143" i="5"/>
  <c r="E142" i="5"/>
  <c r="E141" i="5"/>
  <c r="E139" i="5"/>
  <c r="E138" i="5"/>
  <c r="E137" i="5"/>
  <c r="E135" i="5"/>
  <c r="E134" i="5"/>
  <c r="E133" i="5"/>
  <c r="E132" i="5"/>
  <c r="E131" i="5"/>
  <c r="E128" i="5"/>
  <c r="E127" i="5"/>
  <c r="E126" i="5"/>
  <c r="E124" i="5"/>
  <c r="E123" i="5"/>
  <c r="E122" i="5"/>
  <c r="E119" i="5"/>
  <c r="E118" i="5"/>
  <c r="E117" i="5"/>
  <c r="E116" i="5"/>
  <c r="E115" i="5"/>
  <c r="E112" i="5"/>
  <c r="E111" i="5"/>
  <c r="E109" i="5"/>
  <c r="E108" i="5"/>
  <c r="E104" i="5"/>
  <c r="E103" i="5"/>
  <c r="E102" i="5"/>
  <c r="E101" i="5"/>
  <c r="E99" i="5"/>
  <c r="E98" i="5"/>
  <c r="E97" i="5"/>
  <c r="E96" i="5"/>
  <c r="E95" i="5"/>
  <c r="E94" i="5"/>
  <c r="E93" i="5"/>
  <c r="E92" i="5"/>
  <c r="E91" i="5"/>
  <c r="E88" i="5"/>
  <c r="E85" i="5"/>
  <c r="E84" i="5"/>
  <c r="E80" i="5"/>
  <c r="E78" i="5"/>
  <c r="E77" i="5"/>
  <c r="E76" i="5"/>
  <c r="E75" i="5"/>
  <c r="E72" i="5"/>
  <c r="E71" i="5"/>
  <c r="E69" i="5"/>
  <c r="E68" i="5"/>
  <c r="E67" i="5"/>
  <c r="E65" i="5"/>
  <c r="E64" i="5"/>
  <c r="N62" i="5"/>
  <c r="K61" i="5"/>
  <c r="K60" i="5"/>
  <c r="K59" i="5"/>
  <c r="K58" i="5"/>
  <c r="K57" i="5"/>
  <c r="K56" i="5"/>
  <c r="K55" i="5"/>
  <c r="K54" i="5"/>
  <c r="K53" i="5"/>
  <c r="K52" i="5"/>
  <c r="K51" i="5"/>
  <c r="K50" i="5"/>
  <c r="P45" i="5"/>
  <c r="P43" i="5"/>
  <c r="P41" i="5"/>
  <c r="P37" i="5"/>
  <c r="P31" i="5"/>
  <c r="P29" i="5"/>
  <c r="P27" i="5"/>
  <c r="P25" i="5"/>
  <c r="P19" i="5"/>
  <c r="P17" i="5"/>
  <c r="P15" i="5"/>
  <c r="P13" i="5"/>
  <c r="K188" i="7"/>
  <c r="N186" i="7"/>
  <c r="C178" i="7"/>
  <c r="G178" i="7"/>
  <c r="K178" i="7"/>
  <c r="J178" i="12" s="1"/>
  <c r="O178" i="7"/>
  <c r="D178" i="7"/>
  <c r="H178" i="7"/>
  <c r="L178" i="7"/>
  <c r="K178" i="12" s="1"/>
  <c r="B178" i="7"/>
  <c r="F178" i="7"/>
  <c r="J178" i="7"/>
  <c r="N178" i="7"/>
  <c r="C170" i="7"/>
  <c r="G170" i="7"/>
  <c r="K170" i="7"/>
  <c r="O170" i="7"/>
  <c r="D170" i="7"/>
  <c r="H170" i="7"/>
  <c r="L170" i="7"/>
  <c r="K170" i="12" s="1"/>
  <c r="B170" i="7"/>
  <c r="F170" i="7"/>
  <c r="J170" i="7"/>
  <c r="N170" i="7"/>
  <c r="C162" i="7"/>
  <c r="G162" i="7"/>
  <c r="K162" i="7"/>
  <c r="O162" i="7"/>
  <c r="D162" i="7"/>
  <c r="H162" i="7"/>
  <c r="L162" i="7"/>
  <c r="B162" i="7"/>
  <c r="F162" i="7"/>
  <c r="J162" i="7"/>
  <c r="N162" i="7"/>
  <c r="N159" i="7"/>
  <c r="L149" i="7"/>
  <c r="B91" i="3"/>
  <c r="F91" i="3"/>
  <c r="H91" i="3" s="1"/>
  <c r="J91" i="3"/>
  <c r="N91" i="3"/>
  <c r="C86" i="3"/>
  <c r="G86" i="3"/>
  <c r="H86" i="3" s="1"/>
  <c r="O86" i="3"/>
  <c r="H81" i="3"/>
  <c r="D81" i="3"/>
  <c r="L81" i="3"/>
  <c r="P81" i="3"/>
  <c r="B75" i="3"/>
  <c r="F75" i="3"/>
  <c r="H75" i="3" s="1"/>
  <c r="J75" i="3"/>
  <c r="N75" i="3"/>
  <c r="C70" i="3"/>
  <c r="E70" i="3" s="1"/>
  <c r="G70" i="3"/>
  <c r="H70" i="3" s="1"/>
  <c r="O70" i="3"/>
  <c r="H65" i="3"/>
  <c r="D65" i="3"/>
  <c r="L65" i="3"/>
  <c r="P65" i="3"/>
  <c r="K62" i="3"/>
  <c r="B59" i="3"/>
  <c r="F59" i="3"/>
  <c r="H59" i="3" s="1"/>
  <c r="J59" i="3"/>
  <c r="N59" i="3"/>
  <c r="C54" i="3"/>
  <c r="G54" i="3"/>
  <c r="O54" i="3"/>
  <c r="H49" i="3"/>
  <c r="D49" i="3"/>
  <c r="L49" i="3"/>
  <c r="P49" i="3"/>
  <c r="K46" i="3"/>
  <c r="B43" i="3"/>
  <c r="F43" i="3"/>
  <c r="H43" i="3" s="1"/>
  <c r="J43" i="3"/>
  <c r="N43" i="3"/>
  <c r="C38" i="3"/>
  <c r="G38" i="3"/>
  <c r="H38" i="3" s="1"/>
  <c r="O38" i="3"/>
  <c r="D33" i="3"/>
  <c r="L33" i="3"/>
  <c r="P33" i="3"/>
  <c r="B27" i="3"/>
  <c r="F27" i="3"/>
  <c r="H27" i="3" s="1"/>
  <c r="J27" i="3"/>
  <c r="N27" i="3"/>
  <c r="C22" i="3"/>
  <c r="G22" i="3"/>
  <c r="H22" i="3" s="1"/>
  <c r="O22" i="3"/>
  <c r="D17" i="3"/>
  <c r="L17" i="3"/>
  <c r="P17" i="3"/>
  <c r="B11" i="3"/>
  <c r="F11" i="3"/>
  <c r="H11" i="3" s="1"/>
  <c r="J11" i="3"/>
  <c r="N11" i="3"/>
  <c r="E61" i="5"/>
  <c r="E60" i="5"/>
  <c r="E59" i="5"/>
  <c r="E56" i="5"/>
  <c r="E55" i="5"/>
  <c r="E53" i="5"/>
  <c r="E52" i="5"/>
  <c r="E51" i="5"/>
  <c r="E50" i="5"/>
  <c r="F48" i="5"/>
  <c r="G48" i="5" s="1"/>
  <c r="E47" i="5"/>
  <c r="F47" i="5" s="1"/>
  <c r="G47" i="5" s="1"/>
  <c r="E45" i="5"/>
  <c r="F45" i="5" s="1"/>
  <c r="G45" i="5" s="1"/>
  <c r="E43" i="5"/>
  <c r="F43" i="5" s="1"/>
  <c r="G43" i="5" s="1"/>
  <c r="E39" i="5"/>
  <c r="F39" i="5" s="1"/>
  <c r="G39" i="5" s="1"/>
  <c r="E37" i="5"/>
  <c r="F37" i="5" s="1"/>
  <c r="E35" i="5"/>
  <c r="F35" i="5" s="1"/>
  <c r="G35" i="5" s="1"/>
  <c r="E31" i="5"/>
  <c r="F31" i="5" s="1"/>
  <c r="G31" i="5" s="1"/>
  <c r="E29" i="5"/>
  <c r="F29" i="5" s="1"/>
  <c r="G29" i="5" s="1"/>
  <c r="F28" i="5"/>
  <c r="G28" i="5" s="1"/>
  <c r="E27" i="5"/>
  <c r="F27" i="5" s="1"/>
  <c r="G27" i="5" s="1"/>
  <c r="F24" i="5"/>
  <c r="G24" i="5" s="1"/>
  <c r="E23" i="5"/>
  <c r="F23" i="5" s="1"/>
  <c r="G23" i="5" s="1"/>
  <c r="E19" i="5"/>
  <c r="F19" i="5" s="1"/>
  <c r="G19" i="5" s="1"/>
  <c r="E17" i="5"/>
  <c r="F17" i="5" s="1"/>
  <c r="G17" i="5" s="1"/>
  <c r="E15" i="5"/>
  <c r="F15" i="5" s="1"/>
  <c r="G15" i="5" s="1"/>
  <c r="E13" i="5"/>
  <c r="F13" i="5" s="1"/>
  <c r="G13" i="5" s="1"/>
  <c r="E11" i="5"/>
  <c r="F11" i="5" s="1"/>
  <c r="G11" i="5" s="1"/>
  <c r="E7" i="5"/>
  <c r="F7" i="5" s="1"/>
  <c r="G7" i="5" s="1"/>
  <c r="B188" i="7"/>
  <c r="F188" i="7"/>
  <c r="J188" i="7"/>
  <c r="N188" i="7"/>
  <c r="D188" i="7"/>
  <c r="H188" i="7"/>
  <c r="L188" i="7"/>
  <c r="J159" i="7"/>
  <c r="D143" i="7"/>
  <c r="H143" i="7"/>
  <c r="L143" i="7"/>
  <c r="K143" i="12" s="1"/>
  <c r="C143" i="7"/>
  <c r="I143" i="7"/>
  <c r="N143" i="7"/>
  <c r="E143" i="7"/>
  <c r="J143" i="7"/>
  <c r="O143" i="7"/>
  <c r="B143" i="7"/>
  <c r="G143" i="7"/>
  <c r="M143" i="7"/>
  <c r="C138" i="7"/>
  <c r="G138" i="7"/>
  <c r="K138" i="7"/>
  <c r="O138" i="7"/>
  <c r="D138" i="7"/>
  <c r="I138" i="7"/>
  <c r="N138" i="7"/>
  <c r="E138" i="7"/>
  <c r="J138" i="7"/>
  <c r="B138" i="7"/>
  <c r="H138" i="7"/>
  <c r="M138" i="7"/>
  <c r="N186" i="3"/>
  <c r="J186" i="3"/>
  <c r="K186" i="3" s="1"/>
  <c r="F186" i="3"/>
  <c r="H186" i="3" s="1"/>
  <c r="N182" i="3"/>
  <c r="J182" i="3"/>
  <c r="K182" i="3" s="1"/>
  <c r="F182" i="3"/>
  <c r="H182" i="3" s="1"/>
  <c r="N178" i="3"/>
  <c r="J178" i="3"/>
  <c r="F178" i="3"/>
  <c r="H178" i="3" s="1"/>
  <c r="N174" i="3"/>
  <c r="J174" i="3"/>
  <c r="F174" i="3"/>
  <c r="H174" i="3" s="1"/>
  <c r="N170" i="3"/>
  <c r="J170" i="3"/>
  <c r="K170" i="3" s="1"/>
  <c r="F170" i="3"/>
  <c r="H170" i="3" s="1"/>
  <c r="N166" i="3"/>
  <c r="J166" i="3"/>
  <c r="K166" i="3" s="1"/>
  <c r="F166" i="3"/>
  <c r="H166" i="3" s="1"/>
  <c r="N162" i="3"/>
  <c r="J162" i="3"/>
  <c r="K162" i="3" s="1"/>
  <c r="F162" i="3"/>
  <c r="H162" i="3" s="1"/>
  <c r="N158" i="3"/>
  <c r="J158" i="3"/>
  <c r="K158" i="3" s="1"/>
  <c r="F158" i="3"/>
  <c r="H158" i="3" s="1"/>
  <c r="N154" i="3"/>
  <c r="J154" i="3"/>
  <c r="K154" i="3" s="1"/>
  <c r="F154" i="3"/>
  <c r="H154" i="3" s="1"/>
  <c r="N150" i="3"/>
  <c r="J150" i="3"/>
  <c r="K150" i="3" s="1"/>
  <c r="F150" i="3"/>
  <c r="H150" i="3" s="1"/>
  <c r="N146" i="3"/>
  <c r="J146" i="3"/>
  <c r="K146" i="3" s="1"/>
  <c r="F146" i="3"/>
  <c r="H146" i="3" s="1"/>
  <c r="N142" i="3"/>
  <c r="J142" i="3"/>
  <c r="K142" i="3" s="1"/>
  <c r="F142" i="3"/>
  <c r="H142" i="3" s="1"/>
  <c r="N138" i="3"/>
  <c r="J138" i="3"/>
  <c r="K138" i="3" s="1"/>
  <c r="F138" i="3"/>
  <c r="H138" i="3" s="1"/>
  <c r="N134" i="3"/>
  <c r="J134" i="3"/>
  <c r="K134" i="3" s="1"/>
  <c r="F134" i="3"/>
  <c r="H134" i="3" s="1"/>
  <c r="N130" i="3"/>
  <c r="J130" i="3"/>
  <c r="K130" i="3" s="1"/>
  <c r="F130" i="3"/>
  <c r="O129" i="3"/>
  <c r="G129" i="3"/>
  <c r="H129" i="3" s="1"/>
  <c r="N126" i="3"/>
  <c r="J126" i="3"/>
  <c r="K126" i="3" s="1"/>
  <c r="F126" i="3"/>
  <c r="H126" i="3" s="1"/>
  <c r="O125" i="3"/>
  <c r="G125" i="3"/>
  <c r="H125" i="3" s="1"/>
  <c r="N122" i="3"/>
  <c r="J122" i="3"/>
  <c r="K122" i="3" s="1"/>
  <c r="F122" i="3"/>
  <c r="H122" i="3" s="1"/>
  <c r="O121" i="3"/>
  <c r="G121" i="3"/>
  <c r="H121" i="3" s="1"/>
  <c r="H117" i="3"/>
  <c r="D117" i="3"/>
  <c r="E117" i="3" s="1"/>
  <c r="L117" i="3"/>
  <c r="P117" i="3"/>
  <c r="M115" i="3"/>
  <c r="C115" i="3"/>
  <c r="E115" i="3" s="1"/>
  <c r="N114" i="3"/>
  <c r="I114" i="3"/>
  <c r="K114" i="3" s="1"/>
  <c r="D114" i="3"/>
  <c r="B111" i="3"/>
  <c r="F111" i="3"/>
  <c r="H111" i="3" s="1"/>
  <c r="J111" i="3"/>
  <c r="K111" i="3" s="1"/>
  <c r="N111" i="3"/>
  <c r="M110" i="3"/>
  <c r="B110" i="3"/>
  <c r="N109" i="3"/>
  <c r="I109" i="3"/>
  <c r="K109" i="3" s="1"/>
  <c r="C109" i="3"/>
  <c r="E109" i="3" s="1"/>
  <c r="E108" i="3"/>
  <c r="C106" i="3"/>
  <c r="E106" i="3" s="1"/>
  <c r="G106" i="3"/>
  <c r="H106" i="3" s="1"/>
  <c r="O106" i="3"/>
  <c r="M105" i="3"/>
  <c r="G105" i="3"/>
  <c r="E105" i="5" s="1"/>
  <c r="B105" i="3"/>
  <c r="O103" i="3"/>
  <c r="I103" i="3"/>
  <c r="D103" i="3"/>
  <c r="E103" i="3" s="1"/>
  <c r="D101" i="3"/>
  <c r="E101" i="3" s="1"/>
  <c r="L101" i="3"/>
  <c r="P101" i="3"/>
  <c r="M99" i="3"/>
  <c r="C99" i="3"/>
  <c r="E99" i="3" s="1"/>
  <c r="N98" i="3"/>
  <c r="I98" i="3"/>
  <c r="K98" i="3" s="1"/>
  <c r="D98" i="3"/>
  <c r="B95" i="3"/>
  <c r="F95" i="3"/>
  <c r="H95" i="3" s="1"/>
  <c r="J95" i="3"/>
  <c r="K95" i="3" s="1"/>
  <c r="N95" i="3"/>
  <c r="M94" i="3"/>
  <c r="B94" i="3"/>
  <c r="N93" i="3"/>
  <c r="I93" i="3"/>
  <c r="K93" i="3" s="1"/>
  <c r="C93" i="3"/>
  <c r="P91" i="3"/>
  <c r="C90" i="3"/>
  <c r="E90" i="3" s="1"/>
  <c r="G90" i="3"/>
  <c r="H90" i="3" s="1"/>
  <c r="O90" i="3"/>
  <c r="M89" i="3"/>
  <c r="G89" i="3"/>
  <c r="E89" i="5" s="1"/>
  <c r="B89" i="3"/>
  <c r="O87" i="3"/>
  <c r="I87" i="3"/>
  <c r="K87" i="3" s="1"/>
  <c r="D87" i="3"/>
  <c r="E87" i="3" s="1"/>
  <c r="P86" i="3"/>
  <c r="J86" i="3"/>
  <c r="H85" i="3"/>
  <c r="D85" i="3"/>
  <c r="E85" i="3" s="1"/>
  <c r="L85" i="3"/>
  <c r="P85" i="3"/>
  <c r="M83" i="3"/>
  <c r="C83" i="3"/>
  <c r="E83" i="3" s="1"/>
  <c r="N82" i="3"/>
  <c r="I82" i="3"/>
  <c r="K82" i="3" s="1"/>
  <c r="D82" i="3"/>
  <c r="O81" i="3"/>
  <c r="J81" i="3"/>
  <c r="B79" i="3"/>
  <c r="F79" i="3"/>
  <c r="J79" i="3"/>
  <c r="K79" i="3" s="1"/>
  <c r="N79" i="3"/>
  <c r="M78" i="3"/>
  <c r="B78" i="3"/>
  <c r="N77" i="3"/>
  <c r="I77" i="3"/>
  <c r="K77" i="3" s="1"/>
  <c r="C77" i="3"/>
  <c r="E77" i="3" s="1"/>
  <c r="E76" i="3"/>
  <c r="P75" i="3"/>
  <c r="C74" i="3"/>
  <c r="E74" i="3" s="1"/>
  <c r="G74" i="3"/>
  <c r="H74" i="3" s="1"/>
  <c r="O74" i="3"/>
  <c r="M73" i="3"/>
  <c r="G73" i="3"/>
  <c r="E73" i="5" s="1"/>
  <c r="B73" i="3"/>
  <c r="O71" i="3"/>
  <c r="I71" i="3"/>
  <c r="D71" i="3"/>
  <c r="E71" i="3" s="1"/>
  <c r="P70" i="3"/>
  <c r="J70" i="3"/>
  <c r="H69" i="3"/>
  <c r="D69" i="3"/>
  <c r="E69" i="3" s="1"/>
  <c r="L69" i="3"/>
  <c r="P69" i="3"/>
  <c r="M67" i="3"/>
  <c r="C67" i="3"/>
  <c r="E67" i="3" s="1"/>
  <c r="N66" i="3"/>
  <c r="I66" i="3"/>
  <c r="K66" i="3" s="1"/>
  <c r="D66" i="3"/>
  <c r="O65" i="3"/>
  <c r="J65" i="3"/>
  <c r="B63" i="3"/>
  <c r="F63" i="3"/>
  <c r="J63" i="3"/>
  <c r="K63" i="3" s="1"/>
  <c r="N63" i="3"/>
  <c r="M62" i="3"/>
  <c r="B62" i="3"/>
  <c r="N61" i="3"/>
  <c r="I61" i="3"/>
  <c r="K61" i="3" s="1"/>
  <c r="C61" i="3"/>
  <c r="E60" i="3"/>
  <c r="P59" i="3"/>
  <c r="C58" i="3"/>
  <c r="E58" i="3" s="1"/>
  <c r="G58" i="3"/>
  <c r="H58" i="3" s="1"/>
  <c r="O58" i="3"/>
  <c r="M57" i="3"/>
  <c r="G57" i="3"/>
  <c r="H57" i="3" s="1"/>
  <c r="B57" i="3"/>
  <c r="O55" i="3"/>
  <c r="I55" i="3"/>
  <c r="D55" i="3"/>
  <c r="E55" i="3" s="1"/>
  <c r="P54" i="3"/>
  <c r="J54" i="3"/>
  <c r="H53" i="3"/>
  <c r="D53" i="3"/>
  <c r="E53" i="3" s="1"/>
  <c r="L53" i="3"/>
  <c r="P53" i="3"/>
  <c r="M51" i="3"/>
  <c r="C51" i="3"/>
  <c r="E51" i="3" s="1"/>
  <c r="N50" i="3"/>
  <c r="I50" i="3"/>
  <c r="K50" i="3" s="1"/>
  <c r="D50" i="3"/>
  <c r="O49" i="3"/>
  <c r="J49" i="3"/>
  <c r="B47" i="3"/>
  <c r="F47" i="3"/>
  <c r="H47" i="3" s="1"/>
  <c r="J47" i="3"/>
  <c r="K47" i="3" s="1"/>
  <c r="N47" i="3"/>
  <c r="M46" i="3"/>
  <c r="B46" i="3"/>
  <c r="N45" i="3"/>
  <c r="I45" i="3"/>
  <c r="K45" i="3" s="1"/>
  <c r="C45" i="3"/>
  <c r="E44" i="3"/>
  <c r="P43" i="3"/>
  <c r="C42" i="3"/>
  <c r="E42" i="3" s="1"/>
  <c r="G42" i="3"/>
  <c r="H42" i="3" s="1"/>
  <c r="O42" i="3"/>
  <c r="M41" i="3"/>
  <c r="G41" i="3"/>
  <c r="H41" i="3" s="1"/>
  <c r="B41" i="3"/>
  <c r="O39" i="3"/>
  <c r="I39" i="3"/>
  <c r="D39" i="3"/>
  <c r="E39" i="3" s="1"/>
  <c r="P38" i="3"/>
  <c r="J38" i="3"/>
  <c r="H37" i="3"/>
  <c r="D37" i="3"/>
  <c r="E37" i="3" s="1"/>
  <c r="L37" i="3"/>
  <c r="P37" i="3"/>
  <c r="M35" i="3"/>
  <c r="C35" i="3"/>
  <c r="E35" i="3" s="1"/>
  <c r="N34" i="3"/>
  <c r="I34" i="3"/>
  <c r="K34" i="3" s="1"/>
  <c r="D34" i="3"/>
  <c r="O33" i="3"/>
  <c r="J33" i="3"/>
  <c r="B31" i="3"/>
  <c r="F31" i="3"/>
  <c r="H31" i="3" s="1"/>
  <c r="J31" i="3"/>
  <c r="K31" i="3" s="1"/>
  <c r="N31" i="3"/>
  <c r="M30" i="3"/>
  <c r="B30" i="3"/>
  <c r="N29" i="3"/>
  <c r="I29" i="3"/>
  <c r="K29" i="3" s="1"/>
  <c r="C29" i="3"/>
  <c r="E29" i="3" s="1"/>
  <c r="P27" i="3"/>
  <c r="C26" i="3"/>
  <c r="E26" i="3" s="1"/>
  <c r="G26" i="3"/>
  <c r="H26" i="3" s="1"/>
  <c r="O26" i="3"/>
  <c r="M25" i="3"/>
  <c r="G25" i="3"/>
  <c r="H25" i="3" s="1"/>
  <c r="B25" i="3"/>
  <c r="O23" i="3"/>
  <c r="I23" i="3"/>
  <c r="D23" i="3"/>
  <c r="E23" i="3" s="1"/>
  <c r="P22" i="3"/>
  <c r="J22" i="3"/>
  <c r="D21" i="3"/>
  <c r="E21" i="3" s="1"/>
  <c r="L21" i="3"/>
  <c r="P21" i="3"/>
  <c r="M19" i="3"/>
  <c r="C19" i="3"/>
  <c r="E19" i="3" s="1"/>
  <c r="N18" i="3"/>
  <c r="I18" i="3"/>
  <c r="K18" i="3" s="1"/>
  <c r="D18" i="3"/>
  <c r="O17" i="3"/>
  <c r="J17" i="3"/>
  <c r="B15" i="3"/>
  <c r="F15" i="3"/>
  <c r="H15" i="3" s="1"/>
  <c r="J15" i="3"/>
  <c r="K15" i="3" s="1"/>
  <c r="N15" i="3"/>
  <c r="M14" i="3"/>
  <c r="B14" i="3"/>
  <c r="N13" i="3"/>
  <c r="I13" i="3"/>
  <c r="K13" i="3" s="1"/>
  <c r="C13" i="3"/>
  <c r="P11" i="3"/>
  <c r="C10" i="3"/>
  <c r="E10" i="3" s="1"/>
  <c r="G10" i="3"/>
  <c r="O10" i="3"/>
  <c r="M9" i="3"/>
  <c r="G9" i="3"/>
  <c r="B9" i="3"/>
  <c r="O7" i="3"/>
  <c r="I7" i="3"/>
  <c r="D7" i="3"/>
  <c r="E7" i="3" s="1"/>
  <c r="D166" i="5"/>
  <c r="F166" i="5" s="1"/>
  <c r="G166" i="5" s="1"/>
  <c r="H166" i="5"/>
  <c r="J166" i="5" s="1"/>
  <c r="L166" i="5"/>
  <c r="M166" i="5" s="1"/>
  <c r="D165" i="5"/>
  <c r="F165" i="5" s="1"/>
  <c r="G165" i="5" s="1"/>
  <c r="H165" i="5"/>
  <c r="J165" i="5" s="1"/>
  <c r="L165" i="5"/>
  <c r="M165" i="5" s="1"/>
  <c r="D164" i="5"/>
  <c r="F164" i="5" s="1"/>
  <c r="G164" i="5" s="1"/>
  <c r="H164" i="5"/>
  <c r="J164" i="5" s="1"/>
  <c r="L164" i="5"/>
  <c r="M164" i="5" s="1"/>
  <c r="D163" i="5"/>
  <c r="H163" i="5"/>
  <c r="J163" i="5" s="1"/>
  <c r="D162" i="5"/>
  <c r="H162" i="5"/>
  <c r="J162" i="5" s="1"/>
  <c r="D161" i="5"/>
  <c r="H161" i="5"/>
  <c r="J161" i="5" s="1"/>
  <c r="L161" i="5"/>
  <c r="M161" i="5" s="1"/>
  <c r="D160" i="5"/>
  <c r="H160" i="5"/>
  <c r="L160" i="5"/>
  <c r="M160" i="5" s="1"/>
  <c r="D159" i="5"/>
  <c r="H159" i="5"/>
  <c r="J159" i="5" s="1"/>
  <c r="D158" i="5"/>
  <c r="H158" i="5"/>
  <c r="J158" i="5" s="1"/>
  <c r="D157" i="5"/>
  <c r="H157" i="5"/>
  <c r="J157" i="5" s="1"/>
  <c r="D156" i="5"/>
  <c r="H156" i="5"/>
  <c r="L156" i="5"/>
  <c r="M156" i="5" s="1"/>
  <c r="D155" i="5"/>
  <c r="H155" i="5"/>
  <c r="J155" i="5" s="1"/>
  <c r="D154" i="5"/>
  <c r="F154" i="5" s="1"/>
  <c r="G154" i="5" s="1"/>
  <c r="H154" i="5"/>
  <c r="J154" i="5" s="1"/>
  <c r="D153" i="5"/>
  <c r="H153" i="5"/>
  <c r="J153" i="5" s="1"/>
  <c r="L153" i="5"/>
  <c r="M153" i="5" s="1"/>
  <c r="D152" i="5"/>
  <c r="F152" i="5" s="1"/>
  <c r="G152" i="5" s="1"/>
  <c r="H152" i="5"/>
  <c r="J152" i="5" s="1"/>
  <c r="L152" i="5"/>
  <c r="M152" i="5" s="1"/>
  <c r="D151" i="5"/>
  <c r="H151" i="5"/>
  <c r="J151" i="5" s="1"/>
  <c r="D150" i="5"/>
  <c r="H150" i="5"/>
  <c r="J150" i="5" s="1"/>
  <c r="D149" i="5"/>
  <c r="H149" i="5"/>
  <c r="J149" i="5" s="1"/>
  <c r="L149" i="5"/>
  <c r="M149" i="5" s="1"/>
  <c r="D148" i="5"/>
  <c r="H148" i="5"/>
  <c r="J148" i="5" s="1"/>
  <c r="L148" i="5"/>
  <c r="M148" i="5" s="1"/>
  <c r="D147" i="5"/>
  <c r="H147" i="5"/>
  <c r="J147" i="5" s="1"/>
  <c r="D146" i="5"/>
  <c r="H146" i="5"/>
  <c r="J146" i="5" s="1"/>
  <c r="D145" i="5"/>
  <c r="H145" i="5"/>
  <c r="J145" i="5" s="1"/>
  <c r="D144" i="5"/>
  <c r="H144" i="5"/>
  <c r="J144" i="5" s="1"/>
  <c r="L144" i="5"/>
  <c r="D143" i="5"/>
  <c r="H143" i="5"/>
  <c r="J143" i="5" s="1"/>
  <c r="D142" i="5"/>
  <c r="F142" i="5" s="1"/>
  <c r="G142" i="5" s="1"/>
  <c r="H142" i="5"/>
  <c r="J142" i="5" s="1"/>
  <c r="L142" i="5"/>
  <c r="M142" i="5" s="1"/>
  <c r="D141" i="5"/>
  <c r="F141" i="5" s="1"/>
  <c r="G141" i="5" s="1"/>
  <c r="H141" i="5"/>
  <c r="J141" i="5" s="1"/>
  <c r="D140" i="5"/>
  <c r="H140" i="5"/>
  <c r="J140" i="5" s="1"/>
  <c r="D139" i="5"/>
  <c r="H139" i="5"/>
  <c r="J139" i="5" s="1"/>
  <c r="L139" i="5"/>
  <c r="M139" i="5" s="1"/>
  <c r="D138" i="5"/>
  <c r="H138" i="5"/>
  <c r="J138" i="5" s="1"/>
  <c r="L138" i="5"/>
  <c r="M138" i="5" s="1"/>
  <c r="D137" i="5"/>
  <c r="F137" i="5" s="1"/>
  <c r="G137" i="5" s="1"/>
  <c r="H137" i="5"/>
  <c r="J137" i="5" s="1"/>
  <c r="D136" i="5"/>
  <c r="H136" i="5"/>
  <c r="J136" i="5" s="1"/>
  <c r="L136" i="5"/>
  <c r="M136" i="5" s="1"/>
  <c r="D135" i="5"/>
  <c r="H135" i="5"/>
  <c r="J135" i="5" s="1"/>
  <c r="L135" i="5"/>
  <c r="M135" i="5" s="1"/>
  <c r="D134" i="5"/>
  <c r="F134" i="5" s="1"/>
  <c r="G134" i="5" s="1"/>
  <c r="H134" i="5"/>
  <c r="J134" i="5" s="1"/>
  <c r="D133" i="5"/>
  <c r="H133" i="5"/>
  <c r="J133" i="5" s="1"/>
  <c r="D132" i="5"/>
  <c r="H132" i="5"/>
  <c r="J132" i="5" s="1"/>
  <c r="L132" i="5"/>
  <c r="D131" i="5"/>
  <c r="H131" i="5"/>
  <c r="J131" i="5" s="1"/>
  <c r="L131" i="5"/>
  <c r="M131" i="5" s="1"/>
  <c r="D130" i="5"/>
  <c r="H130" i="5"/>
  <c r="J130" i="5" s="1"/>
  <c r="D129" i="5"/>
  <c r="H129" i="5"/>
  <c r="J129" i="5" s="1"/>
  <c r="D128" i="5"/>
  <c r="F128" i="5" s="1"/>
  <c r="G128" i="5" s="1"/>
  <c r="H128" i="5"/>
  <c r="J128" i="5" s="1"/>
  <c r="L128" i="5"/>
  <c r="M128" i="5" s="1"/>
  <c r="D127" i="5"/>
  <c r="H127" i="5"/>
  <c r="J127" i="5" s="1"/>
  <c r="L127" i="5"/>
  <c r="M127" i="5" s="1"/>
  <c r="D126" i="5"/>
  <c r="F126" i="5" s="1"/>
  <c r="G126" i="5" s="1"/>
  <c r="H126" i="5"/>
  <c r="J126" i="5" s="1"/>
  <c r="L126" i="5"/>
  <c r="M126" i="5" s="1"/>
  <c r="D125" i="5"/>
  <c r="H125" i="5"/>
  <c r="J125" i="5" s="1"/>
  <c r="D124" i="5"/>
  <c r="H124" i="5"/>
  <c r="J124" i="5" s="1"/>
  <c r="D123" i="5"/>
  <c r="F123" i="5" s="1"/>
  <c r="G123" i="5" s="1"/>
  <c r="H123" i="5"/>
  <c r="J123" i="5" s="1"/>
  <c r="L123" i="5"/>
  <c r="M123" i="5" s="1"/>
  <c r="D122" i="5"/>
  <c r="F122" i="5" s="1"/>
  <c r="G122" i="5" s="1"/>
  <c r="H122" i="5"/>
  <c r="J122" i="5" s="1"/>
  <c r="L122" i="5"/>
  <c r="M122" i="5" s="1"/>
  <c r="D121" i="5"/>
  <c r="H121" i="5"/>
  <c r="J121" i="5" s="1"/>
  <c r="D120" i="5"/>
  <c r="H120" i="5"/>
  <c r="J120" i="5" s="1"/>
  <c r="L120" i="5"/>
  <c r="D119" i="5"/>
  <c r="F119" i="5" s="1"/>
  <c r="G119" i="5" s="1"/>
  <c r="H119" i="5"/>
  <c r="J119" i="5" s="1"/>
  <c r="L119" i="5"/>
  <c r="M119" i="5" s="1"/>
  <c r="D118" i="5"/>
  <c r="H118" i="5"/>
  <c r="J118" i="5" s="1"/>
  <c r="D117" i="5"/>
  <c r="H117" i="5"/>
  <c r="J117" i="5" s="1"/>
  <c r="D116" i="5"/>
  <c r="H116" i="5"/>
  <c r="J116" i="5" s="1"/>
  <c r="L116" i="5"/>
  <c r="M116" i="5" s="1"/>
  <c r="D115" i="5"/>
  <c r="F115" i="5" s="1"/>
  <c r="G115" i="5" s="1"/>
  <c r="H115" i="5"/>
  <c r="J115" i="5" s="1"/>
  <c r="L115" i="5"/>
  <c r="M115" i="5" s="1"/>
  <c r="D114" i="5"/>
  <c r="H114" i="5"/>
  <c r="J114" i="5" s="1"/>
  <c r="D113" i="5"/>
  <c r="H113" i="5"/>
  <c r="J113" i="5" s="1"/>
  <c r="D112" i="5"/>
  <c r="H112" i="5"/>
  <c r="J112" i="5" s="1"/>
  <c r="L112" i="5"/>
  <c r="M112" i="5" s="1"/>
  <c r="D111" i="5"/>
  <c r="H111" i="5"/>
  <c r="J111" i="5" s="1"/>
  <c r="L111" i="5"/>
  <c r="M111" i="5" s="1"/>
  <c r="D110" i="5"/>
  <c r="H110" i="5"/>
  <c r="J110" i="5" s="1"/>
  <c r="L110" i="5"/>
  <c r="D109" i="5"/>
  <c r="H109" i="5"/>
  <c r="J109" i="5" s="1"/>
  <c r="D108" i="5"/>
  <c r="H108" i="5"/>
  <c r="J108" i="5" s="1"/>
  <c r="L108" i="5"/>
  <c r="M108" i="5" s="1"/>
  <c r="D107" i="5"/>
  <c r="H107" i="5"/>
  <c r="J107" i="5" s="1"/>
  <c r="L107" i="5"/>
  <c r="M107" i="5" s="1"/>
  <c r="D106" i="5"/>
  <c r="H106" i="5"/>
  <c r="D105" i="5"/>
  <c r="H105" i="5"/>
  <c r="J105" i="5" s="1"/>
  <c r="D104" i="5"/>
  <c r="H104" i="5"/>
  <c r="J104" i="5" s="1"/>
  <c r="L104" i="5"/>
  <c r="M104" i="5" s="1"/>
  <c r="D103" i="5"/>
  <c r="H103" i="5"/>
  <c r="J103" i="5" s="1"/>
  <c r="D102" i="5"/>
  <c r="H102" i="5"/>
  <c r="J102" i="5" s="1"/>
  <c r="L102" i="5"/>
  <c r="M102" i="5" s="1"/>
  <c r="D101" i="5"/>
  <c r="F101" i="5" s="1"/>
  <c r="G101" i="5" s="1"/>
  <c r="H101" i="5"/>
  <c r="J101" i="5" s="1"/>
  <c r="D100" i="5"/>
  <c r="H100" i="5"/>
  <c r="J100" i="5" s="1"/>
  <c r="L100" i="5"/>
  <c r="M100" i="5" s="1"/>
  <c r="D99" i="5"/>
  <c r="F99" i="5" s="1"/>
  <c r="G99" i="5" s="1"/>
  <c r="H99" i="5"/>
  <c r="J99" i="5" s="1"/>
  <c r="L99" i="5"/>
  <c r="M99" i="5" s="1"/>
  <c r="D98" i="5"/>
  <c r="H98" i="5"/>
  <c r="J98" i="5" s="1"/>
  <c r="D97" i="5"/>
  <c r="H97" i="5"/>
  <c r="J97" i="5" s="1"/>
  <c r="D96" i="5"/>
  <c r="H96" i="5"/>
  <c r="J96" i="5" s="1"/>
  <c r="L96" i="5"/>
  <c r="M96" i="5" s="1"/>
  <c r="D95" i="5"/>
  <c r="F95" i="5" s="1"/>
  <c r="G95" i="5" s="1"/>
  <c r="H95" i="5"/>
  <c r="J95" i="5" s="1"/>
  <c r="L95" i="5"/>
  <c r="M95" i="5" s="1"/>
  <c r="D94" i="5"/>
  <c r="H94" i="5"/>
  <c r="J94" i="5" s="1"/>
  <c r="D93" i="5"/>
  <c r="H93" i="5"/>
  <c r="J93" i="5" s="1"/>
  <c r="D92" i="5"/>
  <c r="H92" i="5"/>
  <c r="J92" i="5" s="1"/>
  <c r="L92" i="5"/>
  <c r="M92" i="5" s="1"/>
  <c r="D91" i="5"/>
  <c r="H91" i="5"/>
  <c r="J91" i="5" s="1"/>
  <c r="L91" i="5"/>
  <c r="M91" i="5" s="1"/>
  <c r="D90" i="5"/>
  <c r="H90" i="5"/>
  <c r="J90" i="5" s="1"/>
  <c r="D89" i="5"/>
  <c r="H89" i="5"/>
  <c r="J89" i="5" s="1"/>
  <c r="D88" i="5"/>
  <c r="H88" i="5"/>
  <c r="J88" i="5" s="1"/>
  <c r="L88" i="5"/>
  <c r="M88" i="5" s="1"/>
  <c r="D87" i="5"/>
  <c r="H87" i="5"/>
  <c r="J87" i="5" s="1"/>
  <c r="L87" i="5"/>
  <c r="M87" i="5" s="1"/>
  <c r="D86" i="5"/>
  <c r="H86" i="5"/>
  <c r="J86" i="5" s="1"/>
  <c r="L86" i="5"/>
  <c r="D85" i="5"/>
  <c r="F85" i="5" s="1"/>
  <c r="G85" i="5" s="1"/>
  <c r="H85" i="5"/>
  <c r="J85" i="5" s="1"/>
  <c r="D84" i="5"/>
  <c r="H84" i="5"/>
  <c r="J84" i="5" s="1"/>
  <c r="L84" i="5"/>
  <c r="M84" i="5" s="1"/>
  <c r="D83" i="5"/>
  <c r="H83" i="5"/>
  <c r="J83" i="5" s="1"/>
  <c r="L83" i="5"/>
  <c r="M83" i="5" s="1"/>
  <c r="D82" i="5"/>
  <c r="H82" i="5"/>
  <c r="D81" i="5"/>
  <c r="H81" i="5"/>
  <c r="J81" i="5" s="1"/>
  <c r="D80" i="5"/>
  <c r="F80" i="5" s="1"/>
  <c r="G80" i="5" s="1"/>
  <c r="H80" i="5"/>
  <c r="J80" i="5" s="1"/>
  <c r="L80" i="5"/>
  <c r="M80" i="5" s="1"/>
  <c r="D79" i="5"/>
  <c r="H79" i="5"/>
  <c r="J79" i="5" s="1"/>
  <c r="L79" i="5"/>
  <c r="M79" i="5" s="1"/>
  <c r="D78" i="5"/>
  <c r="H78" i="5"/>
  <c r="J78" i="5" s="1"/>
  <c r="L78" i="5"/>
  <c r="M78" i="5" s="1"/>
  <c r="D77" i="5"/>
  <c r="H77" i="5"/>
  <c r="J77" i="5" s="1"/>
  <c r="D76" i="5"/>
  <c r="H76" i="5"/>
  <c r="J76" i="5" s="1"/>
  <c r="L76" i="5"/>
  <c r="M76" i="5" s="1"/>
  <c r="D75" i="5"/>
  <c r="H75" i="5"/>
  <c r="J75" i="5" s="1"/>
  <c r="L75" i="5"/>
  <c r="M75" i="5" s="1"/>
  <c r="D74" i="5"/>
  <c r="H74" i="5"/>
  <c r="J74" i="5" s="1"/>
  <c r="D73" i="5"/>
  <c r="H73" i="5"/>
  <c r="J73" i="5" s="1"/>
  <c r="D72" i="5"/>
  <c r="F72" i="5" s="1"/>
  <c r="G72" i="5" s="1"/>
  <c r="H72" i="5"/>
  <c r="J72" i="5" s="1"/>
  <c r="L72" i="5"/>
  <c r="M72" i="5" s="1"/>
  <c r="D71" i="5"/>
  <c r="F71" i="5" s="1"/>
  <c r="G71" i="5" s="1"/>
  <c r="H71" i="5"/>
  <c r="J71" i="5" s="1"/>
  <c r="L71" i="5"/>
  <c r="M71" i="5" s="1"/>
  <c r="D70" i="5"/>
  <c r="H70" i="5"/>
  <c r="J70" i="5" s="1"/>
  <c r="L70" i="5"/>
  <c r="D69" i="5"/>
  <c r="F69" i="5" s="1"/>
  <c r="G69" i="5" s="1"/>
  <c r="H69" i="5"/>
  <c r="J69" i="5" s="1"/>
  <c r="D68" i="5"/>
  <c r="H68" i="5"/>
  <c r="J68" i="5" s="1"/>
  <c r="D67" i="5"/>
  <c r="H67" i="5"/>
  <c r="J67" i="5" s="1"/>
  <c r="L67" i="5"/>
  <c r="M67" i="5" s="1"/>
  <c r="D66" i="5"/>
  <c r="H66" i="5"/>
  <c r="J66" i="5" s="1"/>
  <c r="D65" i="5"/>
  <c r="F65" i="5" s="1"/>
  <c r="G65" i="5" s="1"/>
  <c r="H65" i="5"/>
  <c r="J65" i="5" s="1"/>
  <c r="D64" i="5"/>
  <c r="H64" i="5"/>
  <c r="J64" i="5" s="1"/>
  <c r="D63" i="5"/>
  <c r="H63" i="5"/>
  <c r="J63" i="5" s="1"/>
  <c r="L63" i="5"/>
  <c r="M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P49" i="5"/>
  <c r="P48" i="5"/>
  <c r="P46" i="5"/>
  <c r="P44" i="5"/>
  <c r="P40" i="5"/>
  <c r="P38" i="5"/>
  <c r="P36" i="5"/>
  <c r="P34" i="5"/>
  <c r="P32" i="5"/>
  <c r="P30" i="5"/>
  <c r="P28" i="5"/>
  <c r="P26" i="5"/>
  <c r="P22" i="5"/>
  <c r="P20" i="5"/>
  <c r="P18" i="5"/>
  <c r="P16" i="5"/>
  <c r="P14" i="5"/>
  <c r="P12" i="5"/>
  <c r="P10" i="5"/>
  <c r="P8" i="5"/>
  <c r="O188" i="7"/>
  <c r="G188" i="7"/>
  <c r="C182" i="7"/>
  <c r="G182" i="7"/>
  <c r="K182" i="7"/>
  <c r="O182" i="7"/>
  <c r="D182" i="7"/>
  <c r="H182" i="7"/>
  <c r="L182" i="7"/>
  <c r="B182" i="7"/>
  <c r="F182" i="7"/>
  <c r="J182" i="7"/>
  <c r="N182" i="7"/>
  <c r="C174" i="7"/>
  <c r="G174" i="7"/>
  <c r="K174" i="7"/>
  <c r="O174" i="7"/>
  <c r="D174" i="7"/>
  <c r="H174" i="7"/>
  <c r="L174" i="7"/>
  <c r="K174" i="12" s="1"/>
  <c r="B174" i="7"/>
  <c r="F174" i="7"/>
  <c r="J174" i="7"/>
  <c r="N174" i="7"/>
  <c r="C166" i="7"/>
  <c r="G166" i="7"/>
  <c r="K166" i="7"/>
  <c r="J166" i="12" s="1"/>
  <c r="O166" i="7"/>
  <c r="D166" i="7"/>
  <c r="H166" i="7"/>
  <c r="L166" i="7"/>
  <c r="K166" i="12" s="1"/>
  <c r="B166" i="7"/>
  <c r="F166" i="7"/>
  <c r="J166" i="7"/>
  <c r="N166" i="7"/>
  <c r="F159" i="7"/>
  <c r="B149" i="7"/>
  <c r="F149" i="7"/>
  <c r="J149" i="7"/>
  <c r="N149" i="7"/>
  <c r="D149" i="7"/>
  <c r="I149" i="7"/>
  <c r="I149" i="12" s="1"/>
  <c r="O149" i="7"/>
  <c r="E149" i="7"/>
  <c r="K149" i="7"/>
  <c r="J149" i="12" s="1"/>
  <c r="C149" i="7"/>
  <c r="H149" i="7"/>
  <c r="H149" i="12" s="1"/>
  <c r="M149" i="7"/>
  <c r="L184" i="7"/>
  <c r="H184" i="7"/>
  <c r="D184" i="7"/>
  <c r="L180" i="7"/>
  <c r="H180" i="7"/>
  <c r="D180" i="7"/>
  <c r="L176" i="7"/>
  <c r="H176" i="7"/>
  <c r="D176" i="7"/>
  <c r="L172" i="7"/>
  <c r="H172" i="7"/>
  <c r="D172" i="7"/>
  <c r="L168" i="7"/>
  <c r="K168" i="12" s="1"/>
  <c r="H168" i="7"/>
  <c r="D168" i="7"/>
  <c r="L164" i="7"/>
  <c r="H164" i="7"/>
  <c r="D164" i="7"/>
  <c r="L160" i="7"/>
  <c r="K160" i="12" s="1"/>
  <c r="H160" i="7"/>
  <c r="D160" i="7"/>
  <c r="C158" i="7"/>
  <c r="G158" i="7"/>
  <c r="K158" i="7"/>
  <c r="O158" i="7"/>
  <c r="K157" i="7"/>
  <c r="J157" i="12" s="1"/>
  <c r="E157" i="7"/>
  <c r="B153" i="7"/>
  <c r="F153" i="7"/>
  <c r="J153" i="7"/>
  <c r="N153" i="7"/>
  <c r="O151" i="7"/>
  <c r="J151" i="7"/>
  <c r="E151" i="7"/>
  <c r="L147" i="7"/>
  <c r="J146" i="7"/>
  <c r="E146" i="7"/>
  <c r="C142" i="7"/>
  <c r="G142" i="7"/>
  <c r="K142" i="7"/>
  <c r="O142" i="7"/>
  <c r="K141" i="7"/>
  <c r="E141" i="7"/>
  <c r="B137" i="7"/>
  <c r="F137" i="7"/>
  <c r="J137" i="7"/>
  <c r="N137" i="7"/>
  <c r="O135" i="7"/>
  <c r="J135" i="7"/>
  <c r="E135" i="7"/>
  <c r="M133" i="7"/>
  <c r="H133" i="7"/>
  <c r="D131" i="7"/>
  <c r="H131" i="7"/>
  <c r="L131" i="7"/>
  <c r="J130" i="7"/>
  <c r="E130" i="7"/>
  <c r="M127" i="7"/>
  <c r="G127" i="7"/>
  <c r="C126" i="7"/>
  <c r="G126" i="7"/>
  <c r="K126" i="7"/>
  <c r="O126" i="7"/>
  <c r="K125" i="7"/>
  <c r="E125" i="7"/>
  <c r="M122" i="7"/>
  <c r="H122" i="7"/>
  <c r="B121" i="7"/>
  <c r="F121" i="7"/>
  <c r="J121" i="7"/>
  <c r="N121" i="7"/>
  <c r="O119" i="7"/>
  <c r="J119" i="7"/>
  <c r="E119" i="7"/>
  <c r="M117" i="7"/>
  <c r="H117" i="7"/>
  <c r="D115" i="7"/>
  <c r="H115" i="7"/>
  <c r="L115" i="7"/>
  <c r="J114" i="7"/>
  <c r="E114" i="7"/>
  <c r="M111" i="7"/>
  <c r="G111" i="7"/>
  <c r="K109" i="7"/>
  <c r="E109" i="7"/>
  <c r="M106" i="7"/>
  <c r="H106" i="7"/>
  <c r="B105" i="7"/>
  <c r="F105" i="7"/>
  <c r="J105" i="7"/>
  <c r="N105" i="7"/>
  <c r="O103" i="7"/>
  <c r="J103" i="7"/>
  <c r="E103" i="7"/>
  <c r="M101" i="7"/>
  <c r="H101" i="7"/>
  <c r="H101" i="12" s="1"/>
  <c r="D99" i="7"/>
  <c r="H99" i="7"/>
  <c r="H99" i="12" s="1"/>
  <c r="L99" i="7"/>
  <c r="K99" i="12" s="1"/>
  <c r="J98" i="7"/>
  <c r="E98" i="7"/>
  <c r="M95" i="7"/>
  <c r="G95" i="7"/>
  <c r="C94" i="7"/>
  <c r="G94" i="7"/>
  <c r="K94" i="7"/>
  <c r="O94" i="7"/>
  <c r="K93" i="7"/>
  <c r="J93" i="12" s="1"/>
  <c r="E93" i="7"/>
  <c r="M90" i="7"/>
  <c r="H90" i="7"/>
  <c r="B89" i="7"/>
  <c r="F89" i="7"/>
  <c r="J89" i="7"/>
  <c r="N89" i="7"/>
  <c r="O87" i="7"/>
  <c r="J87" i="7"/>
  <c r="E87" i="7"/>
  <c r="M85" i="7"/>
  <c r="H85" i="7"/>
  <c r="H85" i="12" s="1"/>
  <c r="D83" i="7"/>
  <c r="H83" i="7"/>
  <c r="H83" i="12" s="1"/>
  <c r="L83" i="7"/>
  <c r="K83" i="12" s="1"/>
  <c r="J82" i="7"/>
  <c r="E82" i="7"/>
  <c r="M79" i="7"/>
  <c r="G79" i="7"/>
  <c r="C78" i="7"/>
  <c r="G78" i="7"/>
  <c r="K78" i="7"/>
  <c r="J78" i="12" s="1"/>
  <c r="O78" i="7"/>
  <c r="K77" i="7"/>
  <c r="E77" i="7"/>
  <c r="M74" i="7"/>
  <c r="H74" i="7"/>
  <c r="H74" i="12" s="1"/>
  <c r="B73" i="7"/>
  <c r="F73" i="7"/>
  <c r="J73" i="7"/>
  <c r="N73" i="7"/>
  <c r="O71" i="7"/>
  <c r="J71" i="7"/>
  <c r="E71" i="7"/>
  <c r="M69" i="7"/>
  <c r="H69" i="7"/>
  <c r="D67" i="7"/>
  <c r="H67" i="7"/>
  <c r="L67" i="7"/>
  <c r="M63" i="7"/>
  <c r="G63" i="7"/>
  <c r="C62" i="7"/>
  <c r="G62" i="7"/>
  <c r="K62" i="7"/>
  <c r="O62" i="7"/>
  <c r="K61" i="7"/>
  <c r="J61" i="12" s="1"/>
  <c r="E61" i="7"/>
  <c r="M58" i="7"/>
  <c r="H58" i="7"/>
  <c r="B57" i="7"/>
  <c r="F57" i="7"/>
  <c r="J57" i="7"/>
  <c r="N57" i="7"/>
  <c r="O55" i="7"/>
  <c r="J55" i="7"/>
  <c r="E55" i="7"/>
  <c r="M53" i="7"/>
  <c r="H53" i="7"/>
  <c r="D51" i="7"/>
  <c r="H51" i="7"/>
  <c r="L51" i="7"/>
  <c r="J50" i="7"/>
  <c r="E50" i="7"/>
  <c r="M47" i="7"/>
  <c r="G47" i="7"/>
  <c r="C46" i="7"/>
  <c r="G46" i="7"/>
  <c r="K46" i="7"/>
  <c r="O46" i="7"/>
  <c r="K45" i="7"/>
  <c r="E45" i="7"/>
  <c r="M42" i="7"/>
  <c r="H42" i="7"/>
  <c r="B41" i="7"/>
  <c r="F41" i="7"/>
  <c r="J41" i="7"/>
  <c r="N41" i="7"/>
  <c r="O39" i="7"/>
  <c r="J39" i="7"/>
  <c r="E39" i="7"/>
  <c r="M37" i="7"/>
  <c r="H37" i="7"/>
  <c r="D35" i="7"/>
  <c r="H35" i="7"/>
  <c r="L35" i="7"/>
  <c r="J34" i="7"/>
  <c r="E34" i="7"/>
  <c r="M31" i="7"/>
  <c r="G31" i="7"/>
  <c r="C30" i="7"/>
  <c r="G30" i="7"/>
  <c r="K30" i="7"/>
  <c r="O30" i="7"/>
  <c r="K29" i="7"/>
  <c r="E29" i="7"/>
  <c r="M26" i="7"/>
  <c r="H26" i="7"/>
  <c r="B25" i="7"/>
  <c r="F25" i="7"/>
  <c r="J25" i="7"/>
  <c r="N25" i="7"/>
  <c r="O23" i="7"/>
  <c r="G23" i="7"/>
  <c r="K19" i="7"/>
  <c r="B17" i="7"/>
  <c r="F17" i="7"/>
  <c r="J17" i="7"/>
  <c r="N17" i="7"/>
  <c r="D17" i="7"/>
  <c r="H17" i="7"/>
  <c r="L17" i="7"/>
  <c r="O15" i="7"/>
  <c r="G15" i="7"/>
  <c r="M182" i="6"/>
  <c r="M174" i="6"/>
  <c r="M166" i="6"/>
  <c r="M158" i="6"/>
  <c r="M150" i="6"/>
  <c r="C145" i="6"/>
  <c r="L145" i="5" s="1"/>
  <c r="M145" i="5" s="1"/>
  <c r="G145" i="6"/>
  <c r="K145" i="6"/>
  <c r="R145" i="12" s="1"/>
  <c r="B145" i="6"/>
  <c r="H145" i="6"/>
  <c r="P145" i="12" s="1"/>
  <c r="M145" i="6"/>
  <c r="D145" i="6"/>
  <c r="I145" i="6"/>
  <c r="Q145" i="12" s="1"/>
  <c r="N145" i="6"/>
  <c r="E145" i="6"/>
  <c r="J145" i="6"/>
  <c r="O145" i="6"/>
  <c r="D118" i="6"/>
  <c r="H118" i="6"/>
  <c r="L118" i="6"/>
  <c r="O118" i="12" s="1"/>
  <c r="B118" i="6"/>
  <c r="G118" i="6"/>
  <c r="M118" i="6"/>
  <c r="C118" i="6"/>
  <c r="L118" i="5" s="1"/>
  <c r="M118" i="5" s="1"/>
  <c r="I118" i="6"/>
  <c r="Q118" i="12" s="1"/>
  <c r="N118" i="6"/>
  <c r="E118" i="6"/>
  <c r="J118" i="6"/>
  <c r="O118" i="6"/>
  <c r="C113" i="6"/>
  <c r="L113" i="5" s="1"/>
  <c r="M113" i="5" s="1"/>
  <c r="G113" i="6"/>
  <c r="K113" i="6"/>
  <c r="R113" i="12" s="1"/>
  <c r="O113" i="6"/>
  <c r="B113" i="6"/>
  <c r="H113" i="6"/>
  <c r="P113" i="12" s="1"/>
  <c r="M113" i="6"/>
  <c r="D113" i="6"/>
  <c r="I113" i="6"/>
  <c r="Q113" i="12" s="1"/>
  <c r="N113" i="6"/>
  <c r="E113" i="6"/>
  <c r="J113" i="6"/>
  <c r="B133" i="7"/>
  <c r="F133" i="7"/>
  <c r="J133" i="7"/>
  <c r="N133" i="7"/>
  <c r="D127" i="7"/>
  <c r="H127" i="7"/>
  <c r="L127" i="7"/>
  <c r="C122" i="7"/>
  <c r="G122" i="7"/>
  <c r="K122" i="7"/>
  <c r="O122" i="7"/>
  <c r="B117" i="7"/>
  <c r="F117" i="7"/>
  <c r="J117" i="7"/>
  <c r="N117" i="7"/>
  <c r="I61" i="12"/>
  <c r="I70" i="12"/>
  <c r="K64" i="12"/>
  <c r="K70" i="12"/>
  <c r="K68" i="12"/>
  <c r="J72" i="12"/>
  <c r="H78" i="12"/>
  <c r="H80" i="12"/>
  <c r="J81" i="12"/>
  <c r="I82" i="12"/>
  <c r="J83" i="12"/>
  <c r="I86" i="12"/>
  <c r="J87" i="12"/>
  <c r="H89" i="12"/>
  <c r="J91" i="12"/>
  <c r="J95" i="12"/>
  <c r="H97" i="12"/>
  <c r="I98" i="12"/>
  <c r="H70" i="12"/>
  <c r="I80" i="12"/>
  <c r="K81" i="12"/>
  <c r="I93" i="12"/>
  <c r="I97" i="12"/>
  <c r="I60" i="12"/>
  <c r="J63" i="12"/>
  <c r="H72" i="12"/>
  <c r="J73" i="12"/>
  <c r="I76" i="12"/>
  <c r="K77" i="12"/>
  <c r="K78" i="12"/>
  <c r="J80" i="12"/>
  <c r="K82" i="12"/>
  <c r="I84" i="12"/>
  <c r="K86" i="12"/>
  <c r="I88" i="12"/>
  <c r="J89" i="12"/>
  <c r="K90" i="12"/>
  <c r="I92" i="12"/>
  <c r="K60" i="12"/>
  <c r="K61" i="12"/>
  <c r="J64" i="12"/>
  <c r="I71" i="12"/>
  <c r="I72" i="12"/>
  <c r="K73" i="12"/>
  <c r="K74" i="12"/>
  <c r="I87" i="12"/>
  <c r="I91" i="12"/>
  <c r="I103" i="12"/>
  <c r="I107" i="12"/>
  <c r="K94" i="12"/>
  <c r="K102" i="12"/>
  <c r="K106" i="12"/>
  <c r="J137" i="12"/>
  <c r="H143" i="12"/>
  <c r="I144" i="12"/>
  <c r="I148" i="12"/>
  <c r="I152" i="12"/>
  <c r="J153" i="12"/>
  <c r="I156" i="12"/>
  <c r="H159" i="12"/>
  <c r="I160" i="12"/>
  <c r="H163" i="12"/>
  <c r="J103" i="12"/>
  <c r="H105" i="12"/>
  <c r="J107" i="12"/>
  <c r="J111" i="12"/>
  <c r="I143" i="12"/>
  <c r="K145" i="12"/>
  <c r="K149" i="12"/>
  <c r="I151" i="12"/>
  <c r="K153" i="12"/>
  <c r="I155" i="12"/>
  <c r="K157" i="12"/>
  <c r="I159" i="12"/>
  <c r="K161" i="12"/>
  <c r="I163" i="12"/>
  <c r="K165" i="12"/>
  <c r="I167" i="12"/>
  <c r="K169" i="12"/>
  <c r="I171" i="12"/>
  <c r="K173" i="12"/>
  <c r="I175" i="12"/>
  <c r="K177" i="12"/>
  <c r="I179" i="12"/>
  <c r="I183" i="12"/>
  <c r="K98" i="12"/>
  <c r="I100" i="12"/>
  <c r="J105" i="12"/>
  <c r="I108" i="12"/>
  <c r="H137" i="12"/>
  <c r="K144" i="12"/>
  <c r="H145" i="12"/>
  <c r="K148" i="12"/>
  <c r="I150" i="12"/>
  <c r="J151" i="12"/>
  <c r="K152" i="12"/>
  <c r="I96" i="12"/>
  <c r="I145" i="12"/>
  <c r="I157" i="12"/>
  <c r="I165" i="12"/>
  <c r="I169" i="12"/>
  <c r="I173" i="12"/>
  <c r="I177" i="12"/>
  <c r="I181" i="12"/>
  <c r="J155" i="12"/>
  <c r="I162" i="12"/>
  <c r="J163" i="12"/>
  <c r="I168" i="12"/>
  <c r="I172" i="12"/>
  <c r="H165" i="12"/>
  <c r="H169" i="12"/>
  <c r="H173" i="12"/>
  <c r="I174" i="12"/>
  <c r="H177" i="12"/>
  <c r="I178" i="12"/>
  <c r="H181" i="12"/>
  <c r="I182" i="12"/>
  <c r="H167" i="12"/>
  <c r="H171" i="12"/>
  <c r="H175" i="12"/>
  <c r="H179" i="12"/>
  <c r="I180" i="12"/>
  <c r="K182" i="12"/>
  <c r="H183" i="12"/>
  <c r="K156" i="12"/>
  <c r="H161" i="12"/>
  <c r="I166" i="12"/>
  <c r="J167" i="12"/>
  <c r="I170" i="12"/>
  <c r="J171" i="12"/>
  <c r="J175" i="12"/>
  <c r="J179" i="12"/>
  <c r="J183" i="12"/>
  <c r="D111" i="7"/>
  <c r="H111" i="7"/>
  <c r="H111" i="12" s="1"/>
  <c r="L111" i="7"/>
  <c r="K111" i="12" s="1"/>
  <c r="C106" i="7"/>
  <c r="G106" i="7"/>
  <c r="K106" i="7"/>
  <c r="O106" i="7"/>
  <c r="B101" i="7"/>
  <c r="F101" i="7"/>
  <c r="J101" i="7"/>
  <c r="N101" i="7"/>
  <c r="D95" i="7"/>
  <c r="H95" i="7"/>
  <c r="H95" i="12" s="1"/>
  <c r="L95" i="7"/>
  <c r="K95" i="12" s="1"/>
  <c r="C90" i="7"/>
  <c r="G90" i="7"/>
  <c r="K90" i="7"/>
  <c r="J90" i="12" s="1"/>
  <c r="O90" i="7"/>
  <c r="B85" i="7"/>
  <c r="F85" i="7"/>
  <c r="J85" i="7"/>
  <c r="N85" i="7"/>
  <c r="D79" i="7"/>
  <c r="H79" i="7"/>
  <c r="H79" i="12" s="1"/>
  <c r="L79" i="7"/>
  <c r="K79" i="12" s="1"/>
  <c r="C74" i="7"/>
  <c r="G74" i="7"/>
  <c r="K74" i="7"/>
  <c r="J74" i="12" s="1"/>
  <c r="O74" i="7"/>
  <c r="B69" i="7"/>
  <c r="F69" i="7"/>
  <c r="J69" i="7"/>
  <c r="N69" i="7"/>
  <c r="D63" i="7"/>
  <c r="H63" i="7"/>
  <c r="H63" i="12" s="1"/>
  <c r="L63" i="7"/>
  <c r="C58" i="7"/>
  <c r="G58" i="7"/>
  <c r="K58" i="7"/>
  <c r="O58" i="7"/>
  <c r="B53" i="7"/>
  <c r="F53" i="7"/>
  <c r="J53" i="7"/>
  <c r="N53" i="7"/>
  <c r="D47" i="7"/>
  <c r="H47" i="7"/>
  <c r="L47" i="7"/>
  <c r="C42" i="7"/>
  <c r="G42" i="7"/>
  <c r="K42" i="7"/>
  <c r="O42" i="7"/>
  <c r="N39" i="7"/>
  <c r="I39" i="7"/>
  <c r="C39" i="7"/>
  <c r="B37" i="7"/>
  <c r="F37" i="7"/>
  <c r="J37" i="7"/>
  <c r="N37" i="7"/>
  <c r="N34" i="7"/>
  <c r="I34" i="7"/>
  <c r="D34" i="7"/>
  <c r="D31" i="7"/>
  <c r="H31" i="7"/>
  <c r="L31" i="7"/>
  <c r="O29" i="7"/>
  <c r="I29" i="7"/>
  <c r="D29" i="7"/>
  <c r="C26" i="7"/>
  <c r="G26" i="7"/>
  <c r="K26" i="7"/>
  <c r="O26" i="7"/>
  <c r="M23" i="7"/>
  <c r="E23" i="7"/>
  <c r="D19" i="7"/>
  <c r="H19" i="7"/>
  <c r="L19" i="7"/>
  <c r="B19" i="7"/>
  <c r="F19" i="7"/>
  <c r="J19" i="7"/>
  <c r="N19" i="7"/>
  <c r="M15" i="7"/>
  <c r="E15" i="7"/>
  <c r="B186" i="6"/>
  <c r="F186" i="6"/>
  <c r="J186" i="6"/>
  <c r="N186" i="6"/>
  <c r="C186" i="6"/>
  <c r="G186" i="6"/>
  <c r="K186" i="6"/>
  <c r="N186" i="12" s="1"/>
  <c r="O186" i="6"/>
  <c r="D186" i="6"/>
  <c r="H186" i="6"/>
  <c r="L186" i="6"/>
  <c r="O186" i="12" s="1"/>
  <c r="I182" i="6"/>
  <c r="M182" i="12" s="1"/>
  <c r="B178" i="6"/>
  <c r="F178" i="6"/>
  <c r="J178" i="6"/>
  <c r="N178" i="6"/>
  <c r="C178" i="6"/>
  <c r="G178" i="6"/>
  <c r="K178" i="6"/>
  <c r="O178" i="6"/>
  <c r="D178" i="6"/>
  <c r="H178" i="6"/>
  <c r="L178" i="6"/>
  <c r="O178" i="12" s="1"/>
  <c r="I174" i="6"/>
  <c r="Q170" i="12"/>
  <c r="B170" i="6"/>
  <c r="F170" i="6"/>
  <c r="J170" i="6"/>
  <c r="N170" i="6"/>
  <c r="C170" i="6"/>
  <c r="G170" i="6"/>
  <c r="K170" i="6"/>
  <c r="S170" i="12" s="1"/>
  <c r="O170" i="6"/>
  <c r="D170" i="6"/>
  <c r="H170" i="6"/>
  <c r="P170" i="12" s="1"/>
  <c r="L170" i="6"/>
  <c r="O170" i="12" s="1"/>
  <c r="I166" i="6"/>
  <c r="Q162" i="12"/>
  <c r="B162" i="6"/>
  <c r="F162" i="6"/>
  <c r="J162" i="6"/>
  <c r="N162" i="6"/>
  <c r="C162" i="6"/>
  <c r="L162" i="5" s="1"/>
  <c r="M162" i="5" s="1"/>
  <c r="G162" i="6"/>
  <c r="K162" i="6"/>
  <c r="O162" i="6"/>
  <c r="D162" i="6"/>
  <c r="H162" i="6"/>
  <c r="L162" i="6"/>
  <c r="I158" i="6"/>
  <c r="Q158" i="12" s="1"/>
  <c r="Q154" i="12"/>
  <c r="B154" i="6"/>
  <c r="F154" i="6"/>
  <c r="J154" i="6"/>
  <c r="N154" i="6"/>
  <c r="C154" i="6"/>
  <c r="L154" i="5" s="1"/>
  <c r="M154" i="5" s="1"/>
  <c r="G154" i="6"/>
  <c r="K154" i="6"/>
  <c r="O154" i="6"/>
  <c r="D154" i="6"/>
  <c r="H154" i="6"/>
  <c r="L154" i="6"/>
  <c r="I150" i="6"/>
  <c r="Q146" i="12"/>
  <c r="B146" i="6"/>
  <c r="F146" i="6"/>
  <c r="J146" i="6"/>
  <c r="N146" i="6"/>
  <c r="C146" i="6"/>
  <c r="L146" i="5" s="1"/>
  <c r="M146" i="5" s="1"/>
  <c r="G146" i="6"/>
  <c r="K146" i="6"/>
  <c r="O146" i="6"/>
  <c r="D146" i="6"/>
  <c r="H146" i="6"/>
  <c r="L146" i="6"/>
  <c r="L140" i="6"/>
  <c r="B124" i="6"/>
  <c r="F124" i="6"/>
  <c r="J124" i="6"/>
  <c r="N124" i="6"/>
  <c r="C124" i="6"/>
  <c r="L124" i="5" s="1"/>
  <c r="M124" i="5" s="1"/>
  <c r="H124" i="6"/>
  <c r="L124" i="12" s="1"/>
  <c r="M124" i="6"/>
  <c r="A124" i="7"/>
  <c r="D124" i="6"/>
  <c r="I124" i="6"/>
  <c r="Q124" i="12" s="1"/>
  <c r="O124" i="6"/>
  <c r="E124" i="6"/>
  <c r="K124" i="6"/>
  <c r="H49" i="5"/>
  <c r="J49" i="5" s="1"/>
  <c r="H48" i="5"/>
  <c r="J48" i="5" s="1"/>
  <c r="H47" i="5"/>
  <c r="J47" i="5" s="1"/>
  <c r="L46" i="5"/>
  <c r="M46" i="5" s="1"/>
  <c r="H46" i="5"/>
  <c r="J46" i="5" s="1"/>
  <c r="H45" i="5"/>
  <c r="J45" i="5" s="1"/>
  <c r="L44" i="5"/>
  <c r="M44" i="5" s="1"/>
  <c r="H44" i="5"/>
  <c r="J44" i="5" s="1"/>
  <c r="L43" i="5"/>
  <c r="M43" i="5" s="1"/>
  <c r="H43" i="5"/>
  <c r="J43" i="5" s="1"/>
  <c r="L42" i="5"/>
  <c r="M42" i="5" s="1"/>
  <c r="H42" i="5"/>
  <c r="J42" i="5" s="1"/>
  <c r="H41" i="5"/>
  <c r="J41" i="5" s="1"/>
  <c r="H40" i="5"/>
  <c r="J40" i="5" s="1"/>
  <c r="L39" i="5"/>
  <c r="M39" i="5" s="1"/>
  <c r="H39" i="5"/>
  <c r="J39" i="5" s="1"/>
  <c r="H38" i="5"/>
  <c r="J38" i="5" s="1"/>
  <c r="H37" i="5"/>
  <c r="H36" i="5"/>
  <c r="J36" i="5" s="1"/>
  <c r="L35" i="5"/>
  <c r="H35" i="5"/>
  <c r="J35" i="5" s="1"/>
  <c r="L34" i="5"/>
  <c r="M34" i="5" s="1"/>
  <c r="H34" i="5"/>
  <c r="J34" i="5" s="1"/>
  <c r="H33" i="5"/>
  <c r="J33" i="5" s="1"/>
  <c r="H32" i="5"/>
  <c r="J32" i="5" s="1"/>
  <c r="L31" i="5"/>
  <c r="M31" i="5" s="1"/>
  <c r="H31" i="5"/>
  <c r="J31" i="5" s="1"/>
  <c r="L30" i="5"/>
  <c r="M30" i="5" s="1"/>
  <c r="H30" i="5"/>
  <c r="J30" i="5" s="1"/>
  <c r="L29" i="5"/>
  <c r="M29" i="5" s="1"/>
  <c r="H29" i="5"/>
  <c r="J29" i="5" s="1"/>
  <c r="H28" i="5"/>
  <c r="J28" i="5" s="1"/>
  <c r="L27" i="5"/>
  <c r="M27" i="5" s="1"/>
  <c r="H27" i="5"/>
  <c r="J27" i="5" s="1"/>
  <c r="H26" i="5"/>
  <c r="J26" i="5" s="1"/>
  <c r="L25" i="5"/>
  <c r="M25" i="5" s="1"/>
  <c r="H25" i="5"/>
  <c r="J25" i="5" s="1"/>
  <c r="L24" i="5"/>
  <c r="M24" i="5" s="1"/>
  <c r="H24" i="5"/>
  <c r="J24" i="5" s="1"/>
  <c r="H23" i="5"/>
  <c r="L22" i="5"/>
  <c r="M22" i="5" s="1"/>
  <c r="H22" i="5"/>
  <c r="J22" i="5" s="1"/>
  <c r="L21" i="5"/>
  <c r="M21" i="5" s="1"/>
  <c r="H21" i="5"/>
  <c r="J21" i="5" s="1"/>
  <c r="L20" i="5"/>
  <c r="M20" i="5" s="1"/>
  <c r="H20" i="5"/>
  <c r="J20" i="5" s="1"/>
  <c r="H19" i="5"/>
  <c r="H18" i="5"/>
  <c r="J18" i="5" s="1"/>
  <c r="L17" i="5"/>
  <c r="H17" i="5"/>
  <c r="J17" i="5" s="1"/>
  <c r="L16" i="5"/>
  <c r="M16" i="5" s="1"/>
  <c r="H16" i="5"/>
  <c r="J16" i="5" s="1"/>
  <c r="H15" i="5"/>
  <c r="J15" i="5" s="1"/>
  <c r="L14" i="5"/>
  <c r="M14" i="5" s="1"/>
  <c r="H14" i="5"/>
  <c r="J14" i="5" s="1"/>
  <c r="L13" i="5"/>
  <c r="M13" i="5" s="1"/>
  <c r="H13" i="5"/>
  <c r="J13" i="5" s="1"/>
  <c r="L12" i="5"/>
  <c r="M12" i="5" s="1"/>
  <c r="H12" i="5"/>
  <c r="J12" i="5" s="1"/>
  <c r="H11" i="5"/>
  <c r="J11" i="5" s="1"/>
  <c r="H10" i="5"/>
  <c r="J10" i="5" s="1"/>
  <c r="L9" i="5"/>
  <c r="M9" i="5" s="1"/>
  <c r="H9" i="5"/>
  <c r="J9" i="5" s="1"/>
  <c r="L8" i="5"/>
  <c r="M8" i="5" s="1"/>
  <c r="H8" i="5"/>
  <c r="J8" i="5" s="1"/>
  <c r="H7" i="5"/>
  <c r="J7" i="5" s="1"/>
  <c r="O189" i="7"/>
  <c r="K189" i="7"/>
  <c r="G189" i="7"/>
  <c r="O185" i="7"/>
  <c r="K185" i="7"/>
  <c r="G185" i="7"/>
  <c r="N184" i="7"/>
  <c r="J184" i="7"/>
  <c r="F184" i="7"/>
  <c r="O181" i="7"/>
  <c r="K181" i="7"/>
  <c r="J181" i="12" s="1"/>
  <c r="G181" i="7"/>
  <c r="N180" i="7"/>
  <c r="J180" i="7"/>
  <c r="F180" i="7"/>
  <c r="O177" i="7"/>
  <c r="K177" i="7"/>
  <c r="J177" i="12" s="1"/>
  <c r="G177" i="7"/>
  <c r="N176" i="7"/>
  <c r="J176" i="7"/>
  <c r="F176" i="7"/>
  <c r="O173" i="7"/>
  <c r="K173" i="7"/>
  <c r="J173" i="12" s="1"/>
  <c r="G173" i="7"/>
  <c r="N172" i="7"/>
  <c r="J172" i="7"/>
  <c r="F172" i="7"/>
  <c r="O169" i="7"/>
  <c r="K169" i="7"/>
  <c r="J169" i="12" s="1"/>
  <c r="G169" i="7"/>
  <c r="N168" i="7"/>
  <c r="J168" i="7"/>
  <c r="F168" i="7"/>
  <c r="O165" i="7"/>
  <c r="K165" i="7"/>
  <c r="J165" i="12" s="1"/>
  <c r="G165" i="7"/>
  <c r="N164" i="7"/>
  <c r="J164" i="7"/>
  <c r="F164" i="7"/>
  <c r="O161" i="7"/>
  <c r="K161" i="7"/>
  <c r="J161" i="12" s="1"/>
  <c r="G161" i="7"/>
  <c r="N160" i="7"/>
  <c r="J160" i="7"/>
  <c r="F160" i="7"/>
  <c r="N158" i="7"/>
  <c r="I158" i="7"/>
  <c r="D158" i="7"/>
  <c r="M157" i="7"/>
  <c r="H157" i="7"/>
  <c r="H157" i="12" s="1"/>
  <c r="D155" i="7"/>
  <c r="H155" i="7"/>
  <c r="H155" i="12" s="1"/>
  <c r="L155" i="7"/>
  <c r="K155" i="12" s="1"/>
  <c r="O153" i="7"/>
  <c r="I153" i="7"/>
  <c r="I153" i="12" s="1"/>
  <c r="D153" i="7"/>
  <c r="M151" i="7"/>
  <c r="G151" i="7"/>
  <c r="C150" i="7"/>
  <c r="G150" i="7"/>
  <c r="K150" i="7"/>
  <c r="O150" i="7"/>
  <c r="M146" i="7"/>
  <c r="H146" i="7"/>
  <c r="B145" i="7"/>
  <c r="F145" i="7"/>
  <c r="J145" i="7"/>
  <c r="N145" i="7"/>
  <c r="N142" i="7"/>
  <c r="I142" i="7"/>
  <c r="D142" i="7"/>
  <c r="M141" i="7"/>
  <c r="H141" i="7"/>
  <c r="D139" i="7"/>
  <c r="H139" i="7"/>
  <c r="L139" i="7"/>
  <c r="O137" i="7"/>
  <c r="I137" i="7"/>
  <c r="D137" i="7"/>
  <c r="M135" i="7"/>
  <c r="G135" i="7"/>
  <c r="C134" i="7"/>
  <c r="G134" i="7"/>
  <c r="K134" i="7"/>
  <c r="O134" i="7"/>
  <c r="K133" i="7"/>
  <c r="E133" i="7"/>
  <c r="N131" i="7"/>
  <c r="I131" i="7"/>
  <c r="C131" i="7"/>
  <c r="M130" i="7"/>
  <c r="H130" i="7"/>
  <c r="B129" i="7"/>
  <c r="F129" i="7"/>
  <c r="J129" i="7"/>
  <c r="N129" i="7"/>
  <c r="O127" i="7"/>
  <c r="J127" i="7"/>
  <c r="E127" i="7"/>
  <c r="N126" i="7"/>
  <c r="I126" i="7"/>
  <c r="D126" i="7"/>
  <c r="M125" i="7"/>
  <c r="H125" i="7"/>
  <c r="D123" i="7"/>
  <c r="H123" i="7"/>
  <c r="L123" i="7"/>
  <c r="J122" i="7"/>
  <c r="E122" i="7"/>
  <c r="O121" i="7"/>
  <c r="I121" i="7"/>
  <c r="D121" i="7"/>
  <c r="M119" i="7"/>
  <c r="G119" i="7"/>
  <c r="C118" i="7"/>
  <c r="G118" i="7"/>
  <c r="K118" i="7"/>
  <c r="O118" i="7"/>
  <c r="K117" i="7"/>
  <c r="E117" i="7"/>
  <c r="N115" i="7"/>
  <c r="I115" i="7"/>
  <c r="C115" i="7"/>
  <c r="M114" i="7"/>
  <c r="H114" i="7"/>
  <c r="B113" i="7"/>
  <c r="F113" i="7"/>
  <c r="J113" i="7"/>
  <c r="N113" i="7"/>
  <c r="O111" i="7"/>
  <c r="J111" i="7"/>
  <c r="E111" i="7"/>
  <c r="M109" i="7"/>
  <c r="H109" i="7"/>
  <c r="D107" i="7"/>
  <c r="H107" i="7"/>
  <c r="H107" i="12" s="1"/>
  <c r="L107" i="7"/>
  <c r="K107" i="12" s="1"/>
  <c r="J106" i="7"/>
  <c r="E106" i="7"/>
  <c r="O105" i="7"/>
  <c r="I105" i="7"/>
  <c r="I105" i="12" s="1"/>
  <c r="D105" i="7"/>
  <c r="M103" i="7"/>
  <c r="G103" i="7"/>
  <c r="C102" i="7"/>
  <c r="G102" i="7"/>
  <c r="K102" i="7"/>
  <c r="O102" i="7"/>
  <c r="K101" i="7"/>
  <c r="J101" i="12" s="1"/>
  <c r="E101" i="7"/>
  <c r="N99" i="7"/>
  <c r="I99" i="7"/>
  <c r="I99" i="12" s="1"/>
  <c r="C99" i="7"/>
  <c r="M98" i="7"/>
  <c r="H98" i="7"/>
  <c r="H98" i="12" s="1"/>
  <c r="B97" i="7"/>
  <c r="F97" i="7"/>
  <c r="J97" i="7"/>
  <c r="N97" i="7"/>
  <c r="O95" i="7"/>
  <c r="J95" i="7"/>
  <c r="E95" i="7"/>
  <c r="N94" i="7"/>
  <c r="I94" i="7"/>
  <c r="I94" i="12" s="1"/>
  <c r="D94" i="7"/>
  <c r="M93" i="7"/>
  <c r="H93" i="7"/>
  <c r="H93" i="12" s="1"/>
  <c r="D91" i="7"/>
  <c r="H91" i="7"/>
  <c r="H91" i="12" s="1"/>
  <c r="L91" i="7"/>
  <c r="K91" i="12" s="1"/>
  <c r="J90" i="7"/>
  <c r="E90" i="7"/>
  <c r="O89" i="7"/>
  <c r="I89" i="7"/>
  <c r="I89" i="12" s="1"/>
  <c r="D89" i="7"/>
  <c r="M87" i="7"/>
  <c r="G87" i="7"/>
  <c r="C86" i="7"/>
  <c r="G86" i="7"/>
  <c r="K86" i="7"/>
  <c r="O86" i="7"/>
  <c r="K85" i="7"/>
  <c r="J85" i="12" s="1"/>
  <c r="E85" i="7"/>
  <c r="N83" i="7"/>
  <c r="I83" i="7"/>
  <c r="I83" i="12" s="1"/>
  <c r="C83" i="7"/>
  <c r="M82" i="7"/>
  <c r="H82" i="7"/>
  <c r="H82" i="12" s="1"/>
  <c r="B81" i="7"/>
  <c r="F81" i="7"/>
  <c r="J81" i="7"/>
  <c r="N81" i="7"/>
  <c r="O79" i="7"/>
  <c r="J79" i="7"/>
  <c r="E79" i="7"/>
  <c r="N78" i="7"/>
  <c r="I78" i="7"/>
  <c r="I78" i="12" s="1"/>
  <c r="D78" i="7"/>
  <c r="M77" i="7"/>
  <c r="H77" i="7"/>
  <c r="D75" i="7"/>
  <c r="H75" i="7"/>
  <c r="L75" i="7"/>
  <c r="K75" i="12" s="1"/>
  <c r="J74" i="7"/>
  <c r="E74" i="7"/>
  <c r="O73" i="7"/>
  <c r="I73" i="7"/>
  <c r="I73" i="12" s="1"/>
  <c r="D73" i="7"/>
  <c r="M71" i="7"/>
  <c r="G71" i="7"/>
  <c r="C70" i="7"/>
  <c r="G70" i="7"/>
  <c r="K70" i="7"/>
  <c r="J70" i="12" s="1"/>
  <c r="O70" i="7"/>
  <c r="K69" i="7"/>
  <c r="J69" i="12" s="1"/>
  <c r="E69" i="7"/>
  <c r="N67" i="7"/>
  <c r="I67" i="7"/>
  <c r="I67" i="12" s="1"/>
  <c r="C67" i="7"/>
  <c r="B65" i="7"/>
  <c r="F65" i="7"/>
  <c r="J65" i="7"/>
  <c r="N65" i="7"/>
  <c r="O63" i="7"/>
  <c r="J63" i="7"/>
  <c r="E63" i="7"/>
  <c r="N62" i="7"/>
  <c r="I62" i="7"/>
  <c r="D62" i="7"/>
  <c r="M61" i="7"/>
  <c r="H61" i="7"/>
  <c r="H61" i="12" s="1"/>
  <c r="D59" i="7"/>
  <c r="H59" i="7"/>
  <c r="L59" i="7"/>
  <c r="J58" i="7"/>
  <c r="E58" i="7"/>
  <c r="O57" i="7"/>
  <c r="I57" i="7"/>
  <c r="D57" i="7"/>
  <c r="M55" i="7"/>
  <c r="G55" i="7"/>
  <c r="C54" i="7"/>
  <c r="G54" i="7"/>
  <c r="K54" i="7"/>
  <c r="O54" i="7"/>
  <c r="K53" i="7"/>
  <c r="E53" i="7"/>
  <c r="N51" i="7"/>
  <c r="I51" i="7"/>
  <c r="C51" i="7"/>
  <c r="M50" i="7"/>
  <c r="H50" i="7"/>
  <c r="B49" i="7"/>
  <c r="F49" i="7"/>
  <c r="J49" i="7"/>
  <c r="N49" i="7"/>
  <c r="O47" i="7"/>
  <c r="J47" i="7"/>
  <c r="E47" i="7"/>
  <c r="N46" i="7"/>
  <c r="I46" i="7"/>
  <c r="D46" i="7"/>
  <c r="M45" i="7"/>
  <c r="H45" i="7"/>
  <c r="D43" i="7"/>
  <c r="H43" i="7"/>
  <c r="L43" i="7"/>
  <c r="J42" i="7"/>
  <c r="E42" i="7"/>
  <c r="O41" i="7"/>
  <c r="I41" i="7"/>
  <c r="D41" i="7"/>
  <c r="M39" i="7"/>
  <c r="G39" i="7"/>
  <c r="C38" i="7"/>
  <c r="G38" i="7"/>
  <c r="K38" i="7"/>
  <c r="O38" i="7"/>
  <c r="K37" i="7"/>
  <c r="E37" i="7"/>
  <c r="N35" i="7"/>
  <c r="I35" i="7"/>
  <c r="C35" i="7"/>
  <c r="M34" i="7"/>
  <c r="H34" i="7"/>
  <c r="B33" i="7"/>
  <c r="F33" i="7"/>
  <c r="J33" i="7"/>
  <c r="N33" i="7"/>
  <c r="O31" i="7"/>
  <c r="J31" i="7"/>
  <c r="E31" i="7"/>
  <c r="N30" i="7"/>
  <c r="I30" i="7"/>
  <c r="D30" i="7"/>
  <c r="M29" i="7"/>
  <c r="H29" i="7"/>
  <c r="D27" i="7"/>
  <c r="H27" i="7"/>
  <c r="L27" i="7"/>
  <c r="J26" i="7"/>
  <c r="E26" i="7"/>
  <c r="O25" i="7"/>
  <c r="I25" i="7"/>
  <c r="D25" i="7"/>
  <c r="K23" i="7"/>
  <c r="B21" i="7"/>
  <c r="F21" i="7"/>
  <c r="J21" i="7"/>
  <c r="N21" i="7"/>
  <c r="D21" i="7"/>
  <c r="H21" i="7"/>
  <c r="L21" i="7"/>
  <c r="O19" i="7"/>
  <c r="G19" i="7"/>
  <c r="M17" i="7"/>
  <c r="E17" i="7"/>
  <c r="K15" i="7"/>
  <c r="B13" i="7"/>
  <c r="F13" i="7"/>
  <c r="J13" i="7"/>
  <c r="N13" i="7"/>
  <c r="D13" i="7"/>
  <c r="H13" i="7"/>
  <c r="L13" i="7"/>
  <c r="M186" i="6"/>
  <c r="M178" i="6"/>
  <c r="M170" i="6"/>
  <c r="M162" i="6"/>
  <c r="M154" i="6"/>
  <c r="M146" i="6"/>
  <c r="L145" i="6"/>
  <c r="O145" i="12" s="1"/>
  <c r="S134" i="12"/>
  <c r="D134" i="6"/>
  <c r="H134" i="6"/>
  <c r="L134" i="6"/>
  <c r="B134" i="6"/>
  <c r="G134" i="6"/>
  <c r="M134" i="6"/>
  <c r="C134" i="6"/>
  <c r="L134" i="5" s="1"/>
  <c r="M134" i="5" s="1"/>
  <c r="I134" i="6"/>
  <c r="Q134" i="12" s="1"/>
  <c r="N134" i="6"/>
  <c r="E134" i="6"/>
  <c r="J134" i="6"/>
  <c r="O134" i="6"/>
  <c r="C129" i="6"/>
  <c r="L129" i="5" s="1"/>
  <c r="M129" i="5" s="1"/>
  <c r="G129" i="6"/>
  <c r="K129" i="6"/>
  <c r="R129" i="12" s="1"/>
  <c r="O129" i="6"/>
  <c r="B129" i="6"/>
  <c r="H129" i="6"/>
  <c r="P129" i="12" s="1"/>
  <c r="M129" i="6"/>
  <c r="D129" i="6"/>
  <c r="I129" i="6"/>
  <c r="Q129" i="12" s="1"/>
  <c r="N129" i="6"/>
  <c r="E129" i="6"/>
  <c r="J129" i="6"/>
  <c r="K118" i="6"/>
  <c r="S118" i="12" s="1"/>
  <c r="L113" i="6"/>
  <c r="Q106" i="12"/>
  <c r="D106" i="6"/>
  <c r="H106" i="6"/>
  <c r="L106" i="6"/>
  <c r="B106" i="6"/>
  <c r="F106" i="6"/>
  <c r="J106" i="6"/>
  <c r="N106" i="6"/>
  <c r="C106" i="6"/>
  <c r="L106" i="5" s="1"/>
  <c r="M106" i="5" s="1"/>
  <c r="K106" i="6"/>
  <c r="S106" i="12" s="1"/>
  <c r="E106" i="6"/>
  <c r="M106" i="6"/>
  <c r="G106" i="6"/>
  <c r="O106" i="6"/>
  <c r="B157" i="7"/>
  <c r="F157" i="7"/>
  <c r="J157" i="7"/>
  <c r="N157" i="7"/>
  <c r="D151" i="7"/>
  <c r="H151" i="7"/>
  <c r="H151" i="12" s="1"/>
  <c r="L151" i="7"/>
  <c r="K151" i="12" s="1"/>
  <c r="C146" i="7"/>
  <c r="G146" i="7"/>
  <c r="K146" i="7"/>
  <c r="O146" i="7"/>
  <c r="B141" i="7"/>
  <c r="F141" i="7"/>
  <c r="J141" i="7"/>
  <c r="N141" i="7"/>
  <c r="D135" i="7"/>
  <c r="H135" i="7"/>
  <c r="L135" i="7"/>
  <c r="O133" i="7"/>
  <c r="I133" i="7"/>
  <c r="D133" i="7"/>
  <c r="C130" i="7"/>
  <c r="G130" i="7"/>
  <c r="K130" i="7"/>
  <c r="O130" i="7"/>
  <c r="N127" i="7"/>
  <c r="I127" i="7"/>
  <c r="C127" i="7"/>
  <c r="B125" i="7"/>
  <c r="F125" i="7"/>
  <c r="J125" i="7"/>
  <c r="N125" i="7"/>
  <c r="N122" i="7"/>
  <c r="I122" i="7"/>
  <c r="D122" i="7"/>
  <c r="D119" i="7"/>
  <c r="H119" i="7"/>
  <c r="L119" i="7"/>
  <c r="O117" i="7"/>
  <c r="I117" i="7"/>
  <c r="D117" i="7"/>
  <c r="C114" i="7"/>
  <c r="G114" i="7"/>
  <c r="K114" i="7"/>
  <c r="O114" i="7"/>
  <c r="N111" i="7"/>
  <c r="I111" i="7"/>
  <c r="I111" i="12" s="1"/>
  <c r="C111" i="7"/>
  <c r="B109" i="7"/>
  <c r="F109" i="7"/>
  <c r="J109" i="7"/>
  <c r="N109" i="7"/>
  <c r="N106" i="7"/>
  <c r="I106" i="7"/>
  <c r="I106" i="12" s="1"/>
  <c r="D106" i="7"/>
  <c r="D103" i="7"/>
  <c r="H103" i="7"/>
  <c r="H103" i="12" s="1"/>
  <c r="L103" i="7"/>
  <c r="K103" i="12" s="1"/>
  <c r="O101" i="7"/>
  <c r="I101" i="7"/>
  <c r="I101" i="12" s="1"/>
  <c r="D101" i="7"/>
  <c r="C98" i="7"/>
  <c r="G98" i="7"/>
  <c r="K98" i="7"/>
  <c r="O98" i="7"/>
  <c r="N95" i="7"/>
  <c r="I95" i="7"/>
  <c r="I95" i="12" s="1"/>
  <c r="C95" i="7"/>
  <c r="B93" i="7"/>
  <c r="F93" i="7"/>
  <c r="J93" i="7"/>
  <c r="N93" i="7"/>
  <c r="N90" i="7"/>
  <c r="I90" i="7"/>
  <c r="I90" i="12" s="1"/>
  <c r="D90" i="7"/>
  <c r="D87" i="7"/>
  <c r="H87" i="7"/>
  <c r="H87" i="12" s="1"/>
  <c r="L87" i="7"/>
  <c r="K87" i="12" s="1"/>
  <c r="O85" i="7"/>
  <c r="I85" i="7"/>
  <c r="I85" i="12" s="1"/>
  <c r="D85" i="7"/>
  <c r="C82" i="7"/>
  <c r="G82" i="7"/>
  <c r="K82" i="7"/>
  <c r="J82" i="12" s="1"/>
  <c r="O82" i="7"/>
  <c r="N79" i="7"/>
  <c r="I79" i="7"/>
  <c r="C79" i="7"/>
  <c r="B77" i="7"/>
  <c r="F77" i="7"/>
  <c r="J77" i="7"/>
  <c r="N77" i="7"/>
  <c r="N74" i="7"/>
  <c r="I74" i="7"/>
  <c r="I74" i="12" s="1"/>
  <c r="D74" i="7"/>
  <c r="D71" i="7"/>
  <c r="H71" i="7"/>
  <c r="L71" i="7"/>
  <c r="K71" i="12" s="1"/>
  <c r="O69" i="7"/>
  <c r="I69" i="7"/>
  <c r="I69" i="12" s="1"/>
  <c r="D69" i="7"/>
  <c r="O66" i="7"/>
  <c r="N63" i="7"/>
  <c r="I63" i="7"/>
  <c r="I63" i="12" s="1"/>
  <c r="C63" i="7"/>
  <c r="B61" i="7"/>
  <c r="F61" i="7"/>
  <c r="J61" i="7"/>
  <c r="N61" i="7"/>
  <c r="N58" i="7"/>
  <c r="I58" i="7"/>
  <c r="I58" i="12" s="1"/>
  <c r="D58" i="7"/>
  <c r="D55" i="7"/>
  <c r="H55" i="7"/>
  <c r="L55" i="7"/>
  <c r="O53" i="7"/>
  <c r="I53" i="7"/>
  <c r="D53" i="7"/>
  <c r="C50" i="7"/>
  <c r="G50" i="7"/>
  <c r="K50" i="7"/>
  <c r="O50" i="7"/>
  <c r="N47" i="7"/>
  <c r="I47" i="7"/>
  <c r="C47" i="7"/>
  <c r="B45" i="7"/>
  <c r="F45" i="7"/>
  <c r="J45" i="7"/>
  <c r="N45" i="7"/>
  <c r="N42" i="7"/>
  <c r="I42" i="7"/>
  <c r="D42" i="7"/>
  <c r="D39" i="7"/>
  <c r="H39" i="7"/>
  <c r="L39" i="7"/>
  <c r="C34" i="7"/>
  <c r="G34" i="7"/>
  <c r="K34" i="7"/>
  <c r="O34" i="7"/>
  <c r="B29" i="7"/>
  <c r="F29" i="7"/>
  <c r="J29" i="7"/>
  <c r="N29" i="7"/>
  <c r="D23" i="7"/>
  <c r="H23" i="7"/>
  <c r="L23" i="7"/>
  <c r="B23" i="7"/>
  <c r="F23" i="7"/>
  <c r="J23" i="7"/>
  <c r="N23" i="7"/>
  <c r="D15" i="7"/>
  <c r="H15" i="7"/>
  <c r="L15" i="7"/>
  <c r="B15" i="7"/>
  <c r="F15" i="7"/>
  <c r="J15" i="7"/>
  <c r="N15" i="7"/>
  <c r="B182" i="6"/>
  <c r="F182" i="6"/>
  <c r="J182" i="6"/>
  <c r="N182" i="6"/>
  <c r="C182" i="6"/>
  <c r="G182" i="6"/>
  <c r="K182" i="6"/>
  <c r="O182" i="6"/>
  <c r="D182" i="6"/>
  <c r="H182" i="6"/>
  <c r="L182" i="6"/>
  <c r="O182" i="12" s="1"/>
  <c r="B174" i="6"/>
  <c r="F174" i="6"/>
  <c r="J174" i="6"/>
  <c r="N174" i="6"/>
  <c r="C174" i="6"/>
  <c r="G174" i="6"/>
  <c r="K174" i="6"/>
  <c r="O174" i="6"/>
  <c r="D174" i="6"/>
  <c r="H174" i="6"/>
  <c r="L174" i="6"/>
  <c r="Q166" i="12"/>
  <c r="B166" i="6"/>
  <c r="F166" i="6"/>
  <c r="J166" i="6"/>
  <c r="N166" i="6"/>
  <c r="C166" i="6"/>
  <c r="G166" i="6"/>
  <c r="K166" i="6"/>
  <c r="S166" i="12" s="1"/>
  <c r="O166" i="6"/>
  <c r="D166" i="6"/>
  <c r="H166" i="6"/>
  <c r="L166" i="6"/>
  <c r="B158" i="6"/>
  <c r="F158" i="6"/>
  <c r="J158" i="6"/>
  <c r="N158" i="6"/>
  <c r="C158" i="6"/>
  <c r="L158" i="5" s="1"/>
  <c r="G158" i="6"/>
  <c r="K158" i="6"/>
  <c r="S158" i="12" s="1"/>
  <c r="O158" i="6"/>
  <c r="D158" i="6"/>
  <c r="H158" i="6"/>
  <c r="L158" i="6"/>
  <c r="Q150" i="12"/>
  <c r="B150" i="6"/>
  <c r="F150" i="6"/>
  <c r="J150" i="6"/>
  <c r="N150" i="6"/>
  <c r="C150" i="6"/>
  <c r="L150" i="5" s="1"/>
  <c r="M150" i="5" s="1"/>
  <c r="G150" i="6"/>
  <c r="K150" i="6"/>
  <c r="S150" i="12" s="1"/>
  <c r="O150" i="6"/>
  <c r="D150" i="6"/>
  <c r="H150" i="6"/>
  <c r="L150" i="6"/>
  <c r="B140" i="6"/>
  <c r="F140" i="6"/>
  <c r="J140" i="6"/>
  <c r="N140" i="6"/>
  <c r="C140" i="6"/>
  <c r="L140" i="5" s="1"/>
  <c r="M140" i="5" s="1"/>
  <c r="H140" i="6"/>
  <c r="L140" i="12" s="1"/>
  <c r="M140" i="6"/>
  <c r="A140" i="7"/>
  <c r="H141" i="12" s="1"/>
  <c r="D140" i="6"/>
  <c r="I140" i="6"/>
  <c r="Q140" i="12" s="1"/>
  <c r="O140" i="6"/>
  <c r="E140" i="6"/>
  <c r="K140" i="6"/>
  <c r="L124" i="6"/>
  <c r="Q98" i="12"/>
  <c r="D98" i="6"/>
  <c r="H98" i="6"/>
  <c r="P98" i="12" s="1"/>
  <c r="L98" i="6"/>
  <c r="O98" i="12" s="1"/>
  <c r="B98" i="6"/>
  <c r="F98" i="6"/>
  <c r="J98" i="6"/>
  <c r="N98" i="6"/>
  <c r="Q90" i="12"/>
  <c r="D90" i="6"/>
  <c r="H90" i="6"/>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L66" i="6"/>
  <c r="B66" i="6"/>
  <c r="F66" i="6"/>
  <c r="J66" i="6"/>
  <c r="N66" i="6"/>
  <c r="D58" i="6"/>
  <c r="H58" i="6"/>
  <c r="L58" i="6"/>
  <c r="O58" i="12" s="1"/>
  <c r="B58" i="6"/>
  <c r="G58" i="6"/>
  <c r="M58" i="6"/>
  <c r="E58" i="6"/>
  <c r="J58" i="6"/>
  <c r="O58" i="6"/>
  <c r="B40" i="6"/>
  <c r="F40" i="6"/>
  <c r="J40" i="6"/>
  <c r="N40" i="6"/>
  <c r="E40" i="6"/>
  <c r="K40" i="6"/>
  <c r="S40" i="12" s="1"/>
  <c r="C40" i="6"/>
  <c r="L40" i="5" s="1"/>
  <c r="M40" i="5" s="1"/>
  <c r="H40" i="6"/>
  <c r="M40" i="6"/>
  <c r="B32" i="6"/>
  <c r="F32" i="6"/>
  <c r="J32" i="6"/>
  <c r="N32" i="6"/>
  <c r="C32" i="6"/>
  <c r="L32" i="5" s="1"/>
  <c r="M32" i="5" s="1"/>
  <c r="H32" i="6"/>
  <c r="M32" i="6"/>
  <c r="E32" i="6"/>
  <c r="K32" i="6"/>
  <c r="S32" i="12" s="1"/>
  <c r="B10" i="28"/>
  <c r="C11" i="28"/>
  <c r="D12" i="28"/>
  <c r="C10" i="28"/>
  <c r="D11" i="28"/>
  <c r="B13" i="28"/>
  <c r="D10" i="28"/>
  <c r="B12" i="28"/>
  <c r="C13" i="28"/>
  <c r="O9" i="12"/>
  <c r="M11" i="12"/>
  <c r="O13" i="12"/>
  <c r="O17" i="12"/>
  <c r="M23" i="12"/>
  <c r="O25" i="12"/>
  <c r="M27" i="12"/>
  <c r="O29" i="12"/>
  <c r="M31" i="12"/>
  <c r="O33" i="12"/>
  <c r="M9" i="12"/>
  <c r="M13" i="12"/>
  <c r="M17" i="12"/>
  <c r="M21" i="12"/>
  <c r="M25" i="12"/>
  <c r="M41" i="12"/>
  <c r="M53" i="12"/>
  <c r="M57" i="12"/>
  <c r="M61" i="12"/>
  <c r="N9" i="12"/>
  <c r="L11" i="12"/>
  <c r="N13" i="12"/>
  <c r="N17" i="12"/>
  <c r="L19" i="12"/>
  <c r="N21" i="12"/>
  <c r="N25" i="12"/>
  <c r="L31" i="12"/>
  <c r="L35" i="12"/>
  <c r="M39" i="12"/>
  <c r="O40" i="12"/>
  <c r="O41" i="12"/>
  <c r="M46" i="12"/>
  <c r="M48" i="12"/>
  <c r="L49" i="12"/>
  <c r="N27" i="12"/>
  <c r="N31" i="12"/>
  <c r="M35" i="12"/>
  <c r="O37" i="12"/>
  <c r="L47" i="12"/>
  <c r="O53" i="12"/>
  <c r="L63" i="12"/>
  <c r="M70" i="12"/>
  <c r="M74" i="12"/>
  <c r="M78" i="12"/>
  <c r="M12" i="12"/>
  <c r="O14" i="12"/>
  <c r="M16" i="12"/>
  <c r="M20" i="12"/>
  <c r="O22" i="12"/>
  <c r="O26" i="12"/>
  <c r="N35" i="12"/>
  <c r="L41" i="12"/>
  <c r="N44" i="12"/>
  <c r="L9" i="12"/>
  <c r="L13" i="12"/>
  <c r="L17" i="12"/>
  <c r="L21" i="12"/>
  <c r="L25" i="12"/>
  <c r="L29" i="12"/>
  <c r="L33" i="12"/>
  <c r="O45" i="12"/>
  <c r="L55" i="12"/>
  <c r="O61" i="12"/>
  <c r="N63" i="12"/>
  <c r="M47" i="12"/>
  <c r="O48" i="12"/>
  <c r="L59" i="12"/>
  <c r="N60" i="12"/>
  <c r="O65" i="12"/>
  <c r="M73" i="12"/>
  <c r="M80" i="12"/>
  <c r="O81" i="12"/>
  <c r="M82" i="12"/>
  <c r="N83" i="12"/>
  <c r="L85" i="12"/>
  <c r="M86" i="12"/>
  <c r="L89" i="12"/>
  <c r="M90" i="12"/>
  <c r="N91" i="12"/>
  <c r="L93" i="12"/>
  <c r="M94" i="12"/>
  <c r="N95" i="12"/>
  <c r="L97" i="12"/>
  <c r="M98" i="12"/>
  <c r="O49" i="12"/>
  <c r="M55" i="12"/>
  <c r="L58" i="12"/>
  <c r="M62" i="12"/>
  <c r="O64" i="12"/>
  <c r="L67" i="12"/>
  <c r="M71" i="12"/>
  <c r="L79" i="12"/>
  <c r="N80" i="12"/>
  <c r="M85" i="12"/>
  <c r="O87" i="12"/>
  <c r="M89" i="12"/>
  <c r="O91" i="12"/>
  <c r="M93" i="12"/>
  <c r="O95" i="12"/>
  <c r="M97" i="12"/>
  <c r="O99" i="12"/>
  <c r="M101" i="12"/>
  <c r="O103" i="12"/>
  <c r="O107" i="12"/>
  <c r="M113" i="12"/>
  <c r="O115" i="12"/>
  <c r="M117" i="12"/>
  <c r="M121" i="12"/>
  <c r="L51" i="12"/>
  <c r="L57" i="12"/>
  <c r="L66" i="12"/>
  <c r="N67" i="12"/>
  <c r="M69" i="12"/>
  <c r="O71" i="12"/>
  <c r="M72" i="12"/>
  <c r="O73" i="12"/>
  <c r="L75" i="12"/>
  <c r="N76" i="12"/>
  <c r="M79" i="12"/>
  <c r="L83" i="12"/>
  <c r="M84" i="12"/>
  <c r="L87" i="12"/>
  <c r="M88" i="12"/>
  <c r="L91" i="12"/>
  <c r="M92" i="12"/>
  <c r="M56" i="12"/>
  <c r="M63" i="12"/>
  <c r="M83" i="12"/>
  <c r="M87" i="12"/>
  <c r="M91" i="12"/>
  <c r="M99" i="12"/>
  <c r="M103" i="12"/>
  <c r="M107" i="12"/>
  <c r="M111" i="12"/>
  <c r="M115" i="12"/>
  <c r="M127" i="12"/>
  <c r="M131" i="12"/>
  <c r="M139" i="12"/>
  <c r="M96" i="12"/>
  <c r="M122" i="12"/>
  <c r="L123" i="12"/>
  <c r="L125" i="12"/>
  <c r="N127" i="12"/>
  <c r="M129" i="12"/>
  <c r="O131" i="12"/>
  <c r="M138" i="12"/>
  <c r="L143" i="12"/>
  <c r="M144" i="12"/>
  <c r="L147" i="12"/>
  <c r="M148" i="12"/>
  <c r="N149" i="12"/>
  <c r="L151" i="12"/>
  <c r="M152" i="12"/>
  <c r="N153" i="12"/>
  <c r="L155" i="12"/>
  <c r="M156" i="12"/>
  <c r="L159" i="12"/>
  <c r="M160" i="12"/>
  <c r="N161" i="12"/>
  <c r="L163" i="12"/>
  <c r="M110" i="12"/>
  <c r="N122" i="12"/>
  <c r="N123" i="12"/>
  <c r="O127" i="12"/>
  <c r="L128" i="12"/>
  <c r="N129" i="12"/>
  <c r="L135" i="12"/>
  <c r="O136" i="12"/>
  <c r="N138" i="12"/>
  <c r="N139" i="12"/>
  <c r="M143" i="12"/>
  <c r="M147" i="12"/>
  <c r="M151" i="12"/>
  <c r="O153" i="12"/>
  <c r="M155" i="12"/>
  <c r="O157" i="12"/>
  <c r="M159" i="12"/>
  <c r="O161" i="12"/>
  <c r="M167" i="12"/>
  <c r="M171" i="12"/>
  <c r="O173" i="12"/>
  <c r="M175" i="12"/>
  <c r="O177" i="12"/>
  <c r="M179" i="12"/>
  <c r="O181" i="12"/>
  <c r="O185" i="12"/>
  <c r="M187" i="12"/>
  <c r="L99" i="12"/>
  <c r="O106" i="12"/>
  <c r="L107" i="12"/>
  <c r="L111" i="12"/>
  <c r="L115" i="12"/>
  <c r="L119" i="12"/>
  <c r="O123" i="12"/>
  <c r="M128" i="12"/>
  <c r="L131" i="12"/>
  <c r="O132" i="12"/>
  <c r="L133" i="12"/>
  <c r="N134" i="12"/>
  <c r="N135" i="12"/>
  <c r="M137" i="12"/>
  <c r="O139" i="12"/>
  <c r="N143" i="12"/>
  <c r="O144" i="12"/>
  <c r="L145" i="12"/>
  <c r="M146" i="12"/>
  <c r="L149" i="12"/>
  <c r="M150" i="12"/>
  <c r="N99" i="12"/>
  <c r="L101" i="12"/>
  <c r="N103" i="12"/>
  <c r="L105" i="12"/>
  <c r="N107" i="12"/>
  <c r="L109" i="12"/>
  <c r="N111" i="12"/>
  <c r="L113" i="12"/>
  <c r="N115" i="12"/>
  <c r="L117" i="12"/>
  <c r="N119" i="12"/>
  <c r="L127" i="12"/>
  <c r="L129" i="12"/>
  <c r="N131" i="12"/>
  <c r="O135" i="12"/>
  <c r="L136" i="12"/>
  <c r="O143" i="12"/>
  <c r="M149" i="12"/>
  <c r="M153" i="12"/>
  <c r="M157" i="12"/>
  <c r="M161" i="12"/>
  <c r="M169" i="12"/>
  <c r="M173" i="12"/>
  <c r="M177" i="12"/>
  <c r="M181" i="12"/>
  <c r="M185" i="12"/>
  <c r="L153" i="12"/>
  <c r="L161" i="12"/>
  <c r="L167" i="12"/>
  <c r="N169" i="12"/>
  <c r="L171" i="12"/>
  <c r="N173" i="12"/>
  <c r="O174" i="12"/>
  <c r="L175" i="12"/>
  <c r="M176" i="12"/>
  <c r="N177" i="12"/>
  <c r="L179" i="12"/>
  <c r="M180" i="12"/>
  <c r="N181" i="12"/>
  <c r="L183" i="12"/>
  <c r="M184" i="12"/>
  <c r="N185" i="12"/>
  <c r="L187" i="12"/>
  <c r="M188" i="12"/>
  <c r="L157" i="12"/>
  <c r="O166" i="12"/>
  <c r="L165" i="12"/>
  <c r="L169" i="12"/>
  <c r="L173" i="12"/>
  <c r="M174" i="12"/>
  <c r="M178" i="12"/>
  <c r="L181" i="12"/>
  <c r="L185" i="12"/>
  <c r="M186"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Q171" i="12"/>
  <c r="P171" i="12"/>
  <c r="N168" i="6"/>
  <c r="J168" i="6"/>
  <c r="F168" i="6"/>
  <c r="Q167" i="12"/>
  <c r="P167" i="12"/>
  <c r="N164" i="6"/>
  <c r="J164" i="6"/>
  <c r="F164" i="6"/>
  <c r="P163" i="12"/>
  <c r="N160" i="6"/>
  <c r="J160" i="6"/>
  <c r="F160" i="6"/>
  <c r="P159" i="12"/>
  <c r="Q159" i="12"/>
  <c r="N156" i="6"/>
  <c r="J156" i="6"/>
  <c r="F156" i="6"/>
  <c r="P155" i="12"/>
  <c r="Q155" i="12"/>
  <c r="N152" i="6"/>
  <c r="J152" i="6"/>
  <c r="F152" i="6"/>
  <c r="P151" i="12"/>
  <c r="Q151" i="12"/>
  <c r="N148" i="6"/>
  <c r="J148" i="6"/>
  <c r="F148" i="6"/>
  <c r="P147" i="12"/>
  <c r="Q147" i="12"/>
  <c r="M142" i="6"/>
  <c r="G142" i="6"/>
  <c r="C141" i="6"/>
  <c r="L141" i="5" s="1"/>
  <c r="M141" i="5" s="1"/>
  <c r="G141" i="6"/>
  <c r="K141" i="6"/>
  <c r="N141" i="12" s="1"/>
  <c r="O141" i="6"/>
  <c r="M137" i="6"/>
  <c r="H137" i="6"/>
  <c r="L137" i="12" s="1"/>
  <c r="S136" i="12"/>
  <c r="P136" i="12"/>
  <c r="B136" i="6"/>
  <c r="F136" i="6"/>
  <c r="J136" i="6"/>
  <c r="N136" i="6"/>
  <c r="M132" i="6"/>
  <c r="H132" i="6"/>
  <c r="L132" i="12" s="1"/>
  <c r="R130" i="12"/>
  <c r="D130" i="6"/>
  <c r="H130" i="6"/>
  <c r="L130" i="6"/>
  <c r="O130" i="12" s="1"/>
  <c r="M126" i="6"/>
  <c r="G126" i="6"/>
  <c r="C125" i="6"/>
  <c r="L125" i="5" s="1"/>
  <c r="M125" i="5" s="1"/>
  <c r="G125" i="6"/>
  <c r="K125" i="6"/>
  <c r="N125" i="12" s="1"/>
  <c r="O125" i="6"/>
  <c r="M121" i="6"/>
  <c r="H121" i="6"/>
  <c r="L121" i="12" s="1"/>
  <c r="B120" i="6"/>
  <c r="F120" i="6"/>
  <c r="J120" i="6"/>
  <c r="N120" i="6"/>
  <c r="M116" i="6"/>
  <c r="H116" i="6"/>
  <c r="S114" i="12"/>
  <c r="D114" i="6"/>
  <c r="H114" i="6"/>
  <c r="L114" i="6"/>
  <c r="O114" i="12" s="1"/>
  <c r="M110" i="6"/>
  <c r="G110" i="6"/>
  <c r="Q108" i="12"/>
  <c r="B108" i="6"/>
  <c r="F108" i="6"/>
  <c r="J108" i="6"/>
  <c r="N108" i="6"/>
  <c r="D108" i="6"/>
  <c r="H108" i="6"/>
  <c r="L108" i="6"/>
  <c r="K102" i="6"/>
  <c r="S102" i="12" s="1"/>
  <c r="B100" i="6"/>
  <c r="F100" i="6"/>
  <c r="J100" i="6"/>
  <c r="N100" i="6"/>
  <c r="D100" i="6"/>
  <c r="H100" i="6"/>
  <c r="L100" i="6"/>
  <c r="O100" i="12" s="1"/>
  <c r="O98" i="6"/>
  <c r="G98" i="6"/>
  <c r="K94" i="6"/>
  <c r="S94" i="12" s="1"/>
  <c r="B92" i="6"/>
  <c r="F92" i="6"/>
  <c r="J92" i="6"/>
  <c r="N92" i="6"/>
  <c r="D92" i="6"/>
  <c r="H92" i="6"/>
  <c r="L92" i="6"/>
  <c r="O90" i="6"/>
  <c r="G90" i="6"/>
  <c r="K86" i="6"/>
  <c r="S86" i="12" s="1"/>
  <c r="Q84" i="12"/>
  <c r="B84" i="6"/>
  <c r="F84" i="6"/>
  <c r="J84" i="6"/>
  <c r="N84" i="6"/>
  <c r="D84" i="6"/>
  <c r="H84" i="6"/>
  <c r="L84" i="6"/>
  <c r="O82" i="6"/>
  <c r="G82" i="6"/>
  <c r="K78" i="6"/>
  <c r="N78" i="12" s="1"/>
  <c r="Q76" i="12"/>
  <c r="B76" i="6"/>
  <c r="F76" i="6"/>
  <c r="J76" i="6"/>
  <c r="N76" i="6"/>
  <c r="D76" i="6"/>
  <c r="H76" i="6"/>
  <c r="L76" i="12" s="1"/>
  <c r="L76" i="6"/>
  <c r="O74" i="6"/>
  <c r="G74" i="6"/>
  <c r="K70" i="6"/>
  <c r="N70" i="12" s="1"/>
  <c r="B68" i="6"/>
  <c r="F68" i="6"/>
  <c r="J68" i="6"/>
  <c r="N68" i="6"/>
  <c r="D68" i="6"/>
  <c r="H68" i="6"/>
  <c r="P68" i="12" s="1"/>
  <c r="L68" i="6"/>
  <c r="O68" i="12" s="1"/>
  <c r="O66" i="6"/>
  <c r="G66" i="6"/>
  <c r="O64" i="6"/>
  <c r="I58" i="6"/>
  <c r="Q56" i="12"/>
  <c r="B56" i="6"/>
  <c r="F56" i="6"/>
  <c r="J56" i="6"/>
  <c r="N56" i="6"/>
  <c r="E56" i="6"/>
  <c r="K56" i="6"/>
  <c r="N56" i="12" s="1"/>
  <c r="C56" i="6"/>
  <c r="L56" i="5" s="1"/>
  <c r="M56" i="5" s="1"/>
  <c r="H56" i="6"/>
  <c r="M56" i="6"/>
  <c r="Q48" i="12"/>
  <c r="B48" i="6"/>
  <c r="F48" i="6"/>
  <c r="J48" i="6"/>
  <c r="N48" i="6"/>
  <c r="C48" i="6"/>
  <c r="L48" i="5" s="1"/>
  <c r="M48" i="5" s="1"/>
  <c r="H48" i="6"/>
  <c r="M48" i="6"/>
  <c r="E48" i="6"/>
  <c r="K48" i="6"/>
  <c r="R48" i="12" s="1"/>
  <c r="N45" i="6"/>
  <c r="I40" i="6"/>
  <c r="Q40" i="12" s="1"/>
  <c r="N37" i="6"/>
  <c r="N34" i="6"/>
  <c r="I32" i="6"/>
  <c r="Q32" i="12" s="1"/>
  <c r="B10" i="6"/>
  <c r="F10" i="6"/>
  <c r="J10" i="6"/>
  <c r="N10" i="6"/>
  <c r="C10" i="6"/>
  <c r="L10" i="5" s="1"/>
  <c r="M10" i="5" s="1"/>
  <c r="H10" i="6"/>
  <c r="M10" i="6"/>
  <c r="E10" i="6"/>
  <c r="K10" i="6"/>
  <c r="S10" i="12" s="1"/>
  <c r="I10" i="6"/>
  <c r="Q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8" i="12"/>
  <c r="Q160" i="12"/>
  <c r="S160" i="12"/>
  <c r="Q156" i="12"/>
  <c r="S156" i="12"/>
  <c r="Q152" i="12"/>
  <c r="S152" i="12"/>
  <c r="Q148" i="12"/>
  <c r="S148" i="12"/>
  <c r="D142" i="6"/>
  <c r="H142" i="6"/>
  <c r="P142" i="12" s="1"/>
  <c r="L142" i="6"/>
  <c r="Q137" i="12"/>
  <c r="C137" i="6"/>
  <c r="L137" i="5" s="1"/>
  <c r="M137" i="5" s="1"/>
  <c r="G137" i="6"/>
  <c r="K137" i="6"/>
  <c r="R137" i="12" s="1"/>
  <c r="O137" i="6"/>
  <c r="Q132" i="12"/>
  <c r="B132" i="6"/>
  <c r="F132" i="6"/>
  <c r="J132" i="6"/>
  <c r="N132" i="6"/>
  <c r="Q126" i="12"/>
  <c r="D126" i="6"/>
  <c r="H126" i="6"/>
  <c r="L126" i="6"/>
  <c r="Q121" i="12"/>
  <c r="C121" i="6"/>
  <c r="L121" i="5" s="1"/>
  <c r="M121" i="5" s="1"/>
  <c r="G121" i="6"/>
  <c r="K121" i="6"/>
  <c r="N121" i="12" s="1"/>
  <c r="O121" i="6"/>
  <c r="Q116" i="12"/>
  <c r="B116" i="6"/>
  <c r="F116" i="6"/>
  <c r="J116" i="6"/>
  <c r="N116" i="6"/>
  <c r="S110" i="12"/>
  <c r="Q110" i="12"/>
  <c r="D110" i="6"/>
  <c r="H110" i="6"/>
  <c r="L110" i="6"/>
  <c r="O110" i="12" s="1"/>
  <c r="Q102" i="12"/>
  <c r="D102" i="6"/>
  <c r="H102" i="6"/>
  <c r="L102" i="12" s="1"/>
  <c r="L102" i="6"/>
  <c r="O102" i="12" s="1"/>
  <c r="B102" i="6"/>
  <c r="F102" i="6"/>
  <c r="J102" i="6"/>
  <c r="N102" i="6"/>
  <c r="M98" i="6"/>
  <c r="E98" i="6"/>
  <c r="Q94" i="12"/>
  <c r="D94" i="6"/>
  <c r="H94" i="6"/>
  <c r="L94" i="6"/>
  <c r="O94" i="12" s="1"/>
  <c r="B94" i="6"/>
  <c r="F94" i="6"/>
  <c r="J94" i="6"/>
  <c r="N94" i="6"/>
  <c r="M90" i="6"/>
  <c r="E90" i="6"/>
  <c r="Q86" i="12"/>
  <c r="D86" i="6"/>
  <c r="H86" i="6"/>
  <c r="P86" i="12" s="1"/>
  <c r="L86" i="6"/>
  <c r="O86" i="12" s="1"/>
  <c r="B86" i="6"/>
  <c r="F86" i="6"/>
  <c r="J86" i="6"/>
  <c r="N86" i="6"/>
  <c r="M82" i="6"/>
  <c r="E82" i="6"/>
  <c r="Q78" i="12"/>
  <c r="D78" i="6"/>
  <c r="H78" i="6"/>
  <c r="P78" i="12" s="1"/>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M64" i="5" s="1"/>
  <c r="H64" i="6"/>
  <c r="M64" i="6"/>
  <c r="E64" i="6"/>
  <c r="K64" i="6"/>
  <c r="R64" i="12" s="1"/>
  <c r="F58" i="6"/>
  <c r="C45" i="6"/>
  <c r="L45" i="5" s="1"/>
  <c r="M45" i="5" s="1"/>
  <c r="G45" i="6"/>
  <c r="K45" i="6"/>
  <c r="N45" i="12" s="1"/>
  <c r="O45" i="6"/>
  <c r="E45" i="6"/>
  <c r="J45" i="6"/>
  <c r="B45" i="6"/>
  <c r="H45" i="6"/>
  <c r="L45" i="12" s="1"/>
  <c r="M45" i="6"/>
  <c r="G40" i="6"/>
  <c r="C37" i="6"/>
  <c r="L37" i="5" s="1"/>
  <c r="G37" i="6"/>
  <c r="C231" i="2" s="1"/>
  <c r="K37" i="6"/>
  <c r="B233" i="2" s="1"/>
  <c r="O37" i="6"/>
  <c r="B37" i="6"/>
  <c r="H37" i="6"/>
  <c r="B232" i="2" s="1"/>
  <c r="M37" i="6"/>
  <c r="C233" i="2" s="1"/>
  <c r="E37" i="6"/>
  <c r="B231" i="2" s="1"/>
  <c r="J37" i="6"/>
  <c r="C232" i="2" s="1"/>
  <c r="S34" i="12"/>
  <c r="D34" i="6"/>
  <c r="H34" i="6"/>
  <c r="L34" i="12" s="1"/>
  <c r="L34" i="6"/>
  <c r="O34" i="12" s="1"/>
  <c r="E34" i="6"/>
  <c r="J34" i="6"/>
  <c r="O34" i="6"/>
  <c r="B34" i="6"/>
  <c r="G34" i="6"/>
  <c r="M34" i="6"/>
  <c r="G32" i="6"/>
  <c r="D28" i="6"/>
  <c r="H28" i="6"/>
  <c r="L28" i="6"/>
  <c r="O28" i="12" s="1"/>
  <c r="B28" i="6"/>
  <c r="F28" i="6"/>
  <c r="J28" i="6"/>
  <c r="N28" i="6"/>
  <c r="G28" i="6"/>
  <c r="O28" i="6"/>
  <c r="C28" i="6"/>
  <c r="L28" i="5" s="1"/>
  <c r="M28" i="5" s="1"/>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O22" i="7"/>
  <c r="K22" i="7"/>
  <c r="G22" i="7"/>
  <c r="O18" i="7"/>
  <c r="K18" i="7"/>
  <c r="G18" i="7"/>
  <c r="O14" i="7"/>
  <c r="K14" i="7"/>
  <c r="G14" i="7"/>
  <c r="L11" i="7"/>
  <c r="H11" i="7"/>
  <c r="O10" i="7"/>
  <c r="K10" i="7"/>
  <c r="G10" i="7"/>
  <c r="L7" i="7"/>
  <c r="H7" i="7"/>
  <c r="D7" i="7"/>
  <c r="L188" i="6"/>
  <c r="O188" i="12" s="1"/>
  <c r="H188" i="6"/>
  <c r="L188" i="12" s="1"/>
  <c r="O187" i="6"/>
  <c r="K187" i="6"/>
  <c r="N187" i="12" s="1"/>
  <c r="G187" i="6"/>
  <c r="L184" i="6"/>
  <c r="H184" i="6"/>
  <c r="O183" i="6"/>
  <c r="K183" i="6"/>
  <c r="N183" i="12" s="1"/>
  <c r="G183" i="6"/>
  <c r="L180" i="6"/>
  <c r="H180" i="6"/>
  <c r="L180" i="12" s="1"/>
  <c r="O179" i="6"/>
  <c r="K179" i="6"/>
  <c r="N179" i="12" s="1"/>
  <c r="G179" i="6"/>
  <c r="L176" i="6"/>
  <c r="H176" i="6"/>
  <c r="L176" i="12" s="1"/>
  <c r="O175" i="6"/>
  <c r="K175" i="6"/>
  <c r="N175" i="12" s="1"/>
  <c r="G175" i="6"/>
  <c r="L172" i="6"/>
  <c r="H172" i="6"/>
  <c r="D172" i="6"/>
  <c r="O171" i="6"/>
  <c r="K171" i="6"/>
  <c r="N171" i="12" s="1"/>
  <c r="G171" i="6"/>
  <c r="C171" i="6"/>
  <c r="S169" i="12"/>
  <c r="Q169" i="12"/>
  <c r="P169" i="12"/>
  <c r="R169" i="12"/>
  <c r="L168" i="6"/>
  <c r="H168" i="6"/>
  <c r="D168" i="6"/>
  <c r="O167" i="6"/>
  <c r="K167" i="6"/>
  <c r="R167" i="12" s="1"/>
  <c r="G167" i="6"/>
  <c r="C167" i="6"/>
  <c r="P165" i="12"/>
  <c r="R165" i="12"/>
  <c r="L164" i="6"/>
  <c r="H164" i="6"/>
  <c r="D164" i="6"/>
  <c r="O163" i="6"/>
  <c r="K163" i="6"/>
  <c r="D233" i="2" s="1"/>
  <c r="D234" i="2" s="1"/>
  <c r="G163" i="6"/>
  <c r="E231" i="2" s="1"/>
  <c r="C163" i="6"/>
  <c r="L163" i="5" s="1"/>
  <c r="M163" i="5" s="1"/>
  <c r="R161" i="12"/>
  <c r="S161" i="12"/>
  <c r="Q161" i="12"/>
  <c r="P161" i="12"/>
  <c r="L160" i="6"/>
  <c r="O160" i="12" s="1"/>
  <c r="H160" i="6"/>
  <c r="D160" i="6"/>
  <c r="O159" i="6"/>
  <c r="K159" i="6"/>
  <c r="R159" i="12" s="1"/>
  <c r="G159" i="6"/>
  <c r="C159" i="6"/>
  <c r="L159" i="5" s="1"/>
  <c r="M159" i="5" s="1"/>
  <c r="S157" i="12"/>
  <c r="Q157" i="12"/>
  <c r="P157" i="12"/>
  <c r="L156" i="6"/>
  <c r="O156" i="12" s="1"/>
  <c r="H156" i="6"/>
  <c r="D156" i="6"/>
  <c r="O155" i="6"/>
  <c r="K155" i="6"/>
  <c r="N155" i="12" s="1"/>
  <c r="G155" i="6"/>
  <c r="C155" i="6"/>
  <c r="L155" i="5" s="1"/>
  <c r="M155" i="5" s="1"/>
  <c r="R153" i="12"/>
  <c r="S153" i="12"/>
  <c r="Q153" i="12"/>
  <c r="L152" i="6"/>
  <c r="O152" i="12" s="1"/>
  <c r="H152" i="6"/>
  <c r="L152" i="12" s="1"/>
  <c r="D152" i="6"/>
  <c r="O151" i="6"/>
  <c r="K151" i="6"/>
  <c r="R151" i="12" s="1"/>
  <c r="G151" i="6"/>
  <c r="C151" i="6"/>
  <c r="L151" i="5" s="1"/>
  <c r="M151" i="5" s="1"/>
  <c r="R149" i="12"/>
  <c r="S149" i="12"/>
  <c r="P149" i="12"/>
  <c r="Q149" i="12"/>
  <c r="L148" i="6"/>
  <c r="O148" i="12" s="1"/>
  <c r="H148" i="6"/>
  <c r="D148" i="6"/>
  <c r="O147" i="6"/>
  <c r="K147" i="6"/>
  <c r="N147" i="12" s="1"/>
  <c r="G147" i="6"/>
  <c r="C147" i="6"/>
  <c r="L147" i="5" s="1"/>
  <c r="M147" i="5" s="1"/>
  <c r="Q144" i="12"/>
  <c r="S144" i="12"/>
  <c r="B144" i="6"/>
  <c r="F144" i="6"/>
  <c r="J144" i="6"/>
  <c r="N144" i="6"/>
  <c r="O142" i="6"/>
  <c r="J142" i="6"/>
  <c r="E142" i="6"/>
  <c r="N141" i="6"/>
  <c r="I141" i="6"/>
  <c r="Q141" i="12" s="1"/>
  <c r="D141" i="6"/>
  <c r="R138" i="12"/>
  <c r="S138" i="12"/>
  <c r="Q138" i="12"/>
  <c r="D138" i="6"/>
  <c r="D13" i="28" s="1"/>
  <c r="H138" i="6"/>
  <c r="B11" i="28" s="1"/>
  <c r="L138" i="6"/>
  <c r="O138" i="12" s="1"/>
  <c r="J137" i="6"/>
  <c r="E137" i="6"/>
  <c r="O136" i="6"/>
  <c r="I136" i="6"/>
  <c r="M136" i="12" s="1"/>
  <c r="D136" i="6"/>
  <c r="Q133" i="12"/>
  <c r="C133" i="6"/>
  <c r="L133" i="5" s="1"/>
  <c r="M133" i="5" s="1"/>
  <c r="G133" i="6"/>
  <c r="K133" i="6"/>
  <c r="R133" i="12" s="1"/>
  <c r="O133" i="6"/>
  <c r="K132" i="6"/>
  <c r="S132" i="12" s="1"/>
  <c r="E132" i="6"/>
  <c r="N130" i="6"/>
  <c r="I130" i="6"/>
  <c r="Q130" i="12" s="1"/>
  <c r="C130" i="6"/>
  <c r="L130" i="5" s="1"/>
  <c r="P128" i="12"/>
  <c r="Q128" i="12"/>
  <c r="S128" i="12"/>
  <c r="B128" i="6"/>
  <c r="F128" i="6"/>
  <c r="J128" i="6"/>
  <c r="N128" i="6"/>
  <c r="O126" i="6"/>
  <c r="J126" i="6"/>
  <c r="E126" i="6"/>
  <c r="N125" i="6"/>
  <c r="I125" i="6"/>
  <c r="Q125" i="12" s="1"/>
  <c r="D125" i="6"/>
  <c r="R122" i="12"/>
  <c r="S122" i="12"/>
  <c r="Q122" i="12"/>
  <c r="D122" i="6"/>
  <c r="H122" i="6"/>
  <c r="L122" i="12" s="1"/>
  <c r="L122" i="6"/>
  <c r="O122" i="12" s="1"/>
  <c r="J121" i="6"/>
  <c r="E121" i="6"/>
  <c r="O120" i="6"/>
  <c r="I120" i="6"/>
  <c r="Q120" i="12" s="1"/>
  <c r="D120" i="6"/>
  <c r="Q117" i="12"/>
  <c r="P117" i="12"/>
  <c r="C117" i="6"/>
  <c r="L117" i="5" s="1"/>
  <c r="M117" i="5" s="1"/>
  <c r="G117" i="6"/>
  <c r="K117" i="6"/>
  <c r="N117" i="12" s="1"/>
  <c r="O117" i="6"/>
  <c r="K116" i="6"/>
  <c r="E116" i="6"/>
  <c r="N114" i="6"/>
  <c r="I114" i="6"/>
  <c r="M114" i="12" s="1"/>
  <c r="C114" i="6"/>
  <c r="L114" i="5" s="1"/>
  <c r="M114" i="5" s="1"/>
  <c r="Q112" i="12"/>
  <c r="B112" i="6"/>
  <c r="F112" i="6"/>
  <c r="J112" i="6"/>
  <c r="N112" i="6"/>
  <c r="O110" i="6"/>
  <c r="J110" i="6"/>
  <c r="E110" i="6"/>
  <c r="M108" i="6"/>
  <c r="E108" i="6"/>
  <c r="Q104" i="12"/>
  <c r="B104" i="6"/>
  <c r="F104" i="6"/>
  <c r="J104" i="6"/>
  <c r="N104" i="6"/>
  <c r="D104" i="6"/>
  <c r="H104" i="6"/>
  <c r="L104" i="6"/>
  <c r="O102" i="6"/>
  <c r="G102" i="6"/>
  <c r="M100" i="6"/>
  <c r="E100" i="6"/>
  <c r="K98" i="6"/>
  <c r="S98" i="12" s="1"/>
  <c r="C98" i="6"/>
  <c r="L98" i="5" s="1"/>
  <c r="M98" i="5" s="1"/>
  <c r="Q96" i="12"/>
  <c r="B96" i="6"/>
  <c r="F96" i="6"/>
  <c r="J96" i="6"/>
  <c r="N96" i="6"/>
  <c r="D96" i="6"/>
  <c r="H96" i="6"/>
  <c r="P96" i="12" s="1"/>
  <c r="L96" i="6"/>
  <c r="O94" i="6"/>
  <c r="G94" i="6"/>
  <c r="M92" i="6"/>
  <c r="E92" i="6"/>
  <c r="K90" i="6"/>
  <c r="S90" i="12" s="1"/>
  <c r="C90" i="6"/>
  <c r="L90" i="5" s="1"/>
  <c r="M90" i="5" s="1"/>
  <c r="Q88" i="12"/>
  <c r="B88" i="6"/>
  <c r="F88" i="6"/>
  <c r="J88" i="6"/>
  <c r="N88" i="6"/>
  <c r="D88" i="6"/>
  <c r="H88" i="6"/>
  <c r="P88" i="12" s="1"/>
  <c r="L88" i="6"/>
  <c r="O86" i="6"/>
  <c r="G86" i="6"/>
  <c r="M84" i="6"/>
  <c r="E84" i="6"/>
  <c r="K82" i="6"/>
  <c r="R82" i="12" s="1"/>
  <c r="C82" i="6"/>
  <c r="L82" i="5" s="1"/>
  <c r="R80" i="12"/>
  <c r="Q80" i="12"/>
  <c r="B80" i="6"/>
  <c r="F80" i="6"/>
  <c r="J80" i="6"/>
  <c r="N80" i="6"/>
  <c r="D80" i="6"/>
  <c r="H80" i="6"/>
  <c r="L80" i="12" s="1"/>
  <c r="L80" i="6"/>
  <c r="O78" i="6"/>
  <c r="G78" i="6"/>
  <c r="M76" i="6"/>
  <c r="E76" i="6"/>
  <c r="K74" i="6"/>
  <c r="R74" i="12" s="1"/>
  <c r="C74" i="6"/>
  <c r="L74" i="5" s="1"/>
  <c r="M74" i="5" s="1"/>
  <c r="Q72" i="12"/>
  <c r="R72" i="12"/>
  <c r="B72" i="6"/>
  <c r="F72" i="6"/>
  <c r="J72" i="6"/>
  <c r="N72" i="6"/>
  <c r="D72" i="6"/>
  <c r="H72" i="6"/>
  <c r="L72" i="12" s="1"/>
  <c r="L72" i="6"/>
  <c r="O70" i="6"/>
  <c r="G70" i="6"/>
  <c r="M68" i="6"/>
  <c r="E68" i="6"/>
  <c r="K66" i="6"/>
  <c r="S66" i="12" s="1"/>
  <c r="C66" i="6"/>
  <c r="L66" i="5" s="1"/>
  <c r="M66" i="5" s="1"/>
  <c r="I64" i="6"/>
  <c r="M64" i="12" s="1"/>
  <c r="Q61" i="12"/>
  <c r="C61" i="6"/>
  <c r="L61" i="5" s="1"/>
  <c r="M61" i="5" s="1"/>
  <c r="G61" i="6"/>
  <c r="K61" i="6"/>
  <c r="N61" i="12" s="1"/>
  <c r="O61" i="6"/>
  <c r="E61" i="6"/>
  <c r="J61" i="6"/>
  <c r="B61" i="6"/>
  <c r="H61" i="6"/>
  <c r="P61" i="12" s="1"/>
  <c r="M61" i="6"/>
  <c r="N58" i="6"/>
  <c r="C58" i="6"/>
  <c r="L58" i="5" s="1"/>
  <c r="M58" i="5" s="1"/>
  <c r="G56" i="6"/>
  <c r="Q53" i="12"/>
  <c r="C53" i="6"/>
  <c r="L53" i="5" s="1"/>
  <c r="M53" i="5" s="1"/>
  <c r="G53" i="6"/>
  <c r="K53" i="6"/>
  <c r="S53" i="12" s="1"/>
  <c r="O53" i="6"/>
  <c r="B53" i="6"/>
  <c r="H53" i="6"/>
  <c r="L53" i="12" s="1"/>
  <c r="M53" i="6"/>
  <c r="E53" i="6"/>
  <c r="J53" i="6"/>
  <c r="D50" i="6"/>
  <c r="H50" i="6"/>
  <c r="L50" i="12" s="1"/>
  <c r="L50" i="6"/>
  <c r="E50" i="6"/>
  <c r="J50" i="6"/>
  <c r="O50" i="6"/>
  <c r="B50" i="6"/>
  <c r="G50" i="6"/>
  <c r="M50" i="6"/>
  <c r="G48" i="6"/>
  <c r="I45" i="6"/>
  <c r="Q45" i="12" s="1"/>
  <c r="Q42" i="12"/>
  <c r="D42" i="6"/>
  <c r="H42" i="6"/>
  <c r="L42" i="12" s="1"/>
  <c r="L42" i="6"/>
  <c r="O42" i="12" s="1"/>
  <c r="B42" i="6"/>
  <c r="G42" i="6"/>
  <c r="M42" i="6"/>
  <c r="E42" i="6"/>
  <c r="J42" i="6"/>
  <c r="O42" i="6"/>
  <c r="O40" i="6"/>
  <c r="D40" i="6"/>
  <c r="I37" i="6"/>
  <c r="Q37" i="12" s="1"/>
  <c r="I34" i="6"/>
  <c r="Q34" i="12" s="1"/>
  <c r="O32" i="6"/>
  <c r="D32" i="6"/>
  <c r="M28" i="6"/>
  <c r="C15" i="6"/>
  <c r="L15" i="5" s="1"/>
  <c r="M15" i="5" s="1"/>
  <c r="G15" i="6"/>
  <c r="K15" i="6"/>
  <c r="N15" i="12" s="1"/>
  <c r="O15" i="6"/>
  <c r="B15" i="6"/>
  <c r="H15" i="6"/>
  <c r="P15" i="12" s="1"/>
  <c r="M15" i="6"/>
  <c r="E15" i="6"/>
  <c r="J15" i="6"/>
  <c r="D15" i="6"/>
  <c r="N15" i="6"/>
  <c r="I15" i="6"/>
  <c r="M15" i="12" s="1"/>
  <c r="L10" i="6"/>
  <c r="O10" i="12" s="1"/>
  <c r="F7" i="6"/>
  <c r="G53" i="8"/>
  <c r="G45" i="8"/>
  <c r="F36" i="8"/>
  <c r="B178" i="10"/>
  <c r="F178" i="10"/>
  <c r="J178" i="10"/>
  <c r="N178" i="10"/>
  <c r="E178" i="10"/>
  <c r="K178" i="10"/>
  <c r="C178" i="10"/>
  <c r="H178" i="10"/>
  <c r="M178" i="10"/>
  <c r="D178" i="10"/>
  <c r="O178" i="10"/>
  <c r="G178" i="10"/>
  <c r="I178" i="10"/>
  <c r="Q109" i="12"/>
  <c r="P109" i="12"/>
  <c r="P105" i="12"/>
  <c r="Q101" i="12"/>
  <c r="P101" i="12"/>
  <c r="P97" i="12"/>
  <c r="Q97" i="12"/>
  <c r="P93" i="12"/>
  <c r="Q93" i="12"/>
  <c r="P89" i="12"/>
  <c r="Q89" i="12"/>
  <c r="P85" i="12"/>
  <c r="Q85" i="12"/>
  <c r="Q81" i="12"/>
  <c r="Q77" i="12"/>
  <c r="Q73" i="12"/>
  <c r="Q69" i="12"/>
  <c r="C65" i="6"/>
  <c r="L65" i="5" s="1"/>
  <c r="M65" i="5" s="1"/>
  <c r="G65" i="6"/>
  <c r="K65" i="6"/>
  <c r="N65" i="12" s="1"/>
  <c r="O65" i="6"/>
  <c r="S60" i="12"/>
  <c r="B60" i="6"/>
  <c r="F60" i="6"/>
  <c r="J60" i="6"/>
  <c r="N60" i="6"/>
  <c r="S54" i="12"/>
  <c r="D54" i="6"/>
  <c r="H54" i="6"/>
  <c r="L54" i="12" s="1"/>
  <c r="L54" i="6"/>
  <c r="O54" i="12" s="1"/>
  <c r="P49" i="12"/>
  <c r="C49" i="6"/>
  <c r="L49" i="5" s="1"/>
  <c r="M49" i="5" s="1"/>
  <c r="G49" i="6"/>
  <c r="K49" i="6"/>
  <c r="N49" i="12" s="1"/>
  <c r="O49" i="6"/>
  <c r="S44" i="12"/>
  <c r="B44" i="6"/>
  <c r="F44" i="6"/>
  <c r="J44" i="6"/>
  <c r="N44" i="6"/>
  <c r="S38" i="12"/>
  <c r="D38" i="6"/>
  <c r="H38" i="6"/>
  <c r="P38" i="12" s="1"/>
  <c r="L38" i="6"/>
  <c r="O38" i="12" s="1"/>
  <c r="P33" i="12"/>
  <c r="C33" i="6"/>
  <c r="L33" i="5" s="1"/>
  <c r="M33" i="5" s="1"/>
  <c r="G33" i="6"/>
  <c r="K33" i="6"/>
  <c r="N33" i="12" s="1"/>
  <c r="O33" i="6"/>
  <c r="Q23" i="12"/>
  <c r="C23" i="6"/>
  <c r="L23" i="5" s="1"/>
  <c r="M23" i="5" s="1"/>
  <c r="G23" i="6"/>
  <c r="K23" i="6"/>
  <c r="N23" i="12" s="1"/>
  <c r="O23" i="6"/>
  <c r="E23" i="6"/>
  <c r="J23" i="6"/>
  <c r="B23" i="6"/>
  <c r="H23" i="6"/>
  <c r="L23" i="12" s="1"/>
  <c r="M23" i="6"/>
  <c r="Q20" i="12"/>
  <c r="D20" i="6"/>
  <c r="H20" i="6"/>
  <c r="P20" i="12" s="1"/>
  <c r="L20" i="6"/>
  <c r="B20" i="6"/>
  <c r="G20" i="6"/>
  <c r="M20" i="6"/>
  <c r="E20" i="6"/>
  <c r="J20" i="6"/>
  <c r="O20" i="6"/>
  <c r="Q12" i="12"/>
  <c r="D12" i="6"/>
  <c r="H12" i="6"/>
  <c r="L12" i="6"/>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P143" i="12"/>
  <c r="Q143" i="12"/>
  <c r="R143" i="12"/>
  <c r="S143" i="12"/>
  <c r="Q139" i="12"/>
  <c r="R139" i="12"/>
  <c r="S139" i="12"/>
  <c r="P135" i="12"/>
  <c r="R135" i="12"/>
  <c r="S135" i="12"/>
  <c r="Q131" i="12"/>
  <c r="P131" i="12"/>
  <c r="R131" i="12"/>
  <c r="S131" i="12"/>
  <c r="Q127" i="12"/>
  <c r="S127" i="12"/>
  <c r="P127" i="12"/>
  <c r="R127" i="12"/>
  <c r="R123" i="12"/>
  <c r="S123" i="12"/>
  <c r="P123" i="12"/>
  <c r="S119" i="12"/>
  <c r="P119" i="12"/>
  <c r="R119" i="12"/>
  <c r="S115" i="12"/>
  <c r="Q115" i="12"/>
  <c r="P115" i="12"/>
  <c r="R115" i="12"/>
  <c r="S111" i="12"/>
  <c r="Q111" i="12"/>
  <c r="P111" i="12"/>
  <c r="R111" i="12"/>
  <c r="O109" i="6"/>
  <c r="K109" i="6"/>
  <c r="N109" i="12" s="1"/>
  <c r="G109" i="6"/>
  <c r="C109" i="6"/>
  <c r="L109" i="5" s="1"/>
  <c r="M109" i="5" s="1"/>
  <c r="S107" i="12"/>
  <c r="Q107" i="12"/>
  <c r="P107" i="12"/>
  <c r="R107" i="12"/>
  <c r="O105" i="6"/>
  <c r="K105" i="6"/>
  <c r="N105" i="12" s="1"/>
  <c r="G105" i="6"/>
  <c r="C105" i="6"/>
  <c r="L105" i="5" s="1"/>
  <c r="M105" i="5" s="1"/>
  <c r="S103" i="12"/>
  <c r="Q103" i="12"/>
  <c r="P103" i="12"/>
  <c r="R103" i="12"/>
  <c r="O101" i="6"/>
  <c r="K101" i="6"/>
  <c r="R101" i="12" s="1"/>
  <c r="G101" i="6"/>
  <c r="C101" i="6"/>
  <c r="L101" i="5" s="1"/>
  <c r="M101" i="5" s="1"/>
  <c r="S99" i="12"/>
  <c r="Q99" i="12"/>
  <c r="P99" i="12"/>
  <c r="R99" i="12"/>
  <c r="O97" i="6"/>
  <c r="K97" i="6"/>
  <c r="N97" i="12" s="1"/>
  <c r="G97" i="6"/>
  <c r="C97" i="6"/>
  <c r="L97" i="5" s="1"/>
  <c r="M97" i="5" s="1"/>
  <c r="R95" i="12"/>
  <c r="S95" i="12"/>
  <c r="O93" i="6"/>
  <c r="K93" i="6"/>
  <c r="N93" i="12" s="1"/>
  <c r="G93" i="6"/>
  <c r="C93" i="6"/>
  <c r="L93" i="5" s="1"/>
  <c r="R91" i="12"/>
  <c r="S91" i="12"/>
  <c r="P91" i="12"/>
  <c r="Q91" i="12"/>
  <c r="O89" i="6"/>
  <c r="K89" i="6"/>
  <c r="N89" i="12" s="1"/>
  <c r="G89" i="6"/>
  <c r="C89" i="6"/>
  <c r="L89" i="5" s="1"/>
  <c r="M89" i="5" s="1"/>
  <c r="P87" i="12"/>
  <c r="Q87" i="12"/>
  <c r="O85" i="6"/>
  <c r="K85" i="6"/>
  <c r="N85" i="12" s="1"/>
  <c r="G85" i="6"/>
  <c r="C85" i="6"/>
  <c r="L85" i="5" s="1"/>
  <c r="M85" i="5" s="1"/>
  <c r="R83" i="12"/>
  <c r="S83" i="12"/>
  <c r="P83" i="12"/>
  <c r="Q83" i="12"/>
  <c r="O81" i="6"/>
  <c r="K81" i="6"/>
  <c r="R81" i="12" s="1"/>
  <c r="G81" i="6"/>
  <c r="C81" i="6"/>
  <c r="L81" i="5" s="1"/>
  <c r="M81" i="5" s="1"/>
  <c r="P79" i="12"/>
  <c r="Q79" i="12"/>
  <c r="S79" i="12"/>
  <c r="O77" i="6"/>
  <c r="K77" i="6"/>
  <c r="S77" i="12" s="1"/>
  <c r="G77" i="6"/>
  <c r="C77" i="6"/>
  <c r="L77" i="5" s="1"/>
  <c r="M77" i="5" s="1"/>
  <c r="Q75" i="12"/>
  <c r="O73" i="6"/>
  <c r="K73" i="6"/>
  <c r="R73" i="12" s="1"/>
  <c r="G73" i="6"/>
  <c r="C73" i="6"/>
  <c r="L73" i="5" s="1"/>
  <c r="M73" i="5" s="1"/>
  <c r="S71" i="12"/>
  <c r="Q71" i="12"/>
  <c r="O69" i="6"/>
  <c r="K69" i="6"/>
  <c r="G69" i="6"/>
  <c r="C69" i="6"/>
  <c r="L69" i="5" s="1"/>
  <c r="M69" i="5" s="1"/>
  <c r="N65" i="6"/>
  <c r="I65" i="6"/>
  <c r="Q65" i="12" s="1"/>
  <c r="D65" i="6"/>
  <c r="Q62" i="12"/>
  <c r="S62" i="12"/>
  <c r="D62" i="6"/>
  <c r="H62" i="6"/>
  <c r="P62" i="12" s="1"/>
  <c r="L62" i="6"/>
  <c r="O60" i="6"/>
  <c r="I60" i="6"/>
  <c r="Q60" i="12" s="1"/>
  <c r="D60" i="6"/>
  <c r="Q57" i="12"/>
  <c r="P57" i="12"/>
  <c r="C57" i="6"/>
  <c r="L57" i="5" s="1"/>
  <c r="M57" i="5" s="1"/>
  <c r="G57" i="6"/>
  <c r="K57" i="6"/>
  <c r="N57" i="12" s="1"/>
  <c r="O57" i="6"/>
  <c r="N54" i="6"/>
  <c r="I54" i="6"/>
  <c r="Q54" i="12" s="1"/>
  <c r="C54" i="6"/>
  <c r="L54" i="5" s="1"/>
  <c r="S52" i="12"/>
  <c r="B52" i="6"/>
  <c r="F52" i="6"/>
  <c r="J52" i="6"/>
  <c r="N52" i="6"/>
  <c r="N49" i="6"/>
  <c r="I49" i="6"/>
  <c r="Q49" i="12" s="1"/>
  <c r="D49" i="6"/>
  <c r="S46" i="12"/>
  <c r="Q46" i="12"/>
  <c r="D46" i="6"/>
  <c r="H46" i="6"/>
  <c r="P46" i="12" s="1"/>
  <c r="L46" i="6"/>
  <c r="O44" i="6"/>
  <c r="I44" i="6"/>
  <c r="Q44" i="12" s="1"/>
  <c r="D44" i="6"/>
  <c r="Q41" i="12"/>
  <c r="P41" i="12"/>
  <c r="C41" i="6"/>
  <c r="L41" i="5" s="1"/>
  <c r="M41" i="5" s="1"/>
  <c r="G41" i="6"/>
  <c r="K41" i="6"/>
  <c r="N41" i="12" s="1"/>
  <c r="O41" i="6"/>
  <c r="N38" i="6"/>
  <c r="I38" i="6"/>
  <c r="M38" i="12" s="1"/>
  <c r="C38" i="6"/>
  <c r="L38" i="5" s="1"/>
  <c r="M38" i="5" s="1"/>
  <c r="Q36" i="12"/>
  <c r="B36" i="6"/>
  <c r="F36" i="6"/>
  <c r="J36" i="6"/>
  <c r="N36" i="6"/>
  <c r="N33" i="6"/>
  <c r="I33" i="6"/>
  <c r="Q33" i="12" s="1"/>
  <c r="D33" i="6"/>
  <c r="S30" i="12"/>
  <c r="Q30" i="12"/>
  <c r="B30" i="6"/>
  <c r="F30" i="6"/>
  <c r="J30" i="6"/>
  <c r="N30" i="6"/>
  <c r="D30" i="6"/>
  <c r="H30" i="6"/>
  <c r="L30" i="6"/>
  <c r="O30" i="12" s="1"/>
  <c r="Q26" i="12"/>
  <c r="B26" i="6"/>
  <c r="F26" i="6"/>
  <c r="J26" i="6"/>
  <c r="N26" i="6"/>
  <c r="C26" i="6"/>
  <c r="L26" i="5" s="1"/>
  <c r="M26" i="5" s="1"/>
  <c r="H26" i="6"/>
  <c r="L26" i="12" s="1"/>
  <c r="M26" i="6"/>
  <c r="E26" i="6"/>
  <c r="K26" i="6"/>
  <c r="S26" i="12" s="1"/>
  <c r="F23" i="6"/>
  <c r="F20" i="6"/>
  <c r="Q18" i="12"/>
  <c r="B18" i="6"/>
  <c r="F18" i="6"/>
  <c r="J18" i="6"/>
  <c r="N18" i="6"/>
  <c r="E18" i="6"/>
  <c r="K18" i="6"/>
  <c r="S18" i="12" s="1"/>
  <c r="C18" i="6"/>
  <c r="L18" i="5" s="1"/>
  <c r="M18" i="5" s="1"/>
  <c r="H18" i="6"/>
  <c r="L18" i="12" s="1"/>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Q63" i="12"/>
  <c r="P63" i="12"/>
  <c r="R63" i="12"/>
  <c r="Q59" i="12"/>
  <c r="Q55" i="12"/>
  <c r="P55" i="12"/>
  <c r="R55" i="12"/>
  <c r="P47" i="12"/>
  <c r="Q47" i="12"/>
  <c r="R47" i="12"/>
  <c r="Q43" i="12"/>
  <c r="R39" i="12"/>
  <c r="P39" i="12"/>
  <c r="Q39" i="12"/>
  <c r="Q35" i="12"/>
  <c r="R35" i="12"/>
  <c r="P35" i="12"/>
  <c r="Q31" i="12"/>
  <c r="P31" i="12"/>
  <c r="R31" i="12"/>
  <c r="O29" i="6"/>
  <c r="K29" i="6"/>
  <c r="N29" i="12" s="1"/>
  <c r="G29" i="6"/>
  <c r="Q27" i="12"/>
  <c r="P27" i="12"/>
  <c r="R27" i="12"/>
  <c r="N24" i="6"/>
  <c r="I24" i="6"/>
  <c r="M24" i="12" s="1"/>
  <c r="S22" i="12"/>
  <c r="B22" i="6"/>
  <c r="F22" i="6"/>
  <c r="J22" i="6"/>
  <c r="N22" i="6"/>
  <c r="N19" i="6"/>
  <c r="I19" i="6"/>
  <c r="M19" i="12" s="1"/>
  <c r="Q16" i="12"/>
  <c r="D16" i="6"/>
  <c r="H16" i="6"/>
  <c r="L16" i="6"/>
  <c r="O14" i="6"/>
  <c r="I14" i="6"/>
  <c r="Q14" i="12" s="1"/>
  <c r="Q11" i="12"/>
  <c r="P11" i="12"/>
  <c r="C11" i="6"/>
  <c r="L11" i="5" s="1"/>
  <c r="M11" i="5" s="1"/>
  <c r="G11" i="6"/>
  <c r="K11" i="6"/>
  <c r="N11" i="12" s="1"/>
  <c r="O11" i="6"/>
  <c r="N8" i="6"/>
  <c r="I8" i="6"/>
  <c r="Q8" i="12" s="1"/>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P29" i="12"/>
  <c r="D24" i="6"/>
  <c r="H24" i="6"/>
  <c r="L24" i="12" s="1"/>
  <c r="L24" i="6"/>
  <c r="O24" i="12" s="1"/>
  <c r="P19" i="12"/>
  <c r="C19" i="6"/>
  <c r="L19" i="5" s="1"/>
  <c r="M19" i="5" s="1"/>
  <c r="G19" i="6"/>
  <c r="K19" i="6"/>
  <c r="N19" i="12" s="1"/>
  <c r="O19" i="6"/>
  <c r="S14" i="12"/>
  <c r="B14" i="6"/>
  <c r="F14" i="6"/>
  <c r="J14" i="6"/>
  <c r="N14" i="6"/>
  <c r="D8" i="6"/>
  <c r="H8" i="6"/>
  <c r="L8" i="6"/>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S25" i="12"/>
  <c r="Q25" i="12"/>
  <c r="P25" i="12"/>
  <c r="R25" i="12"/>
  <c r="S21" i="12"/>
  <c r="Q21" i="12"/>
  <c r="P21" i="12"/>
  <c r="R21" i="12"/>
  <c r="S17" i="12"/>
  <c r="Q17" i="12"/>
  <c r="P17" i="12"/>
  <c r="R17" i="12"/>
  <c r="S13" i="12"/>
  <c r="Q13" i="12"/>
  <c r="P13" i="12"/>
  <c r="R13" i="12"/>
  <c r="S9" i="12"/>
  <c r="Q9"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L190" i="12"/>
  <c r="B190" i="12"/>
  <c r="F190" i="12"/>
  <c r="J190" i="12"/>
  <c r="N190" i="12"/>
  <c r="K180" i="12"/>
  <c r="K176" i="12"/>
  <c r="O172" i="12"/>
  <c r="G172" i="12"/>
  <c r="D170" i="12"/>
  <c r="H170" i="12"/>
  <c r="L170" i="12"/>
  <c r="B170" i="12"/>
  <c r="F170" i="12"/>
  <c r="J170" i="12"/>
  <c r="N170" i="12"/>
  <c r="R170" i="12"/>
  <c r="O168" i="12"/>
  <c r="G168" i="12"/>
  <c r="D166" i="12"/>
  <c r="H166" i="12"/>
  <c r="L166" i="12"/>
  <c r="P166" i="12"/>
  <c r="B166" i="12"/>
  <c r="F166" i="12"/>
  <c r="N166" i="12"/>
  <c r="R166" i="12"/>
  <c r="O164" i="12"/>
  <c r="G164" i="12"/>
  <c r="M158"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N188" i="12"/>
  <c r="D188" i="12"/>
  <c r="B184" i="12"/>
  <c r="F184" i="12"/>
  <c r="N184" i="12"/>
  <c r="D184" i="12"/>
  <c r="L184" i="12"/>
  <c r="B180" i="12"/>
  <c r="F180" i="12"/>
  <c r="J180" i="12"/>
  <c r="N180" i="12"/>
  <c r="D180" i="12"/>
  <c r="H180" i="12"/>
  <c r="B176" i="12"/>
  <c r="F176" i="12"/>
  <c r="J176" i="12"/>
  <c r="N176" i="12"/>
  <c r="D176" i="12"/>
  <c r="H176" i="12"/>
  <c r="M172" i="12"/>
  <c r="E172" i="12"/>
  <c r="M168" i="12"/>
  <c r="E168" i="12"/>
  <c r="E164" i="12"/>
  <c r="C162" i="12"/>
  <c r="G162" i="12"/>
  <c r="K162" i="12"/>
  <c r="O162" i="12"/>
  <c r="S162" i="12"/>
  <c r="D162" i="12"/>
  <c r="H162" i="12"/>
  <c r="L162" i="12"/>
  <c r="P162" i="12"/>
  <c r="B162" i="12"/>
  <c r="F162" i="12"/>
  <c r="J162" i="12"/>
  <c r="N162" i="12"/>
  <c r="R162" i="12"/>
  <c r="I158" i="12"/>
  <c r="C154" i="12"/>
  <c r="G154" i="12"/>
  <c r="K154" i="12"/>
  <c r="O154" i="12"/>
  <c r="S154" i="12"/>
  <c r="D154" i="12"/>
  <c r="H154" i="12"/>
  <c r="L154" i="12"/>
  <c r="P154" i="12"/>
  <c r="B154" i="12"/>
  <c r="F154" i="12"/>
  <c r="J154" i="12"/>
  <c r="N154" i="12"/>
  <c r="R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M190" i="12"/>
  <c r="E190" i="12"/>
  <c r="G188" i="12"/>
  <c r="D186" i="12"/>
  <c r="L186" i="12"/>
  <c r="B186" i="12"/>
  <c r="F186" i="12"/>
  <c r="O184" i="12"/>
  <c r="G184" i="12"/>
  <c r="D182" i="12"/>
  <c r="H182" i="12"/>
  <c r="L182" i="12"/>
  <c r="B182" i="12"/>
  <c r="F182" i="12"/>
  <c r="J182" i="12"/>
  <c r="N182" i="12"/>
  <c r="O180" i="12"/>
  <c r="G180" i="12"/>
  <c r="D178" i="12"/>
  <c r="H178" i="12"/>
  <c r="L178" i="12"/>
  <c r="B178" i="12"/>
  <c r="F178" i="12"/>
  <c r="N178" i="12"/>
  <c r="O176" i="12"/>
  <c r="G176" i="12"/>
  <c r="D174" i="12"/>
  <c r="H174" i="12"/>
  <c r="L174" i="12"/>
  <c r="B174" i="12"/>
  <c r="F174" i="12"/>
  <c r="J174" i="12"/>
  <c r="N174" i="12"/>
  <c r="S172" i="12"/>
  <c r="K172" i="12"/>
  <c r="M170" i="12"/>
  <c r="E170" i="12"/>
  <c r="S168" i="12"/>
  <c r="M166" i="12"/>
  <c r="E166" i="12"/>
  <c r="S164" i="12"/>
  <c r="K164" i="12"/>
  <c r="M162" i="12"/>
  <c r="M154"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J172" i="12"/>
  <c r="N172" i="12"/>
  <c r="R172" i="12"/>
  <c r="D172" i="12"/>
  <c r="H172" i="12"/>
  <c r="L172" i="12"/>
  <c r="P172" i="12"/>
  <c r="B168" i="12"/>
  <c r="F168" i="12"/>
  <c r="J168" i="12"/>
  <c r="N168" i="12"/>
  <c r="R168" i="12"/>
  <c r="D168" i="12"/>
  <c r="H168" i="12"/>
  <c r="L168" i="12"/>
  <c r="P168" i="12"/>
  <c r="B164" i="12"/>
  <c r="F164" i="12"/>
  <c r="J164" i="12"/>
  <c r="N164" i="12"/>
  <c r="R164" i="12"/>
  <c r="D164" i="12"/>
  <c r="H164" i="12"/>
  <c r="L164" i="12"/>
  <c r="P164" i="12"/>
  <c r="C158" i="12"/>
  <c r="G158" i="12"/>
  <c r="K158" i="12"/>
  <c r="O158" i="12"/>
  <c r="D158" i="12"/>
  <c r="H158" i="12"/>
  <c r="L158" i="12"/>
  <c r="P158" i="12"/>
  <c r="B158" i="12"/>
  <c r="F158" i="12"/>
  <c r="J158" i="12"/>
  <c r="O16" i="11"/>
  <c r="K16" i="11"/>
  <c r="G16" i="11"/>
  <c r="O12" i="11"/>
  <c r="K12" i="11"/>
  <c r="G12" i="11"/>
  <c r="O8" i="11"/>
  <c r="K8" i="11"/>
  <c r="G8" i="11"/>
  <c r="O187" i="12"/>
  <c r="G187" i="12"/>
  <c r="O183" i="12"/>
  <c r="K183" i="12"/>
  <c r="G183" i="12"/>
  <c r="O179" i="12"/>
  <c r="K179" i="12"/>
  <c r="G179" i="12"/>
  <c r="O175" i="12"/>
  <c r="K175" i="12"/>
  <c r="G175" i="12"/>
  <c r="O171" i="12"/>
  <c r="K171" i="12"/>
  <c r="G171" i="12"/>
  <c r="S167" i="12"/>
  <c r="O167" i="12"/>
  <c r="K167" i="12"/>
  <c r="G167" i="12"/>
  <c r="S163" i="12"/>
  <c r="O163" i="12"/>
  <c r="K163" i="12"/>
  <c r="G163" i="12"/>
  <c r="P160" i="12"/>
  <c r="L160" i="12"/>
  <c r="H160" i="12"/>
  <c r="D160" i="12"/>
  <c r="S159" i="12"/>
  <c r="O159" i="12"/>
  <c r="K159" i="12"/>
  <c r="G159" i="12"/>
  <c r="P156" i="12"/>
  <c r="L156" i="12"/>
  <c r="H156" i="12"/>
  <c r="D156" i="12"/>
  <c r="S155" i="12"/>
  <c r="O155" i="12"/>
  <c r="G155" i="12"/>
  <c r="P152" i="12"/>
  <c r="H152" i="12"/>
  <c r="D152" i="12"/>
  <c r="S151" i="12"/>
  <c r="O151" i="12"/>
  <c r="G151" i="12"/>
  <c r="J150" i="12"/>
  <c r="F150" i="12"/>
  <c r="B150" i="12"/>
  <c r="P148" i="12"/>
  <c r="L148" i="12"/>
  <c r="H148" i="12"/>
  <c r="D148" i="12"/>
  <c r="S147" i="12"/>
  <c r="O147" i="12"/>
  <c r="G147" i="12"/>
  <c r="R146" i="12"/>
  <c r="N146" i="12"/>
  <c r="F146" i="12"/>
  <c r="B146" i="12"/>
  <c r="P144" i="12"/>
  <c r="L144" i="12"/>
  <c r="H144" i="12"/>
  <c r="D144" i="12"/>
  <c r="R142" i="12"/>
  <c r="M142" i="12"/>
  <c r="G142" i="12"/>
  <c r="E141" i="12"/>
  <c r="S140" i="12"/>
  <c r="D138" i="12"/>
  <c r="L138" i="12"/>
  <c r="N137" i="12"/>
  <c r="I137" i="12"/>
  <c r="B136" i="12"/>
  <c r="F136" i="12"/>
  <c r="J136" i="12"/>
  <c r="N136" i="12"/>
  <c r="R136" i="12"/>
  <c r="O134" i="12"/>
  <c r="J134" i="12"/>
  <c r="E134" i="12"/>
  <c r="M133" i="12"/>
  <c r="H133" i="12"/>
  <c r="K132" i="12"/>
  <c r="E132" i="12"/>
  <c r="S130" i="12"/>
  <c r="N130" i="12"/>
  <c r="I130" i="12"/>
  <c r="C129" i="12"/>
  <c r="G129" i="12"/>
  <c r="K129" i="12"/>
  <c r="O129" i="12"/>
  <c r="S129" i="12"/>
  <c r="O128" i="12"/>
  <c r="R126" i="12"/>
  <c r="M126" i="12"/>
  <c r="G126" i="12"/>
  <c r="P125" i="12"/>
  <c r="J125" i="12"/>
  <c r="E125" i="12"/>
  <c r="S124" i="12"/>
  <c r="M124" i="12"/>
  <c r="D122" i="12"/>
  <c r="H122" i="12"/>
  <c r="S120" i="12"/>
  <c r="K120" i="12"/>
  <c r="B118" i="12"/>
  <c r="F118" i="12"/>
  <c r="J118" i="12"/>
  <c r="D118" i="12"/>
  <c r="H118" i="12"/>
  <c r="L118" i="12"/>
  <c r="P118" i="12"/>
  <c r="S116" i="12"/>
  <c r="K116" i="12"/>
  <c r="B114" i="12"/>
  <c r="F114" i="12"/>
  <c r="J114" i="12"/>
  <c r="N114" i="12"/>
  <c r="R114" i="12"/>
  <c r="D114" i="12"/>
  <c r="H114" i="12"/>
  <c r="L114" i="12"/>
  <c r="P114" i="12"/>
  <c r="S112" i="12"/>
  <c r="K112" i="12"/>
  <c r="B110" i="12"/>
  <c r="F110" i="12"/>
  <c r="N110" i="12"/>
  <c r="R110" i="12"/>
  <c r="D110" i="12"/>
  <c r="L110" i="12"/>
  <c r="P110" i="12"/>
  <c r="S108" i="12"/>
  <c r="B106" i="12"/>
  <c r="F106" i="12"/>
  <c r="J106" i="12"/>
  <c r="N106" i="12"/>
  <c r="R106" i="12"/>
  <c r="D106" i="12"/>
  <c r="H106" i="12"/>
  <c r="L106" i="12"/>
  <c r="P106" i="12"/>
  <c r="S104" i="12"/>
  <c r="K104" i="12"/>
  <c r="B102" i="12"/>
  <c r="F102" i="12"/>
  <c r="J102" i="12"/>
  <c r="N102" i="12"/>
  <c r="R102" i="12"/>
  <c r="D102" i="12"/>
  <c r="P102" i="12"/>
  <c r="S100" i="12"/>
  <c r="K100" i="12"/>
  <c r="D142" i="12"/>
  <c r="B140" i="12"/>
  <c r="F140" i="12"/>
  <c r="N140" i="12"/>
  <c r="R140" i="12"/>
  <c r="C133" i="12"/>
  <c r="G133" i="12"/>
  <c r="K133" i="12"/>
  <c r="O133" i="12"/>
  <c r="D126" i="12"/>
  <c r="H126" i="12"/>
  <c r="L126" i="12"/>
  <c r="P126" i="12"/>
  <c r="B124" i="12"/>
  <c r="F124" i="12"/>
  <c r="N124" i="12"/>
  <c r="R124" i="12"/>
  <c r="D120" i="12"/>
  <c r="H120" i="12"/>
  <c r="L120" i="12"/>
  <c r="P120" i="12"/>
  <c r="B120" i="12"/>
  <c r="F120" i="12"/>
  <c r="J120" i="12"/>
  <c r="N120" i="12"/>
  <c r="R120" i="12"/>
  <c r="D116" i="12"/>
  <c r="H116" i="12"/>
  <c r="L116" i="12"/>
  <c r="P116" i="12"/>
  <c r="B116" i="12"/>
  <c r="F116" i="12"/>
  <c r="J116" i="12"/>
  <c r="N116" i="12"/>
  <c r="R116" i="12"/>
  <c r="D112" i="12"/>
  <c r="H112" i="12"/>
  <c r="L112" i="12"/>
  <c r="P112" i="12"/>
  <c r="B112" i="12"/>
  <c r="F112" i="12"/>
  <c r="J112" i="12"/>
  <c r="N112" i="12"/>
  <c r="R112" i="12"/>
  <c r="D108" i="12"/>
  <c r="H108" i="12"/>
  <c r="L108" i="12"/>
  <c r="P108" i="12"/>
  <c r="B108" i="12"/>
  <c r="F108" i="12"/>
  <c r="N108" i="12"/>
  <c r="R108" i="12"/>
  <c r="D104" i="12"/>
  <c r="H104" i="12"/>
  <c r="L104" i="12"/>
  <c r="P104" i="12"/>
  <c r="B104" i="12"/>
  <c r="F104" i="12"/>
  <c r="J104" i="12"/>
  <c r="N104" i="12"/>
  <c r="R104" i="12"/>
  <c r="D100" i="12"/>
  <c r="L100" i="12"/>
  <c r="P100" i="12"/>
  <c r="B100" i="12"/>
  <c r="F100" i="12"/>
  <c r="J100" i="12"/>
  <c r="N100" i="12"/>
  <c r="R100" i="12"/>
  <c r="R160" i="12"/>
  <c r="N160" i="12"/>
  <c r="F160" i="12"/>
  <c r="R156" i="12"/>
  <c r="N156" i="12"/>
  <c r="J156" i="12"/>
  <c r="F156" i="12"/>
  <c r="R152" i="12"/>
  <c r="N152" i="12"/>
  <c r="J152" i="12"/>
  <c r="F152" i="12"/>
  <c r="P150" i="12"/>
  <c r="L150" i="12"/>
  <c r="H150" i="12"/>
  <c r="D150" i="12"/>
  <c r="R148" i="12"/>
  <c r="N148" i="12"/>
  <c r="J148" i="12"/>
  <c r="F148" i="12"/>
  <c r="P146" i="12"/>
  <c r="L146" i="12"/>
  <c r="D146" i="12"/>
  <c r="R144" i="12"/>
  <c r="N144" i="12"/>
  <c r="J144" i="12"/>
  <c r="F144" i="12"/>
  <c r="O142" i="12"/>
  <c r="E142" i="12"/>
  <c r="R141" i="12"/>
  <c r="M141" i="12"/>
  <c r="P140" i="12"/>
  <c r="E140" i="12"/>
  <c r="C137" i="12"/>
  <c r="G137" i="12"/>
  <c r="K137" i="12"/>
  <c r="O137" i="12"/>
  <c r="S137" i="12"/>
  <c r="R134" i="12"/>
  <c r="M134" i="12"/>
  <c r="G134" i="12"/>
  <c r="P133" i="12"/>
  <c r="E133" i="12"/>
  <c r="H132" i="12"/>
  <c r="D130" i="12"/>
  <c r="H130" i="12"/>
  <c r="L130" i="12"/>
  <c r="P130" i="12"/>
  <c r="B128" i="12"/>
  <c r="F128" i="12"/>
  <c r="J128" i="12"/>
  <c r="N128" i="12"/>
  <c r="R128" i="12"/>
  <c r="O126" i="12"/>
  <c r="J126" i="12"/>
  <c r="E126" i="12"/>
  <c r="R125" i="12"/>
  <c r="M125" i="12"/>
  <c r="H125" i="12"/>
  <c r="P124" i="12"/>
  <c r="E124" i="12"/>
  <c r="O120" i="12"/>
  <c r="G120" i="12"/>
  <c r="O116" i="12"/>
  <c r="G116" i="12"/>
  <c r="O112" i="12"/>
  <c r="G112" i="12"/>
  <c r="O108" i="12"/>
  <c r="G108" i="12"/>
  <c r="M106" i="12"/>
  <c r="E106" i="12"/>
  <c r="O104" i="12"/>
  <c r="G104" i="12"/>
  <c r="M102" i="12"/>
  <c r="E102" i="12"/>
  <c r="G100" i="12"/>
  <c r="C96" i="12"/>
  <c r="G96" i="12"/>
  <c r="K96" i="12"/>
  <c r="O96" i="12"/>
  <c r="S96" i="12"/>
  <c r="D96" i="12"/>
  <c r="H96" i="12"/>
  <c r="L96" i="12"/>
  <c r="B96" i="12"/>
  <c r="F96" i="12"/>
  <c r="J96" i="12"/>
  <c r="N96" i="12"/>
  <c r="R96" i="12"/>
  <c r="O150" i="12"/>
  <c r="G150" i="12"/>
  <c r="S146" i="12"/>
  <c r="O146" i="12"/>
  <c r="G146" i="12"/>
  <c r="S142" i="12"/>
  <c r="N142" i="12"/>
  <c r="I142" i="12"/>
  <c r="C142" i="12"/>
  <c r="C141" i="12"/>
  <c r="G141" i="12"/>
  <c r="O141" i="12"/>
  <c r="S141" i="12"/>
  <c r="O140" i="12"/>
  <c r="D140" i="12"/>
  <c r="D134" i="12"/>
  <c r="L134" i="12"/>
  <c r="P134" i="12"/>
  <c r="I133" i="12"/>
  <c r="D133" i="12"/>
  <c r="B132" i="12"/>
  <c r="F132" i="12"/>
  <c r="J132" i="12"/>
  <c r="S126" i="12"/>
  <c r="N126" i="12"/>
  <c r="I126" i="12"/>
  <c r="C126" i="12"/>
  <c r="C125" i="12"/>
  <c r="G125" i="12"/>
  <c r="K125" i="12"/>
  <c r="O125" i="12"/>
  <c r="S125" i="12"/>
  <c r="O124" i="12"/>
  <c r="D124" i="12"/>
  <c r="E120" i="12"/>
  <c r="M116" i="12"/>
  <c r="E116" i="12"/>
  <c r="M112" i="12"/>
  <c r="E112" i="12"/>
  <c r="M108" i="12"/>
  <c r="E108" i="12"/>
  <c r="M104" i="12"/>
  <c r="E104" i="12"/>
  <c r="E100" i="12"/>
  <c r="O121" i="12"/>
  <c r="K121" i="12"/>
  <c r="G121" i="12"/>
  <c r="S117" i="12"/>
  <c r="O117" i="12"/>
  <c r="K117" i="12"/>
  <c r="G117" i="12"/>
  <c r="S113" i="12"/>
  <c r="O113" i="12"/>
  <c r="K113" i="12"/>
  <c r="G113" i="12"/>
  <c r="S109" i="12"/>
  <c r="O109" i="12"/>
  <c r="G109" i="12"/>
  <c r="S105" i="12"/>
  <c r="O105" i="12"/>
  <c r="K105" i="12"/>
  <c r="G105" i="12"/>
  <c r="S101" i="12"/>
  <c r="O101" i="12"/>
  <c r="K101" i="12"/>
  <c r="G101" i="12"/>
  <c r="L98" i="12"/>
  <c r="D98" i="12"/>
  <c r="S97" i="12"/>
  <c r="O97" i="12"/>
  <c r="K97" i="12"/>
  <c r="G97" i="12"/>
  <c r="P94" i="12"/>
  <c r="L94" i="12"/>
  <c r="H94" i="12"/>
  <c r="D94" i="12"/>
  <c r="S93" i="12"/>
  <c r="K93" i="12"/>
  <c r="G93" i="12"/>
  <c r="R92" i="12"/>
  <c r="N92" i="12"/>
  <c r="J92" i="12"/>
  <c r="F92" i="12"/>
  <c r="B92" i="12"/>
  <c r="P90" i="12"/>
  <c r="L90" i="12"/>
  <c r="H90" i="12"/>
  <c r="D90" i="12"/>
  <c r="S89" i="12"/>
  <c r="K89" i="12"/>
  <c r="G89" i="12"/>
  <c r="R88" i="12"/>
  <c r="N88" i="12"/>
  <c r="J88" i="12"/>
  <c r="F88" i="12"/>
  <c r="B88" i="12"/>
  <c r="H86" i="12"/>
  <c r="D86" i="12"/>
  <c r="S85" i="12"/>
  <c r="O85" i="12"/>
  <c r="K85" i="12"/>
  <c r="G85" i="12"/>
  <c r="R84" i="12"/>
  <c r="N84" i="12"/>
  <c r="J84" i="12"/>
  <c r="F84" i="12"/>
  <c r="B84" i="12"/>
  <c r="S81" i="12"/>
  <c r="N81" i="12"/>
  <c r="I81" i="12"/>
  <c r="C80" i="12"/>
  <c r="G80" i="12"/>
  <c r="K80" i="12"/>
  <c r="O80" i="12"/>
  <c r="S80" i="12"/>
  <c r="I79" i="12"/>
  <c r="M77" i="12"/>
  <c r="G77" i="12"/>
  <c r="P76" i="12"/>
  <c r="J76" i="12"/>
  <c r="E76" i="12"/>
  <c r="S75" i="12"/>
  <c r="M75" i="12"/>
  <c r="H75" i="12"/>
  <c r="D73" i="12"/>
  <c r="H73" i="12"/>
  <c r="L73" i="12"/>
  <c r="P73" i="12"/>
  <c r="B71" i="12"/>
  <c r="F71" i="12"/>
  <c r="J71" i="12"/>
  <c r="N71" i="12"/>
  <c r="R71" i="12"/>
  <c r="D71" i="12"/>
  <c r="H71" i="12"/>
  <c r="L71" i="12"/>
  <c r="P71" i="12"/>
  <c r="O69" i="12"/>
  <c r="G69" i="12"/>
  <c r="R68" i="12"/>
  <c r="I68" i="12"/>
  <c r="Q67" i="12"/>
  <c r="O66" i="12"/>
  <c r="D60" i="12"/>
  <c r="H60" i="12"/>
  <c r="L60" i="12"/>
  <c r="P60" i="12"/>
  <c r="B60" i="12"/>
  <c r="G60" i="12"/>
  <c r="R60" i="12"/>
  <c r="E60" i="12"/>
  <c r="J60" i="12"/>
  <c r="O60" i="12"/>
  <c r="I59" i="12"/>
  <c r="Q58" i="12"/>
  <c r="Q52" i="12"/>
  <c r="N51" i="12"/>
  <c r="D77" i="12"/>
  <c r="H77" i="12"/>
  <c r="L77" i="12"/>
  <c r="P77" i="12"/>
  <c r="B75" i="12"/>
  <c r="F75" i="12"/>
  <c r="J75" i="12"/>
  <c r="N75" i="12"/>
  <c r="R75" i="12"/>
  <c r="B66" i="12"/>
  <c r="F66" i="12"/>
  <c r="E66" i="12"/>
  <c r="P66" i="12"/>
  <c r="C66" i="12"/>
  <c r="M66" i="12"/>
  <c r="C51" i="12"/>
  <c r="G51" i="12"/>
  <c r="K51" i="12"/>
  <c r="O51" i="12"/>
  <c r="S51" i="12"/>
  <c r="B51" i="12"/>
  <c r="H51" i="12"/>
  <c r="M51" i="12"/>
  <c r="R51" i="12"/>
  <c r="E51" i="12"/>
  <c r="J51" i="12"/>
  <c r="P51" i="12"/>
  <c r="B50" i="12"/>
  <c r="F50" i="12"/>
  <c r="J50" i="12"/>
  <c r="N50" i="12"/>
  <c r="R50" i="12"/>
  <c r="D50" i="12"/>
  <c r="O50" i="12"/>
  <c r="E50" i="12"/>
  <c r="K50" i="12"/>
  <c r="C50" i="12"/>
  <c r="H50" i="12"/>
  <c r="S50" i="12"/>
  <c r="R98" i="12"/>
  <c r="N98" i="12"/>
  <c r="J98" i="12"/>
  <c r="F98" i="12"/>
  <c r="R94" i="12"/>
  <c r="N94" i="12"/>
  <c r="J94" i="12"/>
  <c r="F94" i="12"/>
  <c r="P92" i="12"/>
  <c r="L92" i="12"/>
  <c r="H92" i="12"/>
  <c r="D92" i="12"/>
  <c r="R90" i="12"/>
  <c r="N90" i="12"/>
  <c r="F90" i="12"/>
  <c r="H88" i="12"/>
  <c r="D88" i="12"/>
  <c r="R86" i="12"/>
  <c r="N86" i="12"/>
  <c r="J86" i="12"/>
  <c r="F86" i="12"/>
  <c r="P84" i="12"/>
  <c r="L84" i="12"/>
  <c r="D84" i="12"/>
  <c r="D81" i="12"/>
  <c r="H81" i="12"/>
  <c r="L81" i="12"/>
  <c r="P81" i="12"/>
  <c r="B79" i="12"/>
  <c r="F79" i="12"/>
  <c r="J79" i="12"/>
  <c r="N79" i="12"/>
  <c r="R79" i="12"/>
  <c r="O77" i="12"/>
  <c r="J77" i="12"/>
  <c r="E77" i="12"/>
  <c r="R76" i="12"/>
  <c r="M76" i="12"/>
  <c r="H76" i="12"/>
  <c r="P75" i="12"/>
  <c r="E75" i="12"/>
  <c r="S69" i="12"/>
  <c r="K69" i="12"/>
  <c r="N68" i="12"/>
  <c r="C67" i="12"/>
  <c r="G67" i="12"/>
  <c r="K67" i="12"/>
  <c r="O67" i="12"/>
  <c r="S67" i="12"/>
  <c r="B67" i="12"/>
  <c r="H67" i="12"/>
  <c r="M67" i="12"/>
  <c r="R67" i="12"/>
  <c r="E67" i="12"/>
  <c r="J67" i="12"/>
  <c r="P67" i="12"/>
  <c r="N59" i="12"/>
  <c r="B58" i="12"/>
  <c r="F58" i="12"/>
  <c r="J58" i="12"/>
  <c r="N58" i="12"/>
  <c r="R58" i="12"/>
  <c r="C58" i="12"/>
  <c r="H58" i="12"/>
  <c r="M58" i="12"/>
  <c r="S58" i="12"/>
  <c r="E58" i="12"/>
  <c r="K58" i="12"/>
  <c r="P58" i="12"/>
  <c r="D52" i="12"/>
  <c r="H52" i="12"/>
  <c r="L52" i="12"/>
  <c r="P52" i="12"/>
  <c r="E52" i="12"/>
  <c r="J52" i="12"/>
  <c r="O52" i="12"/>
  <c r="B52" i="12"/>
  <c r="G52" i="12"/>
  <c r="M52" i="12"/>
  <c r="I51" i="12"/>
  <c r="S92" i="12"/>
  <c r="O92" i="12"/>
  <c r="K92" i="12"/>
  <c r="G92" i="12"/>
  <c r="S88" i="12"/>
  <c r="O88" i="12"/>
  <c r="K88" i="12"/>
  <c r="G88" i="12"/>
  <c r="S84" i="12"/>
  <c r="O84" i="12"/>
  <c r="K84" i="12"/>
  <c r="G84" i="12"/>
  <c r="I77" i="12"/>
  <c r="C77" i="12"/>
  <c r="C76" i="12"/>
  <c r="G76" i="12"/>
  <c r="K76" i="12"/>
  <c r="O76" i="12"/>
  <c r="S76" i="12"/>
  <c r="O75" i="12"/>
  <c r="I75" i="12"/>
  <c r="D75" i="12"/>
  <c r="D69" i="12"/>
  <c r="H69" i="12"/>
  <c r="L69" i="12"/>
  <c r="P69" i="12"/>
  <c r="B69" i="12"/>
  <c r="F69" i="12"/>
  <c r="N69" i="12"/>
  <c r="R69" i="12"/>
  <c r="D68" i="12"/>
  <c r="H68" i="12"/>
  <c r="L68" i="12"/>
  <c r="E68" i="12"/>
  <c r="J68" i="12"/>
  <c r="S68" i="12"/>
  <c r="B68" i="12"/>
  <c r="G68" i="12"/>
  <c r="M68" i="12"/>
  <c r="Q68" i="12"/>
  <c r="Q66" i="12"/>
  <c r="G66" i="12"/>
  <c r="C59" i="12"/>
  <c r="G59" i="12"/>
  <c r="K59" i="12"/>
  <c r="O59" i="12"/>
  <c r="S59" i="12"/>
  <c r="E59" i="12"/>
  <c r="J59" i="12"/>
  <c r="P59" i="12"/>
  <c r="B59" i="12"/>
  <c r="H59" i="12"/>
  <c r="M59" i="12"/>
  <c r="R59" i="12"/>
  <c r="Q51" i="12"/>
  <c r="F51" i="12"/>
  <c r="D64" i="12"/>
  <c r="H64" i="12"/>
  <c r="L64" i="12"/>
  <c r="P64" i="12"/>
  <c r="B62" i="12"/>
  <c r="F62" i="12"/>
  <c r="J62" i="12"/>
  <c r="N62" i="12"/>
  <c r="R62" i="12"/>
  <c r="C55" i="12"/>
  <c r="G55" i="12"/>
  <c r="K55" i="12"/>
  <c r="O55" i="12"/>
  <c r="S55" i="12"/>
  <c r="D48" i="12"/>
  <c r="H48" i="12"/>
  <c r="L48" i="12"/>
  <c r="P48" i="12"/>
  <c r="B46" i="12"/>
  <c r="F46" i="12"/>
  <c r="J46" i="12"/>
  <c r="N46" i="12"/>
  <c r="R46" i="12"/>
  <c r="O44" i="12"/>
  <c r="J44" i="12"/>
  <c r="E44" i="12"/>
  <c r="R43" i="12"/>
  <c r="M43" i="12"/>
  <c r="H43" i="12"/>
  <c r="K42" i="12"/>
  <c r="E42" i="12"/>
  <c r="C39" i="12"/>
  <c r="G39" i="12"/>
  <c r="K39" i="12"/>
  <c r="O39" i="12"/>
  <c r="S39" i="12"/>
  <c r="R36" i="12"/>
  <c r="M36" i="12"/>
  <c r="G36" i="12"/>
  <c r="D34" i="12"/>
  <c r="B34" i="12"/>
  <c r="F34" i="12"/>
  <c r="N34" i="12"/>
  <c r="R34" i="12"/>
  <c r="O32" i="12"/>
  <c r="G32" i="12"/>
  <c r="D30" i="12"/>
  <c r="H30" i="12"/>
  <c r="L30" i="12"/>
  <c r="P30" i="12"/>
  <c r="B30" i="12"/>
  <c r="F30" i="12"/>
  <c r="J30" i="12"/>
  <c r="N30" i="12"/>
  <c r="R30" i="12"/>
  <c r="G28" i="12"/>
  <c r="D26" i="12"/>
  <c r="H26" i="12"/>
  <c r="B26" i="12"/>
  <c r="F26" i="12"/>
  <c r="J26" i="12"/>
  <c r="N26" i="12"/>
  <c r="R26" i="12"/>
  <c r="G24" i="12"/>
  <c r="D22" i="12"/>
  <c r="H22" i="12"/>
  <c r="L22" i="12"/>
  <c r="P22" i="12"/>
  <c r="B22" i="12"/>
  <c r="F22" i="12"/>
  <c r="J22" i="12"/>
  <c r="N22" i="12"/>
  <c r="R22" i="12"/>
  <c r="O20" i="12"/>
  <c r="G20" i="12"/>
  <c r="D18" i="12"/>
  <c r="H18" i="12"/>
  <c r="B18" i="12"/>
  <c r="F18" i="12"/>
  <c r="O16" i="12"/>
  <c r="G16" i="12"/>
  <c r="D14" i="12"/>
  <c r="H14" i="12"/>
  <c r="L14" i="12"/>
  <c r="P14" i="12"/>
  <c r="B14" i="12"/>
  <c r="F14" i="12"/>
  <c r="J14" i="12"/>
  <c r="N14" i="12"/>
  <c r="R14" i="12"/>
  <c r="O12" i="12"/>
  <c r="G12" i="12"/>
  <c r="D10" i="12"/>
  <c r="L10" i="12"/>
  <c r="P10" i="12"/>
  <c r="B10" i="12"/>
  <c r="F10" i="12"/>
  <c r="N10" i="12"/>
  <c r="R10" i="12"/>
  <c r="O8" i="12"/>
  <c r="G8" i="12"/>
  <c r="C43" i="12"/>
  <c r="G43" i="12"/>
  <c r="K43" i="12"/>
  <c r="O43" i="12"/>
  <c r="S43" i="12"/>
  <c r="D36" i="12"/>
  <c r="H36" i="12"/>
  <c r="L36" i="12"/>
  <c r="P36" i="12"/>
  <c r="M8" i="12"/>
  <c r="E8" i="12"/>
  <c r="B187" i="13"/>
  <c r="F187" i="13"/>
  <c r="D187" i="13"/>
  <c r="B183" i="13"/>
  <c r="F183" i="13"/>
  <c r="D183" i="13"/>
  <c r="B179" i="13"/>
  <c r="F179" i="13"/>
  <c r="D179" i="13"/>
  <c r="S72" i="12"/>
  <c r="O72" i="12"/>
  <c r="K72" i="12"/>
  <c r="G72" i="12"/>
  <c r="I64" i="12"/>
  <c r="C64" i="12"/>
  <c r="C63" i="12"/>
  <c r="G63" i="12"/>
  <c r="K63" i="12"/>
  <c r="O63" i="12"/>
  <c r="S63" i="12"/>
  <c r="O62" i="12"/>
  <c r="I62" i="12"/>
  <c r="D62" i="12"/>
  <c r="D56" i="12"/>
  <c r="H56" i="12"/>
  <c r="L56" i="12"/>
  <c r="P56" i="12"/>
  <c r="N55" i="12"/>
  <c r="I55" i="12"/>
  <c r="D55" i="12"/>
  <c r="B54" i="12"/>
  <c r="F54" i="12"/>
  <c r="J54" i="12"/>
  <c r="N54" i="12"/>
  <c r="R54" i="12"/>
  <c r="S48" i="12"/>
  <c r="I48" i="12"/>
  <c r="C48" i="12"/>
  <c r="C47" i="12"/>
  <c r="G47" i="12"/>
  <c r="K47" i="12"/>
  <c r="O47" i="12"/>
  <c r="O46" i="12"/>
  <c r="D46" i="12"/>
  <c r="R44" i="12"/>
  <c r="M44" i="12"/>
  <c r="G44" i="12"/>
  <c r="P43" i="12"/>
  <c r="J43" i="12"/>
  <c r="E43" i="12"/>
  <c r="S42" i="12"/>
  <c r="M42" i="12"/>
  <c r="H42" i="12"/>
  <c r="D40" i="12"/>
  <c r="L40" i="12"/>
  <c r="P40" i="12"/>
  <c r="N39" i="12"/>
  <c r="D39" i="12"/>
  <c r="B38" i="12"/>
  <c r="F38" i="12"/>
  <c r="J38" i="12"/>
  <c r="N38" i="12"/>
  <c r="R38" i="12"/>
  <c r="O36" i="12"/>
  <c r="J36" i="12"/>
  <c r="E36" i="12"/>
  <c r="M34" i="12"/>
  <c r="E34" i="12"/>
  <c r="M30" i="12"/>
  <c r="E30" i="12"/>
  <c r="S28" i="12"/>
  <c r="M26" i="12"/>
  <c r="E26" i="12"/>
  <c r="S24" i="12"/>
  <c r="K24" i="12"/>
  <c r="E22" i="12"/>
  <c r="S20" i="12"/>
  <c r="K20" i="12"/>
  <c r="M18" i="12"/>
  <c r="E18" i="12"/>
  <c r="S16" i="12"/>
  <c r="M14" i="12"/>
  <c r="E14" i="12"/>
  <c r="S12" i="12"/>
  <c r="K12" i="12"/>
  <c r="M10" i="12"/>
  <c r="E10" i="12"/>
  <c r="S8" i="12"/>
  <c r="G187" i="13"/>
  <c r="D185" i="13"/>
  <c r="B185" i="13"/>
  <c r="F185" i="13"/>
  <c r="G183" i="13"/>
  <c r="D181" i="13"/>
  <c r="B181" i="13"/>
  <c r="F181" i="13"/>
  <c r="G179" i="13"/>
  <c r="C172" i="13"/>
  <c r="G172" i="13"/>
  <c r="B172" i="13"/>
  <c r="D172" i="13"/>
  <c r="E172" i="13"/>
  <c r="D44" i="12"/>
  <c r="H44" i="12"/>
  <c r="L44" i="12"/>
  <c r="P44" i="12"/>
  <c r="N43" i="12"/>
  <c r="I43" i="12"/>
  <c r="D43" i="12"/>
  <c r="B42" i="12"/>
  <c r="F42" i="12"/>
  <c r="J42" i="12"/>
  <c r="N42" i="12"/>
  <c r="R42" i="12"/>
  <c r="S36" i="12"/>
  <c r="N36" i="12"/>
  <c r="C36" i="12"/>
  <c r="B32" i="12"/>
  <c r="F32" i="12"/>
  <c r="R32" i="12"/>
  <c r="D32" i="12"/>
  <c r="L32" i="12"/>
  <c r="P32" i="12"/>
  <c r="B28" i="12"/>
  <c r="F28" i="12"/>
  <c r="N28" i="12"/>
  <c r="R28" i="12"/>
  <c r="D28" i="12"/>
  <c r="L28" i="12"/>
  <c r="P28" i="12"/>
  <c r="B24" i="12"/>
  <c r="F24" i="12"/>
  <c r="J24" i="12"/>
  <c r="N24" i="12"/>
  <c r="R24" i="12"/>
  <c r="D24" i="12"/>
  <c r="H24" i="12"/>
  <c r="B20" i="12"/>
  <c r="F20" i="12"/>
  <c r="J20" i="12"/>
  <c r="N20" i="12"/>
  <c r="R20" i="12"/>
  <c r="D20" i="12"/>
  <c r="H20" i="12"/>
  <c r="L20" i="12"/>
  <c r="B16" i="12"/>
  <c r="F16" i="12"/>
  <c r="J16" i="12"/>
  <c r="N16" i="12"/>
  <c r="R16" i="12"/>
  <c r="D16" i="12"/>
  <c r="H16" i="12"/>
  <c r="L16" i="12"/>
  <c r="P16" i="12"/>
  <c r="B12" i="12"/>
  <c r="F12" i="12"/>
  <c r="J12" i="12"/>
  <c r="N12" i="12"/>
  <c r="R12" i="12"/>
  <c r="D12" i="12"/>
  <c r="L12" i="12"/>
  <c r="P12" i="12"/>
  <c r="B8" i="12"/>
  <c r="F8" i="12"/>
  <c r="J8" i="12"/>
  <c r="N8" i="12"/>
  <c r="R8" i="12"/>
  <c r="D8" i="12"/>
  <c r="L8" i="12"/>
  <c r="P8" i="12"/>
  <c r="S35" i="12"/>
  <c r="O35" i="12"/>
  <c r="K35" i="12"/>
  <c r="G35" i="12"/>
  <c r="S31" i="12"/>
  <c r="O31" i="12"/>
  <c r="K31" i="12"/>
  <c r="G31" i="12"/>
  <c r="S27" i="12"/>
  <c r="O27" i="12"/>
  <c r="K27" i="12"/>
  <c r="G27" i="12"/>
  <c r="S23" i="12"/>
  <c r="O23" i="12"/>
  <c r="K23" i="12"/>
  <c r="G23" i="12"/>
  <c r="S19" i="12"/>
  <c r="O19" i="12"/>
  <c r="K19" i="12"/>
  <c r="G19" i="12"/>
  <c r="S15" i="12"/>
  <c r="O15" i="12"/>
  <c r="K15" i="12"/>
  <c r="G15" i="12"/>
  <c r="S11" i="12"/>
  <c r="O11" i="12"/>
  <c r="G11" i="12"/>
  <c r="S7" i="12"/>
  <c r="O7" i="12"/>
  <c r="K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G186" i="14" s="1"/>
  <c r="F186" i="14"/>
  <c r="B180" i="14"/>
  <c r="G180" i="14" s="1"/>
  <c r="F180" i="14"/>
  <c r="D180" i="14"/>
  <c r="E178" i="14"/>
  <c r="D176" i="14"/>
  <c r="E171" i="14"/>
  <c r="B170" i="14"/>
  <c r="G170" i="14" s="1"/>
  <c r="F170" i="14"/>
  <c r="E166" i="14"/>
  <c r="B163" i="14"/>
  <c r="E160" i="14"/>
  <c r="E155" i="14"/>
  <c r="B154" i="14"/>
  <c r="G154" i="14" s="1"/>
  <c r="F154" i="14"/>
  <c r="B152" i="14"/>
  <c r="E150" i="14"/>
  <c r="B147" i="14"/>
  <c r="E144" i="14"/>
  <c r="E139" i="14"/>
  <c r="B138" i="14"/>
  <c r="G138" i="14" s="1"/>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F3" i="21" s="1"/>
  <c r="B162" i="14"/>
  <c r="G162" i="14" s="1"/>
  <c r="F162" i="14"/>
  <c r="B160" i="14"/>
  <c r="G160" i="14" s="1"/>
  <c r="D159" i="14"/>
  <c r="E158" i="14"/>
  <c r="B155" i="14"/>
  <c r="D154" i="14"/>
  <c r="E152" i="14"/>
  <c r="C148" i="14"/>
  <c r="E147" i="14"/>
  <c r="B146" i="14"/>
  <c r="G146" i="14" s="1"/>
  <c r="F146" i="14"/>
  <c r="B144" i="14"/>
  <c r="D143" i="14"/>
  <c r="E142" i="14"/>
  <c r="B139" i="14"/>
  <c r="D138" i="14"/>
  <c r="E136" i="14"/>
  <c r="E130" i="14"/>
  <c r="B128" i="14"/>
  <c r="F128" i="14"/>
  <c r="D128" i="14"/>
  <c r="D122" i="14"/>
  <c r="B122" i="14"/>
  <c r="G122" i="14" s="1"/>
  <c r="F122" i="14"/>
  <c r="E120" i="14"/>
  <c r="E114" i="14"/>
  <c r="B112" i="14"/>
  <c r="G112" i="14" s="1"/>
  <c r="F112" i="14"/>
  <c r="D112" i="14"/>
  <c r="D106" i="14"/>
  <c r="B106" i="14"/>
  <c r="G106" i="14" s="1"/>
  <c r="F106" i="14"/>
  <c r="E104" i="14"/>
  <c r="E98" i="14"/>
  <c r="B96" i="14"/>
  <c r="G96" i="14" s="1"/>
  <c r="F96" i="14"/>
  <c r="D96" i="14"/>
  <c r="D90" i="14"/>
  <c r="B90" i="14"/>
  <c r="G90" i="14" s="1"/>
  <c r="F90" i="14"/>
  <c r="E88" i="14"/>
  <c r="C82" i="14"/>
  <c r="D82" i="14"/>
  <c r="B82" i="14"/>
  <c r="G82" i="14" s="1"/>
  <c r="F82" i="14"/>
  <c r="B166" i="14"/>
  <c r="F166" i="14"/>
  <c r="D163" i="14"/>
  <c r="G159" i="14"/>
  <c r="D158" i="14"/>
  <c r="C152" i="14"/>
  <c r="B150" i="14"/>
  <c r="F150" i="14"/>
  <c r="D147" i="14"/>
  <c r="G143" i="14"/>
  <c r="D142" i="14"/>
  <c r="C136" i="14"/>
  <c r="B134" i="14"/>
  <c r="F134" i="14"/>
  <c r="B132" i="14"/>
  <c r="G132" i="14" s="1"/>
  <c r="D132" i="14"/>
  <c r="D126" i="14"/>
  <c r="B126" i="14"/>
  <c r="G126" i="14" s="1"/>
  <c r="F126" i="14"/>
  <c r="E124" i="14"/>
  <c r="E118" i="14"/>
  <c r="B116" i="14"/>
  <c r="G116" i="14" s="1"/>
  <c r="F116" i="14"/>
  <c r="D116" i="14"/>
  <c r="D110" i="14"/>
  <c r="B110" i="14"/>
  <c r="G110" i="14" s="1"/>
  <c r="F110" i="14"/>
  <c r="E108" i="14"/>
  <c r="E102" i="14"/>
  <c r="B100" i="14"/>
  <c r="G100" i="14" s="1"/>
  <c r="F100" i="14"/>
  <c r="D100" i="14"/>
  <c r="D94" i="14"/>
  <c r="B94" i="14"/>
  <c r="G94" i="14" s="1"/>
  <c r="F94" i="14"/>
  <c r="E92" i="14"/>
  <c r="E86" i="14"/>
  <c r="D84" i="14"/>
  <c r="D80" i="14"/>
  <c r="F78" i="14"/>
  <c r="B78" i="14"/>
  <c r="G78" i="14" s="1"/>
  <c r="D76" i="14"/>
  <c r="F74" i="14"/>
  <c r="B74" i="14"/>
  <c r="G74" i="14" s="1"/>
  <c r="D72" i="14"/>
  <c r="F70" i="14"/>
  <c r="B70" i="14"/>
  <c r="G70" i="14" s="1"/>
  <c r="D68" i="14"/>
  <c r="F66" i="14"/>
  <c r="B66" i="14"/>
  <c r="G66" i="14" s="1"/>
  <c r="D64" i="14"/>
  <c r="E62" i="14"/>
  <c r="B59" i="14"/>
  <c r="E56" i="14"/>
  <c r="C52" i="14"/>
  <c r="E51" i="14"/>
  <c r="B50" i="14"/>
  <c r="G50" i="14" s="1"/>
  <c r="F50" i="14"/>
  <c r="B48" i="14"/>
  <c r="B44" i="14"/>
  <c r="G44" i="14" s="1"/>
  <c r="F44" i="14"/>
  <c r="D44" i="14"/>
  <c r="D38" i="14"/>
  <c r="B38" i="14"/>
  <c r="G38" i="14" s="1"/>
  <c r="F38" i="14"/>
  <c r="B28" i="14"/>
  <c r="G28" i="14" s="1"/>
  <c r="F28" i="14"/>
  <c r="D28" i="14"/>
  <c r="D22" i="14"/>
  <c r="B22" i="14"/>
  <c r="G22" i="14" s="1"/>
  <c r="F22" i="14"/>
  <c r="B54" i="14"/>
  <c r="F54" i="14"/>
  <c r="D42" i="14"/>
  <c r="B42" i="14"/>
  <c r="F42" i="14"/>
  <c r="E40" i="14"/>
  <c r="G4" i="21"/>
  <c r="G37" i="14"/>
  <c r="B32" i="14"/>
  <c r="F32" i="14"/>
  <c r="D32" i="14"/>
  <c r="D26" i="14"/>
  <c r="B26" i="14"/>
  <c r="G26" i="14" s="1"/>
  <c r="F26" i="14"/>
  <c r="E24" i="14"/>
  <c r="F84" i="14"/>
  <c r="F80" i="14"/>
  <c r="D78" i="14"/>
  <c r="F76" i="14"/>
  <c r="D74" i="14"/>
  <c r="F72" i="14"/>
  <c r="D70" i="14"/>
  <c r="F68" i="14"/>
  <c r="D66" i="14"/>
  <c r="F64" i="14"/>
  <c r="E59" i="14"/>
  <c r="B58" i="14"/>
  <c r="G58" i="14" s="1"/>
  <c r="F58" i="14"/>
  <c r="B56" i="14"/>
  <c r="E54" i="14"/>
  <c r="B51" i="14"/>
  <c r="E48" i="14"/>
  <c r="D46" i="14"/>
  <c r="B46" i="14"/>
  <c r="G46" i="14" s="1"/>
  <c r="F46" i="14"/>
  <c r="B36" i="14"/>
  <c r="G36" i="14" s="1"/>
  <c r="F36" i="14"/>
  <c r="D36" i="14"/>
  <c r="D30" i="14"/>
  <c r="B30" i="14"/>
  <c r="G30" i="14" s="1"/>
  <c r="F30" i="14"/>
  <c r="B62" i="14"/>
  <c r="G62" i="14" s="1"/>
  <c r="F62" i="14"/>
  <c r="G55" i="14"/>
  <c r="D54" i="14"/>
  <c r="C48" i="14"/>
  <c r="E42" i="14"/>
  <c r="B40" i="14"/>
  <c r="F40" i="14"/>
  <c r="D40" i="14"/>
  <c r="D34" i="14"/>
  <c r="B34" i="14"/>
  <c r="G34" i="14" s="1"/>
  <c r="F34" i="14"/>
  <c r="E32" i="14"/>
  <c r="B24" i="14"/>
  <c r="G24" i="14" s="1"/>
  <c r="F24" i="14"/>
  <c r="D24" i="14"/>
  <c r="D20" i="14"/>
  <c r="F18" i="14"/>
  <c r="B18" i="14"/>
  <c r="G18" i="14" s="1"/>
  <c r="D16" i="14"/>
  <c r="F14" i="14"/>
  <c r="B14" i="14"/>
  <c r="G14" i="14" s="1"/>
  <c r="D12" i="14"/>
  <c r="F10" i="14"/>
  <c r="B10" i="14"/>
  <c r="G10" i="14" s="1"/>
  <c r="D8" i="14"/>
  <c r="F20" i="14"/>
  <c r="D18" i="14"/>
  <c r="F16" i="14"/>
  <c r="D14" i="14"/>
  <c r="F12" i="14"/>
  <c r="D10" i="14"/>
  <c r="F8" i="14"/>
  <c r="M60" i="12" l="1"/>
  <c r="G132" i="2"/>
  <c r="J64" i="2"/>
  <c r="K64" i="2" s="1"/>
  <c r="N12" i="2"/>
  <c r="O12" i="2" s="1"/>
  <c r="J155" i="2"/>
  <c r="K155" i="2" s="1"/>
  <c r="G35" i="14"/>
  <c r="N36" i="2"/>
  <c r="O36" i="2" s="1"/>
  <c r="K128" i="3"/>
  <c r="G80" i="14"/>
  <c r="E167" i="3"/>
  <c r="G39" i="14"/>
  <c r="K101" i="3"/>
  <c r="F40" i="2"/>
  <c r="G99" i="14"/>
  <c r="G33" i="14"/>
  <c r="G51" i="14"/>
  <c r="H151" i="3"/>
  <c r="G68" i="2"/>
  <c r="J34" i="12"/>
  <c r="K16" i="12"/>
  <c r="I50" i="12"/>
  <c r="H12" i="12"/>
  <c r="G52" i="2"/>
  <c r="H101" i="3"/>
  <c r="E40" i="3"/>
  <c r="F13" i="2"/>
  <c r="I36" i="12"/>
  <c r="E125" i="3"/>
  <c r="F36" i="2"/>
  <c r="P113" i="5"/>
  <c r="P127" i="5"/>
  <c r="P145" i="5"/>
  <c r="H153" i="12"/>
  <c r="H134" i="12"/>
  <c r="P11" i="5"/>
  <c r="P24" i="5"/>
  <c r="P35" i="5"/>
  <c r="P147" i="5"/>
  <c r="M36" i="5"/>
  <c r="I146" i="12"/>
  <c r="I161" i="12"/>
  <c r="P122" i="5"/>
  <c r="F173" i="2"/>
  <c r="I128" i="12"/>
  <c r="P47" i="5"/>
  <c r="E186" i="3"/>
  <c r="P141" i="5"/>
  <c r="P109" i="5"/>
  <c r="I39" i="12"/>
  <c r="F68" i="2"/>
  <c r="N32" i="12"/>
  <c r="M22" i="12"/>
  <c r="S47" i="12"/>
  <c r="J10" i="12"/>
  <c r="R158" i="12"/>
  <c r="M164" i="12"/>
  <c r="Q119" i="12"/>
  <c r="R157" i="12"/>
  <c r="N52" i="12"/>
  <c r="K66" i="7"/>
  <c r="D110" i="7"/>
  <c r="J65" i="12"/>
  <c r="K65" i="12"/>
  <c r="L9" i="7"/>
  <c r="H147" i="7"/>
  <c r="H147" i="12" s="1"/>
  <c r="F157" i="5"/>
  <c r="G157" i="5" s="1"/>
  <c r="K174" i="3"/>
  <c r="K188" i="12"/>
  <c r="J186" i="7"/>
  <c r="E44" i="5"/>
  <c r="F44" i="5" s="1"/>
  <c r="G44" i="5" s="1"/>
  <c r="K19" i="3"/>
  <c r="E173" i="3"/>
  <c r="N121" i="2"/>
  <c r="O121" i="2" s="1"/>
  <c r="L66" i="7"/>
  <c r="J147" i="7"/>
  <c r="E147" i="7"/>
  <c r="E12" i="3"/>
  <c r="M147" i="7"/>
  <c r="C186" i="7"/>
  <c r="I186" i="7"/>
  <c r="L88" i="12"/>
  <c r="J142" i="12"/>
  <c r="K187" i="12"/>
  <c r="N158" i="12"/>
  <c r="H188" i="12"/>
  <c r="M135" i="12"/>
  <c r="M158" i="5"/>
  <c r="G66" i="7"/>
  <c r="I110" i="7"/>
  <c r="I110" i="12" s="1"/>
  <c r="J133" i="12"/>
  <c r="C147" i="7"/>
  <c r="J185" i="12"/>
  <c r="J19" i="5"/>
  <c r="H189" i="12"/>
  <c r="H9" i="7"/>
  <c r="E66" i="7"/>
  <c r="D147" i="7"/>
  <c r="J106" i="5"/>
  <c r="F186" i="7"/>
  <c r="E105" i="3"/>
  <c r="H163" i="3"/>
  <c r="F66" i="7"/>
  <c r="K147" i="7"/>
  <c r="E146" i="3"/>
  <c r="N193" i="2"/>
  <c r="O193" i="2" s="1"/>
  <c r="G186" i="7"/>
  <c r="K66" i="12"/>
  <c r="J146" i="12"/>
  <c r="S171" i="12"/>
  <c r="Q29" i="12"/>
  <c r="M93" i="5"/>
  <c r="L141" i="12"/>
  <c r="C66" i="7"/>
  <c r="N110" i="7"/>
  <c r="I147" i="7"/>
  <c r="I147" i="12" s="1"/>
  <c r="J189" i="12"/>
  <c r="I186" i="12"/>
  <c r="J109" i="12"/>
  <c r="D9" i="7"/>
  <c r="J66" i="7"/>
  <c r="F63" i="5"/>
  <c r="G63" i="5" s="1"/>
  <c r="F143" i="5"/>
  <c r="G143" i="5" s="1"/>
  <c r="F148" i="5"/>
  <c r="G148" i="5" s="1"/>
  <c r="B186" i="7"/>
  <c r="I66" i="7"/>
  <c r="O186" i="7"/>
  <c r="K146" i="12"/>
  <c r="J141" i="12"/>
  <c r="Q28" i="12"/>
  <c r="L139" i="12"/>
  <c r="L65" i="12"/>
  <c r="N87" i="12"/>
  <c r="N147" i="7"/>
  <c r="I188" i="12"/>
  <c r="H185" i="12"/>
  <c r="I109" i="12"/>
  <c r="O9" i="7"/>
  <c r="K178" i="3"/>
  <c r="L186" i="7"/>
  <c r="K186" i="12" s="1"/>
  <c r="G26" i="2"/>
  <c r="P110" i="5"/>
  <c r="H16" i="3"/>
  <c r="I65" i="12"/>
  <c r="N66" i="7"/>
  <c r="H187" i="12"/>
  <c r="G119" i="14"/>
  <c r="P24" i="12"/>
  <c r="Q50" i="12"/>
  <c r="R66" i="12"/>
  <c r="K109" i="12"/>
  <c r="H142" i="12"/>
  <c r="N150" i="12"/>
  <c r="J188" i="12"/>
  <c r="S87" i="12"/>
  <c r="M82" i="5"/>
  <c r="L95" i="12"/>
  <c r="I184" i="12"/>
  <c r="K9" i="7"/>
  <c r="M70" i="5"/>
  <c r="F83" i="5"/>
  <c r="G83" i="5" s="1"/>
  <c r="H186" i="7"/>
  <c r="E62" i="3"/>
  <c r="G13" i="2"/>
  <c r="D66" i="7"/>
  <c r="M9" i="7"/>
  <c r="H10" i="12"/>
  <c r="I7" i="12"/>
  <c r="M165" i="12"/>
  <c r="I189" i="12"/>
  <c r="G9" i="7"/>
  <c r="D186" i="7"/>
  <c r="E100" i="5"/>
  <c r="F100" i="5" s="1"/>
  <c r="G100" i="5" s="1"/>
  <c r="H83" i="3"/>
  <c r="H136" i="3"/>
  <c r="J51" i="2"/>
  <c r="K51" i="2" s="1"/>
  <c r="N168" i="2"/>
  <c r="O168" i="2" s="1"/>
  <c r="B66" i="7"/>
  <c r="E9" i="7"/>
  <c r="G128" i="14"/>
  <c r="N64" i="12"/>
  <c r="I66" i="12"/>
  <c r="J66" i="12"/>
  <c r="S121" i="12"/>
  <c r="N132" i="12"/>
  <c r="N118" i="12"/>
  <c r="K147" i="12"/>
  <c r="H184" i="12"/>
  <c r="K184" i="12"/>
  <c r="Q100" i="12"/>
  <c r="I185" i="12"/>
  <c r="C9" i="7"/>
  <c r="H63" i="3"/>
  <c r="G30" i="2"/>
  <c r="F110" i="7"/>
  <c r="N189" i="2"/>
  <c r="O189" i="2" s="1"/>
  <c r="K186" i="7"/>
  <c r="J186" i="12" s="1"/>
  <c r="H8" i="12"/>
  <c r="S64" i="12"/>
  <c r="P26" i="12"/>
  <c r="Q95" i="12"/>
  <c r="M130" i="5"/>
  <c r="H66" i="7"/>
  <c r="H66" i="12" s="1"/>
  <c r="N9" i="7"/>
  <c r="O110" i="7"/>
  <c r="H54" i="3"/>
  <c r="M110" i="7"/>
  <c r="R132" i="12"/>
  <c r="R150" i="12"/>
  <c r="R18" i="12"/>
  <c r="H146" i="12"/>
  <c r="I9" i="7"/>
  <c r="I187" i="12"/>
  <c r="J9" i="7"/>
  <c r="K110" i="7"/>
  <c r="J110" i="12" s="1"/>
  <c r="E54" i="3"/>
  <c r="K105" i="3"/>
  <c r="J31" i="2"/>
  <c r="K31" i="2" s="1"/>
  <c r="F30" i="2"/>
  <c r="J147" i="2"/>
  <c r="K147" i="2" s="1"/>
  <c r="L110" i="7"/>
  <c r="K110" i="12" s="1"/>
  <c r="G88" i="2"/>
  <c r="N66" i="12"/>
  <c r="R118" i="12"/>
  <c r="K8" i="12"/>
  <c r="N18" i="12"/>
  <c r="L86" i="12"/>
  <c r="H186" i="12"/>
  <c r="J184" i="12"/>
  <c r="Q105" i="12"/>
  <c r="M118" i="12"/>
  <c r="J147" i="12"/>
  <c r="K185" i="12"/>
  <c r="F9" i="7"/>
  <c r="G110" i="7"/>
  <c r="F127" i="5"/>
  <c r="G127" i="5" s="1"/>
  <c r="H50" i="3"/>
  <c r="E113" i="3"/>
  <c r="J131" i="2"/>
  <c r="K131" i="2" s="1"/>
  <c r="F26" i="2"/>
  <c r="N124" i="2"/>
  <c r="O124" i="2" s="1"/>
  <c r="J175" i="2"/>
  <c r="K175" i="2" s="1"/>
  <c r="P138" i="12"/>
  <c r="M145" i="12"/>
  <c r="H109" i="12"/>
  <c r="F109" i="5"/>
  <c r="G109" i="5" s="1"/>
  <c r="N125" i="2"/>
  <c r="O125" i="2" s="1"/>
  <c r="F48" i="2"/>
  <c r="N44" i="2"/>
  <c r="O44" i="2" s="1"/>
  <c r="F67" i="5"/>
  <c r="G67" i="5" s="1"/>
  <c r="F78" i="5"/>
  <c r="G78" i="5" s="1"/>
  <c r="F84" i="5"/>
  <c r="G84" i="5" s="1"/>
  <c r="F153" i="5"/>
  <c r="G153" i="5" s="1"/>
  <c r="E38" i="3"/>
  <c r="H180" i="3"/>
  <c r="K60" i="3"/>
  <c r="H175" i="3"/>
  <c r="N167" i="2"/>
  <c r="O167" i="2" s="1"/>
  <c r="C160" i="7"/>
  <c r="F149" i="5"/>
  <c r="G149" i="5" s="1"/>
  <c r="K55" i="3"/>
  <c r="E136" i="5"/>
  <c r="F136" i="5" s="1"/>
  <c r="G136" i="5" s="1"/>
  <c r="N52" i="2"/>
  <c r="O52" i="2" s="1"/>
  <c r="N185" i="2"/>
  <c r="O185" i="2" s="1"/>
  <c r="E160" i="7"/>
  <c r="F96" i="5"/>
  <c r="G96" i="5" s="1"/>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H34" i="12"/>
  <c r="I46" i="12"/>
  <c r="H138" i="12"/>
  <c r="M47" i="5"/>
  <c r="M68" i="5"/>
  <c r="Q24" i="12"/>
  <c r="J18" i="12"/>
  <c r="H33" i="3"/>
  <c r="E66" i="5"/>
  <c r="F66" i="5" s="1"/>
  <c r="G66" i="5" s="1"/>
  <c r="M94" i="5"/>
  <c r="E80" i="3"/>
  <c r="K176" i="3"/>
  <c r="K69" i="3"/>
  <c r="J23" i="5"/>
  <c r="F87" i="5"/>
  <c r="G87" i="5" s="1"/>
  <c r="M120" i="5"/>
  <c r="F124" i="5"/>
  <c r="G124" i="5" s="1"/>
  <c r="F138" i="5"/>
  <c r="G138" i="5" s="1"/>
  <c r="F162" i="5"/>
  <c r="G162" i="5" s="1"/>
  <c r="E11" i="3"/>
  <c r="F97" i="2"/>
  <c r="N153" i="2"/>
  <c r="O153" i="2" s="1"/>
  <c r="N177" i="2"/>
  <c r="O177" i="2" s="1"/>
  <c r="N145" i="12"/>
  <c r="N113" i="12"/>
  <c r="F92" i="5"/>
  <c r="G92" i="5" s="1"/>
  <c r="J80" i="2"/>
  <c r="K80" i="2" s="1"/>
  <c r="G91" i="14"/>
  <c r="N133" i="12"/>
  <c r="G144" i="14"/>
  <c r="P34" i="12"/>
  <c r="S133" i="12"/>
  <c r="S165" i="12"/>
  <c r="M163" i="12"/>
  <c r="K189" i="12"/>
  <c r="F97" i="5"/>
  <c r="G97" i="5" s="1"/>
  <c r="M144" i="5"/>
  <c r="F158" i="5"/>
  <c r="G158" i="5" s="1"/>
  <c r="G73" i="2"/>
  <c r="G97" i="2"/>
  <c r="G121" i="2"/>
  <c r="F29" i="2"/>
  <c r="O191" i="5"/>
  <c r="O192" i="5" s="1"/>
  <c r="J183" i="2"/>
  <c r="K183" i="2" s="1"/>
  <c r="N68" i="2"/>
  <c r="O68" i="2" s="1"/>
  <c r="M54" i="5"/>
  <c r="P137" i="12"/>
  <c r="M17" i="5"/>
  <c r="F93" i="5"/>
  <c r="G93" i="5" s="1"/>
  <c r="F111" i="5"/>
  <c r="G111" i="5" s="1"/>
  <c r="F130" i="5"/>
  <c r="G130" i="5" s="1"/>
  <c r="E61" i="3"/>
  <c r="H107" i="3"/>
  <c r="K124" i="3"/>
  <c r="G167" i="2"/>
  <c r="G60" i="14"/>
  <c r="P76" i="5"/>
  <c r="P100" i="5"/>
  <c r="K92" i="3"/>
  <c r="L142" i="12"/>
  <c r="G134" i="14"/>
  <c r="P42" i="12"/>
  <c r="M140" i="12"/>
  <c r="F107" i="5"/>
  <c r="G107" i="5" s="1"/>
  <c r="K103" i="3"/>
  <c r="E62" i="5"/>
  <c r="E22" i="3"/>
  <c r="E86" i="3"/>
  <c r="E110" i="5"/>
  <c r="F110" i="5" s="1"/>
  <c r="G110" i="5" s="1"/>
  <c r="H148" i="3"/>
  <c r="E245" i="2"/>
  <c r="J14" i="2"/>
  <c r="K14" i="2" s="1"/>
  <c r="N58" i="2"/>
  <c r="O58" i="2" s="1"/>
  <c r="F100" i="2"/>
  <c r="G127" i="14"/>
  <c r="F140" i="5"/>
  <c r="G140" i="5" s="1"/>
  <c r="P18" i="12"/>
  <c r="M120" i="12"/>
  <c r="L82" i="12"/>
  <c r="F103" i="5"/>
  <c r="G103" i="5" s="1"/>
  <c r="F117" i="5"/>
  <c r="G117" i="5" s="1"/>
  <c r="F145" i="5"/>
  <c r="G145" i="5" s="1"/>
  <c r="F150" i="5"/>
  <c r="G150" i="5" s="1"/>
  <c r="J160" i="5"/>
  <c r="G171" i="14"/>
  <c r="P50" i="12"/>
  <c r="M123" i="12"/>
  <c r="L74" i="12"/>
  <c r="R40" i="12"/>
  <c r="F76" i="5"/>
  <c r="G76" i="5" s="1"/>
  <c r="M86" i="5"/>
  <c r="M132" i="5"/>
  <c r="H21" i="3"/>
  <c r="H79" i="3"/>
  <c r="H130" i="3"/>
  <c r="E169" i="3"/>
  <c r="H245" i="2"/>
  <c r="N64" i="2"/>
  <c r="O64" i="2" s="1"/>
  <c r="J36" i="2"/>
  <c r="K36" i="2" s="1"/>
  <c r="N40" i="12"/>
  <c r="M35" i="5"/>
  <c r="F81" i="5"/>
  <c r="G81" i="5" s="1"/>
  <c r="F118" i="5"/>
  <c r="G118" i="5" s="1"/>
  <c r="F146" i="5"/>
  <c r="G146" i="5" s="1"/>
  <c r="J156" i="5"/>
  <c r="H10" i="3"/>
  <c r="E114" i="5"/>
  <c r="F114" i="5" s="1"/>
  <c r="G114" i="5" s="1"/>
  <c r="N77" i="12"/>
  <c r="R77" i="12"/>
  <c r="R78" i="12"/>
  <c r="F77" i="5"/>
  <c r="G77" i="5" s="1"/>
  <c r="J82" i="5"/>
  <c r="F104" i="5"/>
  <c r="G104" i="5" s="1"/>
  <c r="F132" i="5"/>
  <c r="G132" i="5" s="1"/>
  <c r="F156" i="5"/>
  <c r="G156" i="5" s="1"/>
  <c r="E93" i="3"/>
  <c r="E97" i="3"/>
  <c r="N70" i="2"/>
  <c r="O70" i="2" s="1"/>
  <c r="J17" i="2"/>
  <c r="K17" i="2" s="1"/>
  <c r="G43" i="14"/>
  <c r="N100" i="2"/>
  <c r="O100" i="2" s="1"/>
  <c r="P122" i="12"/>
  <c r="P132" i="12"/>
  <c r="R70" i="12"/>
  <c r="S78" i="12"/>
  <c r="F91" i="5"/>
  <c r="G91" i="5" s="1"/>
  <c r="M110" i="5"/>
  <c r="F161" i="5"/>
  <c r="G161" i="5" s="1"/>
  <c r="E46" i="5"/>
  <c r="F46" i="5" s="1"/>
  <c r="G46" i="5" s="1"/>
  <c r="N25" i="2"/>
  <c r="O25" i="2" s="1"/>
  <c r="G29" i="2"/>
  <c r="J114" i="2"/>
  <c r="K114" i="2" s="1"/>
  <c r="G76" i="14"/>
  <c r="N48" i="12"/>
  <c r="Q19" i="12"/>
  <c r="P121" i="12"/>
  <c r="F133" i="5"/>
  <c r="G133" i="5" s="1"/>
  <c r="K23" i="3"/>
  <c r="J63" i="2"/>
  <c r="K63" i="2" s="1"/>
  <c r="F185" i="2"/>
  <c r="J187" i="2"/>
  <c r="K187" i="2" s="1"/>
  <c r="F68" i="5"/>
  <c r="G68" i="5" s="1"/>
  <c r="F94" i="5"/>
  <c r="G94" i="5" s="1"/>
  <c r="F112" i="5"/>
  <c r="G112" i="5" s="1"/>
  <c r="F120" i="5"/>
  <c r="G120" i="5" s="1"/>
  <c r="F131" i="5"/>
  <c r="G131" i="5" s="1"/>
  <c r="F147" i="5"/>
  <c r="G147" i="5" s="1"/>
  <c r="F155" i="5"/>
  <c r="G155" i="5" s="1"/>
  <c r="F163" i="5"/>
  <c r="G163" i="5" s="1"/>
  <c r="K71" i="3"/>
  <c r="G166" i="14"/>
  <c r="F79" i="5"/>
  <c r="G79" i="5" s="1"/>
  <c r="F88" i="5"/>
  <c r="G88" i="5" s="1"/>
  <c r="F102" i="5"/>
  <c r="G102" i="5" s="1"/>
  <c r="F108" i="5"/>
  <c r="G108" i="5" s="1"/>
  <c r="F139" i="5"/>
  <c r="G139" i="5" s="1"/>
  <c r="F64" i="5"/>
  <c r="G64" i="5" s="1"/>
  <c r="F75" i="5"/>
  <c r="G75" i="5" s="1"/>
  <c r="F98" i="5"/>
  <c r="G98" i="5" s="1"/>
  <c r="F116" i="5"/>
  <c r="G116" i="5" s="1"/>
  <c r="F135" i="5"/>
  <c r="G135" i="5" s="1"/>
  <c r="F151" i="5"/>
  <c r="G151" i="5" s="1"/>
  <c r="F159" i="5"/>
  <c r="G159" i="5" s="1"/>
  <c r="K39" i="3"/>
  <c r="E82" i="5"/>
  <c r="F82" i="5" s="1"/>
  <c r="G82" i="5" s="1"/>
  <c r="G47" i="14"/>
  <c r="G88" i="14"/>
  <c r="G120" i="14"/>
  <c r="G93" i="14"/>
  <c r="G179" i="2"/>
  <c r="N47" i="2"/>
  <c r="O47" i="2" s="1"/>
  <c r="K189" i="3"/>
  <c r="E189" i="3"/>
  <c r="G139" i="14"/>
  <c r="G135" i="14"/>
  <c r="G156" i="14"/>
  <c r="B150" i="7"/>
  <c r="L150" i="7"/>
  <c r="K150" i="12" s="1"/>
  <c r="B187" i="7"/>
  <c r="F187" i="7"/>
  <c r="O187" i="7"/>
  <c r="G187" i="7"/>
  <c r="K187" i="7"/>
  <c r="J187" i="12" s="1"/>
  <c r="E187" i="7"/>
  <c r="M187" i="7"/>
  <c r="F54" i="7"/>
  <c r="L54" i="7"/>
  <c r="E54" i="7"/>
  <c r="G36" i="2"/>
  <c r="E110" i="7"/>
  <c r="J110" i="7"/>
  <c r="B110" i="7"/>
  <c r="H110" i="7"/>
  <c r="H110" i="12" s="1"/>
  <c r="B147" i="7"/>
  <c r="F147" i="7"/>
  <c r="G147" i="7"/>
  <c r="O147" i="7"/>
  <c r="F76" i="7"/>
  <c r="G76" i="7"/>
  <c r="N76" i="7"/>
  <c r="C141" i="7"/>
  <c r="O141" i="7"/>
  <c r="G141" i="7"/>
  <c r="L141" i="7"/>
  <c r="K141" i="12" s="1"/>
  <c r="D141" i="7"/>
  <c r="N111" i="2"/>
  <c r="O111" i="2" s="1"/>
  <c r="D28" i="7"/>
  <c r="H28" i="7"/>
  <c r="H28" i="12" s="1"/>
  <c r="L28" i="7"/>
  <c r="K28" i="12" s="1"/>
  <c r="E28" i="7"/>
  <c r="I28" i="7"/>
  <c r="M28" i="7"/>
  <c r="B28" i="7"/>
  <c r="F28" i="7"/>
  <c r="J28" i="7"/>
  <c r="N28" i="7"/>
  <c r="G28" i="7"/>
  <c r="K28" i="7"/>
  <c r="J28" i="12" s="1"/>
  <c r="O28" i="7"/>
  <c r="C28" i="7"/>
  <c r="B102" i="7"/>
  <c r="J102" i="7"/>
  <c r="E102" i="7"/>
  <c r="H102" i="7"/>
  <c r="H102" i="12" s="1"/>
  <c r="H62" i="7"/>
  <c r="H62" i="12" s="1"/>
  <c r="J62" i="7"/>
  <c r="L62" i="7"/>
  <c r="K62" i="12" s="1"/>
  <c r="B62" i="7"/>
  <c r="C125" i="7"/>
  <c r="I125" i="7"/>
  <c r="B164" i="7"/>
  <c r="G164" i="7"/>
  <c r="I164" i="7"/>
  <c r="I164" i="12" s="1"/>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H139" i="12"/>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D7" i="28"/>
  <c r="H94" i="8"/>
  <c r="H95" i="8" s="1"/>
  <c r="G114" i="14"/>
  <c r="G188" i="14"/>
  <c r="K119" i="12"/>
  <c r="K113" i="3"/>
  <c r="E120" i="3"/>
  <c r="H157" i="3"/>
  <c r="E128" i="3"/>
  <c r="E148" i="3"/>
  <c r="H161" i="3"/>
  <c r="G64" i="14"/>
  <c r="G117" i="14"/>
  <c r="G164" i="14"/>
  <c r="G45" i="14"/>
  <c r="G158" i="14"/>
  <c r="G145" i="14"/>
  <c r="E94" i="8"/>
  <c r="E95" i="8" s="1"/>
  <c r="E54" i="5"/>
  <c r="F54" i="5" s="1"/>
  <c r="G54" i="5" s="1"/>
  <c r="E132" i="3"/>
  <c r="E180" i="3"/>
  <c r="G72" i="14"/>
  <c r="G140" i="14"/>
  <c r="G121" i="14"/>
  <c r="G179" i="14"/>
  <c r="P148" i="5"/>
  <c r="P164" i="5"/>
  <c r="G68" i="14"/>
  <c r="G83" i="14"/>
  <c r="L191" i="5"/>
  <c r="M37" i="5"/>
  <c r="G37" i="5"/>
  <c r="G40" i="14"/>
  <c r="G42" i="14"/>
  <c r="G48" i="14"/>
  <c r="G150" i="14"/>
  <c r="G102" i="14"/>
  <c r="G108" i="14"/>
  <c r="G142" i="14"/>
  <c r="G147" i="14"/>
  <c r="G168" i="14"/>
  <c r="K209" i="11"/>
  <c r="K210" i="11" s="1"/>
  <c r="N209" i="11"/>
  <c r="N210" i="11" s="1"/>
  <c r="N212" i="10"/>
  <c r="Q38" i="12"/>
  <c r="P54" i="12"/>
  <c r="R65" i="12"/>
  <c r="R97" i="12"/>
  <c r="F210" i="6"/>
  <c r="Q15" i="12"/>
  <c r="R117" i="12"/>
  <c r="L210" i="6"/>
  <c r="C17" i="28"/>
  <c r="D15" i="28"/>
  <c r="D17" i="28"/>
  <c r="Q114" i="12"/>
  <c r="N210" i="6"/>
  <c r="O210" i="6" s="1"/>
  <c r="B210" i="6"/>
  <c r="K210" i="6"/>
  <c r="N167" i="12"/>
  <c r="N101" i="12"/>
  <c r="L78" i="12"/>
  <c r="N53" i="12"/>
  <c r="N82" i="12"/>
  <c r="N74" i="12"/>
  <c r="M54" i="12"/>
  <c r="M40" i="12"/>
  <c r="M32" i="12"/>
  <c r="P7" i="12"/>
  <c r="L38" i="12"/>
  <c r="L15" i="12"/>
  <c r="M37" i="12"/>
  <c r="C12" i="28"/>
  <c r="S82" i="12"/>
  <c r="H131" i="12"/>
  <c r="I114" i="12"/>
  <c r="K142" i="12"/>
  <c r="I132" i="12"/>
  <c r="K126" i="12"/>
  <c r="J121" i="12"/>
  <c r="J113" i="12"/>
  <c r="I136" i="12"/>
  <c r="J127" i="12"/>
  <c r="J119" i="12"/>
  <c r="H136" i="12"/>
  <c r="J130" i="12"/>
  <c r="H119" i="12"/>
  <c r="I139" i="12"/>
  <c r="I123" i="12"/>
  <c r="H55" i="12"/>
  <c r="K53" i="12"/>
  <c r="H53" i="12"/>
  <c r="K49" i="12"/>
  <c r="H41" i="12"/>
  <c r="I34" i="12"/>
  <c r="I26" i="12"/>
  <c r="I18" i="12"/>
  <c r="I10" i="12"/>
  <c r="J39" i="12"/>
  <c r="H35" i="12"/>
  <c r="H27" i="12"/>
  <c r="H19" i="12"/>
  <c r="H11" i="12"/>
  <c r="K56" i="12"/>
  <c r="H25" i="12"/>
  <c r="H9" i="12"/>
  <c r="K44" i="12"/>
  <c r="K38" i="12"/>
  <c r="K30" i="12"/>
  <c r="K22" i="12"/>
  <c r="K14" i="12"/>
  <c r="I49" i="12"/>
  <c r="I33" i="12"/>
  <c r="I17" i="12"/>
  <c r="K33" i="12"/>
  <c r="K25" i="12"/>
  <c r="K17" i="12"/>
  <c r="K9" i="12"/>
  <c r="I191" i="5"/>
  <c r="F73" i="5"/>
  <c r="G73" i="5" s="1"/>
  <c r="F89" i="5"/>
  <c r="G89" i="5" s="1"/>
  <c r="F105" i="5"/>
  <c r="G105" i="5" s="1"/>
  <c r="E70" i="5"/>
  <c r="F70" i="5" s="1"/>
  <c r="G70" i="5" s="1"/>
  <c r="E74" i="5"/>
  <c r="E86" i="5"/>
  <c r="F86" i="5" s="1"/>
  <c r="G86" i="5" s="1"/>
  <c r="E90" i="5"/>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L212" i="10" s="1"/>
  <c r="R19" i="12"/>
  <c r="R41" i="12"/>
  <c r="S57" i="12"/>
  <c r="R23" i="12"/>
  <c r="S49" i="12"/>
  <c r="R93" i="12"/>
  <c r="R109" i="12"/>
  <c r="P80" i="12"/>
  <c r="R45" i="12"/>
  <c r="R121" i="12"/>
  <c r="B16" i="28"/>
  <c r="B18" i="28"/>
  <c r="C16" i="28"/>
  <c r="Q136" i="12"/>
  <c r="R147" i="12"/>
  <c r="R155" i="12"/>
  <c r="R163" i="12"/>
  <c r="R171" i="12"/>
  <c r="N159" i="12"/>
  <c r="N163" i="12"/>
  <c r="M130" i="12"/>
  <c r="N73" i="12"/>
  <c r="L62" i="12"/>
  <c r="L46" i="12"/>
  <c r="N7" i="12"/>
  <c r="N37" i="12"/>
  <c r="M65" i="12"/>
  <c r="M49" i="12"/>
  <c r="M33" i="12"/>
  <c r="Q7" i="12"/>
  <c r="S74" i="12"/>
  <c r="E124" i="7"/>
  <c r="I124" i="7"/>
  <c r="I124" i="12" s="1"/>
  <c r="M124" i="7"/>
  <c r="F124" i="7"/>
  <c r="K124" i="7"/>
  <c r="J124" i="12" s="1"/>
  <c r="B124" i="7"/>
  <c r="G124" i="7"/>
  <c r="L124" i="7"/>
  <c r="K124" i="12" s="1"/>
  <c r="C124" i="7"/>
  <c r="H124" i="7"/>
  <c r="H124" i="12" s="1"/>
  <c r="N124" i="7"/>
  <c r="D124" i="7"/>
  <c r="J124" i="7"/>
  <c r="O124" i="7"/>
  <c r="K139" i="12"/>
  <c r="K123" i="12"/>
  <c r="I141" i="12"/>
  <c r="K136" i="12"/>
  <c r="J129" i="12"/>
  <c r="I125" i="12"/>
  <c r="I120" i="12"/>
  <c r="I112" i="12"/>
  <c r="K131" i="12"/>
  <c r="H123" i="12"/>
  <c r="H117" i="12"/>
  <c r="K135" i="12"/>
  <c r="H129" i="12"/>
  <c r="K118" i="12"/>
  <c r="I135" i="12"/>
  <c r="I119" i="12"/>
  <c r="K54" i="12"/>
  <c r="J56" i="12"/>
  <c r="I117" i="12"/>
  <c r="K52" i="12"/>
  <c r="I52" i="12"/>
  <c r="H57" i="12"/>
  <c r="K48" i="12"/>
  <c r="J31" i="12"/>
  <c r="J23" i="12"/>
  <c r="J15" i="12"/>
  <c r="J7" i="12"/>
  <c r="H38" i="12"/>
  <c r="J33" i="12"/>
  <c r="J25" i="12"/>
  <c r="J17" i="12"/>
  <c r="J9" i="12"/>
  <c r="J53" i="12"/>
  <c r="J37" i="12"/>
  <c r="H21" i="12"/>
  <c r="J47" i="12"/>
  <c r="J41" i="12"/>
  <c r="H37" i="12"/>
  <c r="I28" i="12"/>
  <c r="I20" i="12"/>
  <c r="I12" i="12"/>
  <c r="I45" i="12"/>
  <c r="I29" i="12"/>
  <c r="I13" i="12"/>
  <c r="I31" i="12"/>
  <c r="I23" i="12"/>
  <c r="I15" i="12"/>
  <c r="P53" i="5"/>
  <c r="N191" i="5"/>
  <c r="G231" i="3"/>
  <c r="G232" i="3" s="1"/>
  <c r="J231" i="3"/>
  <c r="J232" i="3" s="1"/>
  <c r="F50" i="5"/>
  <c r="G50" i="5" s="1"/>
  <c r="M52" i="5"/>
  <c r="J53" i="5"/>
  <c r="J57" i="5"/>
  <c r="M60" i="5"/>
  <c r="J61" i="5"/>
  <c r="F62"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I212" i="10"/>
  <c r="S73" i="12"/>
  <c r="R89" i="12"/>
  <c r="R105" i="12"/>
  <c r="P72" i="12"/>
  <c r="E32" i="7"/>
  <c r="I32" i="7"/>
  <c r="M32" i="7"/>
  <c r="D32" i="7"/>
  <c r="J32" i="7"/>
  <c r="O32" i="7"/>
  <c r="F32" i="7"/>
  <c r="K32" i="7"/>
  <c r="J32" i="12" s="1"/>
  <c r="B32" i="7"/>
  <c r="G32" i="7"/>
  <c r="L32" i="7"/>
  <c r="K32" i="12" s="1"/>
  <c r="C32" i="7"/>
  <c r="H32" i="7"/>
  <c r="H32" i="12" s="1"/>
  <c r="N32" i="7"/>
  <c r="B234" i="2"/>
  <c r="P45" i="12"/>
  <c r="C18" i="28"/>
  <c r="D16" i="28"/>
  <c r="B15" i="28"/>
  <c r="E210" i="6"/>
  <c r="C210" i="6"/>
  <c r="N151" i="12"/>
  <c r="L61" i="12"/>
  <c r="M45" i="12"/>
  <c r="H191" i="5"/>
  <c r="H192" i="5" s="1"/>
  <c r="J37" i="5"/>
  <c r="K138" i="12"/>
  <c r="K122" i="12"/>
  <c r="J139" i="12"/>
  <c r="H135" i="12"/>
  <c r="H128" i="12"/>
  <c r="J123" i="12"/>
  <c r="J117" i="12"/>
  <c r="K130" i="12"/>
  <c r="I122" i="12"/>
  <c r="J115" i="12"/>
  <c r="K134" i="12"/>
  <c r="K128" i="12"/>
  <c r="H115" i="12"/>
  <c r="I131" i="12"/>
  <c r="I115" i="12"/>
  <c r="J48" i="12"/>
  <c r="H54" i="12"/>
  <c r="K115" i="12"/>
  <c r="H45" i="12"/>
  <c r="J49" i="12"/>
  <c r="I56" i="12"/>
  <c r="I47" i="12"/>
  <c r="I38" i="12"/>
  <c r="I30" i="12"/>
  <c r="I22" i="12"/>
  <c r="I14" i="12"/>
  <c r="I44" i="12"/>
  <c r="K37" i="12"/>
  <c r="H31" i="12"/>
  <c r="H23" i="12"/>
  <c r="H15" i="12"/>
  <c r="H7" i="12"/>
  <c r="H49" i="12"/>
  <c r="H33" i="12"/>
  <c r="H17" i="12"/>
  <c r="H46" i="12"/>
  <c r="K34" i="12"/>
  <c r="K26" i="12"/>
  <c r="K18" i="12"/>
  <c r="K10" i="12"/>
  <c r="I57" i="12"/>
  <c r="I41" i="12"/>
  <c r="I25" i="12"/>
  <c r="I9"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M59"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3" i="21"/>
  <c r="G163" i="14"/>
  <c r="O192" i="12"/>
  <c r="O193" i="12" s="1"/>
  <c r="G209" i="11"/>
  <c r="M209" i="11"/>
  <c r="F94" i="8"/>
  <c r="F95" i="8" s="1"/>
  <c r="I94" i="8"/>
  <c r="J94" i="8" s="1"/>
  <c r="C103" i="8" s="1"/>
  <c r="S33" i="12"/>
  <c r="R85" i="12"/>
  <c r="E40" i="7"/>
  <c r="I40" i="7"/>
  <c r="I40" i="12" s="1"/>
  <c r="M40" i="7"/>
  <c r="B40" i="7"/>
  <c r="G40" i="7"/>
  <c r="L40" i="7"/>
  <c r="K40" i="12" s="1"/>
  <c r="C40" i="7"/>
  <c r="H40" i="7"/>
  <c r="H40" i="12" s="1"/>
  <c r="N40" i="7"/>
  <c r="D40" i="7"/>
  <c r="J40" i="7"/>
  <c r="O40" i="7"/>
  <c r="F40" i="7"/>
  <c r="K40" i="7"/>
  <c r="J40" i="12" s="1"/>
  <c r="P37" i="12"/>
  <c r="Q64" i="12"/>
  <c r="D18" i="28"/>
  <c r="B17" i="28"/>
  <c r="C15"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21" i="12"/>
  <c r="I113" i="12"/>
  <c r="J57" i="12"/>
  <c r="J55" i="12"/>
  <c r="K46" i="12"/>
  <c r="I54" i="12"/>
  <c r="J45" i="12"/>
  <c r="J35" i="12"/>
  <c r="J27" i="12"/>
  <c r="J19" i="12"/>
  <c r="J11" i="12"/>
  <c r="I42" i="12"/>
  <c r="K36" i="12"/>
  <c r="J29" i="12"/>
  <c r="J21" i="12"/>
  <c r="J13" i="12"/>
  <c r="K57" i="12"/>
  <c r="K41" i="12"/>
  <c r="H29" i="12"/>
  <c r="H13" i="12"/>
  <c r="K45" i="12"/>
  <c r="H39" i="12"/>
  <c r="I24" i="12"/>
  <c r="I16" i="12"/>
  <c r="I8" i="12"/>
  <c r="I53" i="12"/>
  <c r="I37" i="12"/>
  <c r="I21" i="12"/>
  <c r="I35" i="12"/>
  <c r="I27" i="12"/>
  <c r="I19" i="12"/>
  <c r="I11" i="12"/>
  <c r="F74" i="5"/>
  <c r="G74" i="5" s="1"/>
  <c r="F90" i="5"/>
  <c r="G90" i="5" s="1"/>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B4" i="21"/>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D6" i="28"/>
  <c r="F17" i="2"/>
  <c r="G17" i="2"/>
  <c r="G158" i="2"/>
  <c r="F158" i="2"/>
  <c r="J170" i="2"/>
  <c r="K170" i="2" s="1"/>
  <c r="G41" i="2"/>
  <c r="F212" i="10" l="1"/>
  <c r="O212" i="10"/>
  <c r="E216" i="7"/>
  <c r="E217" i="7" s="1"/>
  <c r="B227" i="7" s="1"/>
  <c r="N225" i="2"/>
  <c r="O225" i="2" s="1"/>
  <c r="A103" i="8"/>
  <c r="C216" i="7"/>
  <c r="C217" i="7" s="1"/>
  <c r="M192" i="12"/>
  <c r="M193" i="12" s="1"/>
  <c r="K192" i="12"/>
  <c r="K193" i="12" s="1"/>
  <c r="N216" i="7"/>
  <c r="O216" i="7" s="1"/>
  <c r="O217" i="7" s="1"/>
  <c r="I216" i="7"/>
  <c r="I217" i="7" s="1"/>
  <c r="C228" i="7" s="1"/>
  <c r="L192" i="12"/>
  <c r="L193" i="12" s="1"/>
  <c r="F216" i="7"/>
  <c r="F217" i="7" s="1"/>
  <c r="C227" i="7" s="1"/>
  <c r="B216" i="7"/>
  <c r="B217" i="7" s="1"/>
  <c r="G58" i="5"/>
  <c r="F191" i="5"/>
  <c r="C218" i="6"/>
  <c r="J210" i="6"/>
  <c r="L216" i="7"/>
  <c r="D210" i="11"/>
  <c r="F210" i="11" s="1"/>
  <c r="F209" i="11"/>
  <c r="N192" i="5"/>
  <c r="P192" i="5" s="1"/>
  <c r="P191" i="5"/>
  <c r="K216" i="7"/>
  <c r="K217" i="7" s="1"/>
  <c r="B229" i="7" s="1"/>
  <c r="G210" i="6"/>
  <c r="C217" i="6"/>
  <c r="G95" i="8"/>
  <c r="H6" i="6"/>
  <c r="K6" i="6"/>
  <c r="H192" i="12"/>
  <c r="H193" i="12" s="1"/>
  <c r="I32" i="12"/>
  <c r="I192" i="12" s="1"/>
  <c r="I193" i="12" s="1"/>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J192" i="12"/>
  <c r="J193" i="12" s="1"/>
  <c r="N192" i="12"/>
  <c r="N193" i="12" s="1"/>
  <c r="L209" i="11"/>
  <c r="J210" i="11"/>
  <c r="L210" i="11" s="1"/>
  <c r="B219" i="6"/>
  <c r="G233" i="2"/>
  <c r="F233" i="2" s="1"/>
  <c r="L192" i="5"/>
  <c r="M192" i="5" s="1"/>
  <c r="M191" i="5"/>
  <c r="N217" i="7" l="1"/>
  <c r="B230" i="7"/>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<sst xmlns="http://schemas.openxmlformats.org/spreadsheetml/2006/main" count="3568" uniqueCount="687">
  <si>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</si>
  <si>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</si>
  <si>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</si>
  <si>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</si>
  <si>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</si>
  <si>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</si>
  <si>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</si>
  <si>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</si>
  <si>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</si>
  <si>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</si>
  <si>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</si>
  <si>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</si>
  <si>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</si>
  <si>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</si>
  <si>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</si>
  <si>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</si>
  <si>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</si>
  <si>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</si>
  <si>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</si>
  <si>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</si>
  <si>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</si>
  <si>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</si>
  <si>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</si>
  <si>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</si>
  <si>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</si>
  <si>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</si>
  <si>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</si>
  <si>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</si>
  <si>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</si>
  <si>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</si>
  <si>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</si>
  <si>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</si>
  <si>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</si>
  <si>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</si>
  <si>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</si>
  <si>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</si>
  <si>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</si>
  <si>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</si>
  <si>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</si>
  <si>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</si>
  <si>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</si>
  <si>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</si>
  <si>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</si>
  <si>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</si>
  <si>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</si>
  <si>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</si>
  <si>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</si>
  <si>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</si>
  <si>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</si>
  <si>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</si>
  <si>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</si>
  <si>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</si>
  <si>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</si>
  <si>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</si>
  <si>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</si>
  <si>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</si>
  <si>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</si>
  <si>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</si>
  <si>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</si>
  <si>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</si>
  <si>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</si>
  <si>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</si>
  <si>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</si>
  <si>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</si>
  <si>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</si>
  <si>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</si>
  <si>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</si>
  <si>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</si>
  <si>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</si>
  <si>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</si>
  <si>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</si>
  <si>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</si>
  <si>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</si>
  <si>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</si>
  <si>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</si>
  <si>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</si>
  <si>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</si>
  <si>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</si>
  <si>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</si>
  <si>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</si>
  <si>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</si>
  <si>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</si>
  <si>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</si>
  <si>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</si>
  <si>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</si>
  <si>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</si>
  <si>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</si>
  <si>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</si>
  <si>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</si>
  <si>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</si>
  <si>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</si>
  <si>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</si>
  <si>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</si>
  <si>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</si>
  <si>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</si>
  <si>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</si>
  <si>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</si>
  <si>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</si>
  <si>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</si>
  <si>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</si>
  <si>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</si>
  <si>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</si>
  <si>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</si>
  <si>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</si>
  <si>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</si>
  <si>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</si>
  <si>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</si>
  <si>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</si>
  <si>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</si>
  <si>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</si>
  <si>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</si>
  <si>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</si>
  <si>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</si>
  <si>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</si>
  <si>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</si>
  <si>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</si>
  <si>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</si>
  <si>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</si>
  <si>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</si>
  <si>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</si>
  <si>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</si>
  <si>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</si>
  <si>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</si>
  <si>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</si>
  <si>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</si>
  <si>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</si>
  <si>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</si>
  <si>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</si>
  <si>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</si>
  <si>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</si>
  <si>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</si>
  <si>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</si>
  <si>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</si>
  <si>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</si>
  <si>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</si>
  <si>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</si>
  <si>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</si>
  <si>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</si>
  <si>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</si>
  <si>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</si>
  <si>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</si>
  <si>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</si>
  <si>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</si>
  <si>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</si>
  <si>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</si>
  <si>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</si>
  <si>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</si>
  <si>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</si>
  <si>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</si>
  <si>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</si>
  <si>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</si>
  <si>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</si>
  <si>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</si>
  <si>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</si>
  <si>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</si>
  <si>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</si>
  <si>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</si>
  <si>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</si>
  <si>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</si>
  <si>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</si>
  <si>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</si>
  <si>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</si>
  <si>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</si>
  <si>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</si>
  <si>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</si>
  <si>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</si>
  <si>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</si>
  <si>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</si>
  <si>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</si>
  <si>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</si>
  <si>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</si>
  <si>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</si>
  <si>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</si>
  <si>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</si>
  <si>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</si>
  <si>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</si>
  <si>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</si>
  <si>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</si>
  <si>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</si>
  <si>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</si>
  <si>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</si>
  <si>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</si>
  <si>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</si>
  <si>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</si>
  <si>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</si>
  <si>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</si>
  <si>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</si>
  <si>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</si>
  <si>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</si>
  <si>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</si>
  <si>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</si>
  <si>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</si>
  <si>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</si>
  <si>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</si>
  <si>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</si>
  <si>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</si>
  <si>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</si>
  <si>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</si>
  <si>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</si>
  <si>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</si>
  <si>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</si>
  <si>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</si>
  <si>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</si>
  <si>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</si>
  <si>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</si>
  <si>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</si>
  <si>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</si>
  <si>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</si>
  <si>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</si>
  <si>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</si>
  <si>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</si>
  <si>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</si>
  <si>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</si>
  <si>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</si>
  <si>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</si>
  <si>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</si>
  <si>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</si>
  <si>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</si>
  <si>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</si>
  <si>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</si>
  <si>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</si>
  <si>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</si>
  <si>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</si>
  <si>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</si>
  <si>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</si>
  <si>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</si>
  <si>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</si>
  <si>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</si>
  <si>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</si>
  <si>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</si>
  <si>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</si>
  <si>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</si>
  <si>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</si>
  <si>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</si>
  <si>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</si>
  <si>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</si>
  <si>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</si>
  <si>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</si>
  <si>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</si>
  <si>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</si>
  <si>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</si>
  <si>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</si>
  <si>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</si>
  <si>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</si>
  <si>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</si>
  <si>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</si>
  <si>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</si>
  <si>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</si>
  <si>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</si>
  <si>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</si>
  <si>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</si>
  <si>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</si>
  <si>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</si>
  <si>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</si>
  <si>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</si>
  <si>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</si>
  <si>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</si>
  <si>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</si>
  <si>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</si>
  <si>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</si>
  <si>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</si>
  <si>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</si>
  <si>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</si>
  <si>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</si>
  <si>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</si>
  <si>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</si>
  <si>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</si>
  <si>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</si>
  <si>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</si>
  <si>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</si>
  <si>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</si>
  <si>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</si>
  <si>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</si>
  <si>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</si>
  <si>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</si>
  <si>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</si>
  <si>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</si>
  <si>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</si>
  <si>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</si>
  <si>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</si>
  <si>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</si>
  <si>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</si>
  <si>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</si>
  <si>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</si>
  <si>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</si>
  <si>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</si>
  <si>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</si>
  <si>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</si>
  <si>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</si>
  <si>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</si>
  <si>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</si>
  <si>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</si>
  <si>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</si>
  <si>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</si>
  <si>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</si>
  <si>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</si>
  <si>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</si>
  <si>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</si>
  <si>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</si>
  <si>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</si>
  <si>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</si>
  <si>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</si>
  <si>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</si>
  <si>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</si>
  <si>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</si>
  <si>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</si>
  <si>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</si>
  <si>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</si>
  <si>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</si>
  <si>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</si>
  <si>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</si>
  <si>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</si>
  <si>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</si>
  <si>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</si>
  <si>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</si>
  <si>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</si>
  <si>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</si>
  <si>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</si>
  <si>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</si>
  <si>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</si>
  <si>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</si>
  <si>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</si>
  <si>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</si>
  <si>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</si>
  <si>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</si>
  <si>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</si>
  <si>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</si>
  <si>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</si>
  <si>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</si>
  <si>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</si>
  <si>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</si>
  <si>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</si>
  <si>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</si>
  <si>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</si>
  <si>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</si>
  <si>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</si>
  <si>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</si>
  <si>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</si>
  <si>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</si>
  <si>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</si>
  <si>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</si>
  <si>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</si>
  <si>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</si>
  <si>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</si>
  <si>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</si>
  <si>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</si>
  <si>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</si>
  <si>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</si>
  <si>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</si>
  <si>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</si>
  <si>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</si>
  <si>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</si>
  <si>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</si>
  <si>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</si>
  <si>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</si>
  <si>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</si>
  <si>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</si>
  <si>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</si>
  <si>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</si>
  <si>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</si>
  <si>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</si>
  <si>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</si>
  <si>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</si>
  <si>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</si>
  <si>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</si>
  <si>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</si>
  <si>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</si>
  <si>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</si>
  <si>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</si>
  <si>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</si>
  <si>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</si>
  <si>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</si>
  <si>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</si>
  <si>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</si>
  <si>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</si>
  <si>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</si>
  <si>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</si>
  <si>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</si>
  <si>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</si>
  <si>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</si>
  <si>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</si>
  <si>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</si>
  <si>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</si>
  <si>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</si>
  <si>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</si>
  <si>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</si>
  <si>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</si>
  <si>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</si>
  <si>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</si>
  <si>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</si>
  <si>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</si>
  <si>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</si>
  <si>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</si>
  <si>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</si>
  <si>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</si>
  <si>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</si>
  <si>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</si>
  <si>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</si>
  <si>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</si>
  <si>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</si>
  <si>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</si>
  <si>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</si>
  <si>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</si>
  <si>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</si>
  <si>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</si>
  <si>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</si>
  <si>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</si>
  <si>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</si>
  <si>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</si>
  <si>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</si>
  <si>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</si>
  <si>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</si>
  <si>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</si>
  <si>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</si>
  <si>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</si>
  <si>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</si>
  <si>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</si>
  <si>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</si>
  <si>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</si>
  <si>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</si>
  <si>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</si>
  <si>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</si>
  <si>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</si>
  <si>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</si>
  <si>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</si>
  <si>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</si>
  <si>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</si>
  <si>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</si>
  <si>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</si>
  <si>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</si>
  <si>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</si>
  <si>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</si>
  <si>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</si>
  <si>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</si>
  <si>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</si>
  <si>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</si>
  <si>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</si>
  <si>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</si>
  <si>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</si>
  <si>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</si>
  <si>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</si>
  <si>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</si>
  <si>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</si>
  <si>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</si>
  <si>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</si>
  <si>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</si>
  <si>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</si>
  <si>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</si>
  <si>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</si>
  <si>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</si>
  <si>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</si>
  <si>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</si>
  <si>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</si>
  <si>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</si>
  <si>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</si>
  <si>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</si>
  <si>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</si>
  <si>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</si>
  <si>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</si>
  <si>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</si>
  <si>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</si>
  <si>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</si>
  <si>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</si>
  <si>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</si>
  <si>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</si>
  <si>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</si>
  <si>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</si>
  <si>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</si>
  <si>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</si>
  <si>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</si>
  <si>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</si>
  <si>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</si>
  <si>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</si>
  <si>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</si>
  <si>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</si>
  <si>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</si>
  <si>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</si>
  <si>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</si>
  <si>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</si>
  <si>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</si>
  <si>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</si>
  <si>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</si>
  <si>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</si>
  <si>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</si>
  <si>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</si>
  <si>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</si>
  <si>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</si>
  <si>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</si>
  <si>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</si>
  <si>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</si>
  <si>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</si>
  <si>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</si>
  <si>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</si>
  <si>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</si>
  <si>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</si>
  <si>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</si>
  <si>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</si>
  <si>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</si>
  <si>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</si>
  <si>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</si>
  <si>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</si>
  <si>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</si>
  <si>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</si>
  <si>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</si>
  <si>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</si>
  <si>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</si>
  <si>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</si>
  <si>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</si>
  <si>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</si>
  <si>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</si>
  <si>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</si>
  <si>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</si>
  <si>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</si>
  <si>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</si>
  <si>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</si>
  <si>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</si>
  <si>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</si>
  <si>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</si>
  <si>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</si>
  <si>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</si>
  <si>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</si>
  <si>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</si>
  <si>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</si>
  <si>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</si>
  <si>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</si>
  <si>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</si>
  <si>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</si>
  <si>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</si>
  <si>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</si>
  <si>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</si>
  <si>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</si>
  <si>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</si>
  <si>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</si>
  <si>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</si>
  <si>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</si>
  <si>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</si>
  <si>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</si>
  <si>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</si>
  <si>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</si>
  <si>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</si>
  <si>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</si>
  <si>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</si>
  <si>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</si>
  <si>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</si>
  <si>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</si>
  <si>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</si>
  <si>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</si>
  <si>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</si>
  <si>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</si>
  <si>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</si>
  <si>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</si>
  <si>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</si>
  <si>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</si>
  <si>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</si>
  <si>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</si>
  <si>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</si>
  <si>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</si>
  <si>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</si>
  <si>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</si>
  <si>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</si>
  <si>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</si>
  <si>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</si>
  <si>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</si>
  <si>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</si>
  <si>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</si>
  <si>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</si>
  <si>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</si>
  <si>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</si>
  <si>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</si>
  <si>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</si>
  <si>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INDIAVIX</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</si>
  <si>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</si>
  <si>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</si>
  <si>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</si>
  <si>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</si>
  <si>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</si>
  <si>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</si>
  <si>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</si>
  <si>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</si>
  <si>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</si>
  <si>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</si>
  <si>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</si>
  <si>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</si>
  <si>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</si>
  <si>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</si>
  <si>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</si>
  <si>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</si>
  <si>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</si>
  <si>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</si>
  <si>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</si>
  <si>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</si>
  <si>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</si>
  <si>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</si>
  <si>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</si>
  <si>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</si>
  <si>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</si>
  <si>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</si>
  <si>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</si>
  <si>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</si>
  <si>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</si>
  <si>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</si>
  <si>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</si>
  <si>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</si>
  <si>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</si>
  <si>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</si>
  <si>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</si>
  <si>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</si>
  <si>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</si>
  <si>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</si>
  <si>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</si>
  <si>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</si>
  <si>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</si>
  <si>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</si>
  <si>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</si>
  <si>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</si>
  <si>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</si>
  <si>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</si>
  <si>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</si>
  <si>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</si>
  <si>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</si>
  <si>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</si>
  <si>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</si>
  <si>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</si>
  <si>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</si>
  <si>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</si>
  <si>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</si>
  <si>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</si>
  <si>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</si>
  <si>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</si>
  <si>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</si>
  <si>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</si>
  <si>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</si>
  <si>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</si>
  <si>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</si>
  <si>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</si>
  <si>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</si>
  <si>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</si>
  <si>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</si>
  <si>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</si>
  <si>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</si>
  <si>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</si>
  <si>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</si>
  <si>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</si>
  <si>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</si>
  <si>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</si>
  <si>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</si>
  <si>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</si>
  <si>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</si>
  <si>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</si>
  <si>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</si>
  <si>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</si>
  <si>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</si>
  <si>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</si>
  <si>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</si>
  <si>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</si>
  <si>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</si>
  <si>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</si>
  <si>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</si>
  <si>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</si>
  <si>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</si>
  <si>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</si>
  <si>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</si>
  <si>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</si>
  <si>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</si>
  <si>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</si>
  <si>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</si>
  <si>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</si>
  <si>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</si>
  <si>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</si>
  <si>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</si>
  <si>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</si>
  <si>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</si>
  <si>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</si>
  <si>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</si>
  <si>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</si>
  <si>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</si>
  <si>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</si>
  <si>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</si>
  <si>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</si>
  <si>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</si>
  <si>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</si>
  <si>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</si>
  <si>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</si>
  <si>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</si>
  <si>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</si>
  <si>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</si>
  <si>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F&amp;O Market Trading Kit for 31 July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</si>
</sst>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3" fontId="4" fillId="38" borderId="1" xfId="0" applyNumberFormat="1" applyFont="1" applyFill="1" applyBorder="1" applyAlignment="1" applyProtection="1">
      <alignment horizontal="left" vertical="center"/>
    </xf>
    <xf numFmtId="3" fontId="4" fillId="2" borderId="1" xfId="0"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tabSelected="1" zoomScale="85" zoomScaleNormal="85" workbookViewId="0">
      <pane ySplit="10" topLeftCell="A11" activePane="bottomLeft" state="frozen"/>
      <selection pane="bottomLeft" activeCell="V12" sqref="V12"/>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43" t="s">
        <v>686</v>
      </c>
      <c r="B6" s="244"/>
      <c r="C6" s="244"/>
      <c r="D6" s="244"/>
      <c r="E6" s="244"/>
      <c r="F6" s="244"/>
      <c r="G6" s="244"/>
      <c r="H6" s="244"/>
      <c r="I6" s="244"/>
      <c r="J6" s="244"/>
      <c r="K6" s="244"/>
      <c r="L6" s="244"/>
      <c r="M6" s="244"/>
      <c r="N6" s="244"/>
      <c r="O6" s="244"/>
      <c r="P6" s="244"/>
      <c r="Q6" s="244"/>
      <c r="R6" s="244"/>
      <c r="S6" s="245"/>
    </row>
    <row r="7" spans="1:19" x14ac:dyDescent="0.25">
      <c r="A7" s="246"/>
      <c r="B7" s="247"/>
      <c r="C7" s="247"/>
      <c r="D7" s="247"/>
      <c r="E7" s="247"/>
      <c r="F7" s="247"/>
      <c r="G7" s="247"/>
      <c r="H7" s="247"/>
      <c r="I7" s="247"/>
      <c r="J7" s="247"/>
      <c r="K7" s="247"/>
      <c r="L7" s="247"/>
      <c r="M7" s="247"/>
      <c r="N7" s="247"/>
      <c r="O7" s="247"/>
      <c r="P7" s="247"/>
      <c r="Q7" s="247"/>
      <c r="R7" s="247"/>
      <c r="S7" s="248"/>
    </row>
    <row r="8" spans="1:19" s="64" customFormat="1" ht="15" customHeight="1" x14ac:dyDescent="0.25">
      <c r="A8" s="249"/>
      <c r="B8" s="2"/>
      <c r="C8" s="251" t="s">
        <v>308</v>
      </c>
      <c r="D8" s="252"/>
      <c r="E8" s="252"/>
      <c r="F8" s="252"/>
      <c r="G8" s="253"/>
      <c r="H8" s="251" t="s">
        <v>309</v>
      </c>
      <c r="I8" s="252"/>
      <c r="J8" s="252"/>
      <c r="K8" s="253"/>
      <c r="L8" s="254" t="s">
        <v>310</v>
      </c>
      <c r="M8" s="255"/>
      <c r="N8" s="255"/>
      <c r="O8" s="256"/>
      <c r="P8" s="251" t="s">
        <v>311</v>
      </c>
      <c r="Q8" s="252"/>
      <c r="R8" s="252"/>
      <c r="S8" s="253"/>
    </row>
    <row r="9" spans="1:19" s="64" customFormat="1" x14ac:dyDescent="0.25">
      <c r="A9" s="250"/>
      <c r="B9" s="2"/>
      <c r="C9" s="2" t="s">
        <v>312</v>
      </c>
      <c r="D9" s="251" t="s">
        <v>313</v>
      </c>
      <c r="E9" s="252"/>
      <c r="F9" s="252"/>
      <c r="G9" s="253"/>
      <c r="H9" s="251" t="s">
        <v>314</v>
      </c>
      <c r="I9" s="252"/>
      <c r="J9" s="252"/>
      <c r="K9" s="253"/>
      <c r="L9" s="251" t="s">
        <v>315</v>
      </c>
      <c r="M9" s="252"/>
      <c r="N9" s="252"/>
      <c r="O9" s="253"/>
      <c r="P9" s="251" t="s">
        <v>316</v>
      </c>
      <c r="Q9" s="253"/>
      <c r="R9" s="251" t="s">
        <v>317</v>
      </c>
      <c r="S9" s="253"/>
    </row>
    <row r="10" spans="1:19" s="67" customFormat="1" ht="27" customHeight="1" x14ac:dyDescent="0.25">
      <c r="A10" s="65" t="s">
        <v>318</v>
      </c>
      <c r="B10" s="65" t="s">
        <v>319</v>
      </c>
      <c r="C10" s="66">
        <f>'Data Vlaue (Cr)'!A2</f>
        <v>45869</v>
      </c>
      <c r="D10" s="66">
        <f>'Data Vlaue (Cr)'!A2</f>
        <v>45869</v>
      </c>
      <c r="E10" s="65" t="s">
        <v>322</v>
      </c>
      <c r="F10" s="65" t="s">
        <v>320</v>
      </c>
      <c r="G10" s="65" t="s">
        <v>321</v>
      </c>
      <c r="H10" s="66">
        <f>D10</f>
        <v>45869</v>
      </c>
      <c r="I10" s="65" t="s">
        <v>322</v>
      </c>
      <c r="J10" s="65" t="s">
        <v>323</v>
      </c>
      <c r="K10" s="65" t="s">
        <v>324</v>
      </c>
      <c r="L10" s="66">
        <f>D10</f>
        <v>45869</v>
      </c>
      <c r="M10" s="65" t="s">
        <v>322</v>
      </c>
      <c r="N10" s="65" t="s">
        <v>323</v>
      </c>
      <c r="O10" s="65" t="s">
        <v>324</v>
      </c>
      <c r="P10" s="66">
        <f>D10</f>
        <v>45869</v>
      </c>
      <c r="Q10" s="65" t="s">
        <v>324</v>
      </c>
      <c r="R10" s="66">
        <f>D10</f>
        <v>45869</v>
      </c>
      <c r="S10" s="65" t="s">
        <v>324</v>
      </c>
    </row>
    <row r="11" spans="1:19" x14ac:dyDescent="0.25">
      <c r="A11" s="96" t="str">
        <f>'Data Vlaue (Cr)'!C2</f>
        <v>360ONE</v>
      </c>
      <c r="B11" s="75">
        <f>VLOOKUP($A11,'Data Vlaue (Cr)'!$C:$FB,2)</f>
        <v>500</v>
      </c>
      <c r="C11" s="75">
        <f>VLOOKUP($A11,'Data Vlaue (Cr)'!$C:$FB,8)</f>
        <v>1052.7</v>
      </c>
      <c r="D11" s="75">
        <f>VLOOKUP($A11,'Data Vlaue (Cr)'!$C:$FB,4)</f>
        <v>1057.5999999999999</v>
      </c>
      <c r="E11" s="75">
        <f>VLOOKUP($A11,'Data Vlaue (Cr)'!$C:$FB,5)</f>
        <v>1066.9000000000001</v>
      </c>
      <c r="F11" s="75">
        <f>D11-C11</f>
        <v>4.8999999999998636</v>
      </c>
      <c r="G11" s="75">
        <f>(D11-E11)/D11*100</f>
        <v>-0.87934947049926082</v>
      </c>
      <c r="H11" s="75">
        <f>VLOOKUP($A11,'Data Vlaue (Cr)'!$C:$FB,99)</f>
        <v>657</v>
      </c>
      <c r="I11" s="75">
        <f>VLOOKUP($A11,'Data Vlaue (Cr)'!$C:$FB,100)</f>
        <v>1034</v>
      </c>
      <c r="J11" s="75">
        <f>H11-I11</f>
        <v>-377</v>
      </c>
      <c r="K11" s="75">
        <f>J11/H11*100</f>
        <v>-57.3820395738204</v>
      </c>
      <c r="L11" s="75">
        <f>VLOOKUP($A11,'Data Vlaue (Cr)'!$C:$FB,67)</f>
        <v>636</v>
      </c>
      <c r="M11" s="75">
        <f>VLOOKUP($A11,'Data Vlaue (Cr)'!$C:$FB,68)</f>
        <v>533</v>
      </c>
      <c r="N11" s="75">
        <f>L11-M11</f>
        <v>103</v>
      </c>
      <c r="O11" s="75">
        <f>N11/L11*100</f>
        <v>16.19496855345912</v>
      </c>
      <c r="P11" s="75">
        <f>VLOOKUP($A11,'Data Vlaue (Cr)'!$C:$FB,119)</f>
        <v>0.75</v>
      </c>
      <c r="Q11" s="75">
        <f>VLOOKUP($A11,'Data Vlaue (Cr)'!$C:$FB,122)*100</f>
        <v>29.310000000000002</v>
      </c>
      <c r="R11" s="75">
        <f>VLOOKUP($A11,'Data Vlaue (Cr)'!$C:$FB,125)</f>
        <v>0.4</v>
      </c>
      <c r="S11" s="75">
        <f>VLOOKUP($A11,'Data Vlaue (Cr)'!$C:$FB,128)*100</f>
        <v>100</v>
      </c>
    </row>
    <row r="12" spans="1:19" x14ac:dyDescent="0.25">
      <c r="A12" s="96" t="str">
        <f>'Data Vlaue (Cr)'!C3</f>
        <v>AARTIIND</v>
      </c>
      <c r="B12" s="75">
        <f>VLOOKUP($A12,'Data Vlaue (Cr)'!$C:$FB,2)</f>
        <v>1325</v>
      </c>
      <c r="C12" s="75">
        <f>VLOOKUP($A12,'Data Vlaue (Cr)'!$C:$FB,8)</f>
        <v>420.05</v>
      </c>
      <c r="D12" s="75">
        <f>VLOOKUP($A12,'Data Vlaue (Cr)'!$C:$FB,4)</f>
        <v>0</v>
      </c>
      <c r="E12" s="75">
        <f>VLOOKUP($A12,'Data Vlaue (Cr)'!$C:$FB,5)</f>
        <v>0</v>
      </c>
      <c r="F12" s="75">
        <f t="shared" ref="F12:F75" si="0">D12-C12</f>
        <v>-420.05</v>
      </c>
      <c r="G12" s="75" t="e">
        <f t="shared" ref="G12:G74" si="1">(D12-E12)/D12*100</f>
        <v>#DIV/0!</v>
      </c>
      <c r="H12" s="75">
        <f>VLOOKUP($A12,'Data Vlaue (Cr)'!$C:$FB,99)</f>
        <v>0</v>
      </c>
      <c r="I12" s="75">
        <f>VLOOKUP($A12,'Data Vlaue (Cr)'!$C:$FB,100)</f>
        <v>0</v>
      </c>
      <c r="J12" s="75">
        <f t="shared" ref="J12:J75" si="2">H12-I12</f>
        <v>0</v>
      </c>
      <c r="K12" s="75" t="e">
        <f t="shared" ref="K12:K75" si="3">J12/H12*100</f>
        <v>#DIV/0!</v>
      </c>
      <c r="L12" s="75">
        <f>VLOOKUP($A12,'Data Vlaue (Cr)'!$C:$FB,67)</f>
        <v>0</v>
      </c>
      <c r="M12" s="75">
        <f>VLOOKUP($A12,'Data Vlaue (Cr)'!$C:$FB,68)</f>
        <v>0</v>
      </c>
      <c r="N12" s="75">
        <f t="shared" ref="N12:N75" si="4">L12-M12</f>
        <v>0</v>
      </c>
      <c r="O12" s="75" t="e">
        <f t="shared" ref="O12:O75" si="5">N12/L12*100</f>
        <v>#DIV/0!</v>
      </c>
      <c r="P12" s="75">
        <f>VLOOKUP($A12,'Data Vlaue (Cr)'!$C:$FB,119)</f>
        <v>0.37</v>
      </c>
      <c r="Q12" s="75">
        <f>VLOOKUP($A12,'Data Vlaue (Cr)'!$C:$FB,122)*100</f>
        <v>-13.950000000000001</v>
      </c>
      <c r="R12" s="75">
        <f>VLOOKUP($A12,'Data Vlaue (Cr)'!$C:$FB,125)</f>
        <v>0.74</v>
      </c>
      <c r="S12" s="75">
        <f>VLOOKUP($A12,'Data Vlaue (Cr)'!$C:$FB,128)*100</f>
        <v>54.169999999999995</v>
      </c>
    </row>
    <row r="13" spans="1:19" x14ac:dyDescent="0.25">
      <c r="A13" s="96" t="str">
        <f>'Data Vlaue (Cr)'!C4</f>
        <v>ABB</v>
      </c>
      <c r="B13" s="75">
        <f>VLOOKUP($A13,'Data Vlaue (Cr)'!$C:$FB,2)</f>
        <v>125</v>
      </c>
      <c r="C13" s="75">
        <f>VLOOKUP($A13,'Data Vlaue (Cr)'!$C:$FB,8)</f>
        <v>5510</v>
      </c>
      <c r="D13" s="75">
        <f>VLOOKUP($A13,'Data Vlaue (Cr)'!$C:$FB,4)</f>
        <v>5525</v>
      </c>
      <c r="E13" s="75">
        <f>VLOOKUP($A13,'Data Vlaue (Cr)'!$C:$FB,5)</f>
        <v>5568.5</v>
      </c>
      <c r="F13" s="75">
        <f t="shared" si="0"/>
        <v>15</v>
      </c>
      <c r="G13" s="75">
        <f t="shared" si="1"/>
        <v>-0.78733031674208154</v>
      </c>
      <c r="H13" s="75">
        <f>VLOOKUP($A13,'Data Vlaue (Cr)'!$C:$FB,99)</f>
        <v>2002</v>
      </c>
      <c r="I13" s="75">
        <f>VLOOKUP($A13,'Data Vlaue (Cr)'!$C:$FB,100)</f>
        <v>2858</v>
      </c>
      <c r="J13" s="75">
        <f t="shared" si="2"/>
        <v>-856</v>
      </c>
      <c r="K13" s="75">
        <f t="shared" si="3"/>
        <v>-42.757242757242757</v>
      </c>
      <c r="L13" s="75">
        <f>VLOOKUP($A13,'Data Vlaue (Cr)'!$C:$FB,67)</f>
        <v>1716</v>
      </c>
      <c r="M13" s="75">
        <f>VLOOKUP($A13,'Data Vlaue (Cr)'!$C:$FB,68)</f>
        <v>3420</v>
      </c>
      <c r="N13" s="75">
        <f t="shared" si="4"/>
        <v>-1704</v>
      </c>
      <c r="O13" s="75">
        <f t="shared" si="5"/>
        <v>-99.300699300699307</v>
      </c>
      <c r="P13" s="75">
        <f>VLOOKUP($A13,'Data Vlaue (Cr)'!$C:$FB,119)</f>
        <v>1.1399999999999999</v>
      </c>
      <c r="Q13" s="75">
        <f>VLOOKUP($A13,'Data Vlaue (Cr)'!$C:$FB,122)*100</f>
        <v>93.22</v>
      </c>
      <c r="R13" s="75">
        <f>VLOOKUP($A13,'Data Vlaue (Cr)'!$C:$FB,125)</f>
        <v>0.56999999999999995</v>
      </c>
      <c r="S13" s="75">
        <f>VLOOKUP($A13,'Data Vlaue (Cr)'!$C:$FB,128)*100</f>
        <v>-18.57</v>
      </c>
    </row>
    <row r="14" spans="1:19" x14ac:dyDescent="0.25">
      <c r="A14" s="96" t="str">
        <f>'Data Vlaue (Cr)'!C5</f>
        <v>ABCAPITAL</v>
      </c>
      <c r="B14" s="75">
        <f>VLOOKUP($A14,'Data Vlaue (Cr)'!$C:$FB,2)</f>
        <v>3100</v>
      </c>
      <c r="C14" s="75">
        <f>VLOOKUP($A14,'Data Vlaue (Cr)'!$C:$FB,8)</f>
        <v>256.64999999999998</v>
      </c>
      <c r="D14" s="75">
        <f>VLOOKUP($A14,'Data Vlaue (Cr)'!$C:$FB,4)</f>
        <v>257.3</v>
      </c>
      <c r="E14" s="75">
        <f>VLOOKUP($A14,'Data Vlaue (Cr)'!$C:$FB,5)</f>
        <v>250.2</v>
      </c>
      <c r="F14" s="75">
        <f t="shared" si="0"/>
        <v>0.65000000000003411</v>
      </c>
      <c r="G14" s="75">
        <f t="shared" si="1"/>
        <v>2.7594247959580342</v>
      </c>
      <c r="H14" s="75">
        <f>VLOOKUP($A14,'Data Vlaue (Cr)'!$C:$FB,99)</f>
        <v>1758</v>
      </c>
      <c r="I14" s="75">
        <f>VLOOKUP($A14,'Data Vlaue (Cr)'!$C:$FB,100)</f>
        <v>2356</v>
      </c>
      <c r="J14" s="75">
        <f t="shared" si="2"/>
        <v>-598</v>
      </c>
      <c r="K14" s="75">
        <f t="shared" si="3"/>
        <v>-34.015927189988624</v>
      </c>
      <c r="L14" s="75">
        <f>VLOOKUP($A14,'Data Vlaue (Cr)'!$C:$FB,67)</f>
        <v>1851</v>
      </c>
      <c r="M14" s="75">
        <f>VLOOKUP($A14,'Data Vlaue (Cr)'!$C:$FB,68)</f>
        <v>1365</v>
      </c>
      <c r="N14" s="75">
        <f t="shared" si="4"/>
        <v>486</v>
      </c>
      <c r="O14" s="75">
        <f>N14/L14*100</f>
        <v>26.256077795786059</v>
      </c>
      <c r="P14" s="75">
        <f>VLOOKUP($A14,'Data Vlaue (Cr)'!$C:$FB,119)</f>
        <v>0.56999999999999995</v>
      </c>
      <c r="Q14" s="75">
        <f>VLOOKUP($A14,'Data Vlaue (Cr)'!$C:$FB,122)*100</f>
        <v>11.76</v>
      </c>
      <c r="R14" s="75">
        <f>VLOOKUP($A14,'Data Vlaue (Cr)'!$C:$FB,125)</f>
        <v>0.5</v>
      </c>
      <c r="S14" s="75">
        <f>VLOOKUP($A14,'Data Vlaue (Cr)'!$C:$FB,128)*100</f>
        <v>-7.41</v>
      </c>
    </row>
    <row r="15" spans="1:19" x14ac:dyDescent="0.25">
      <c r="A15" s="96" t="str">
        <f>'Data Vlaue (Cr)'!C6</f>
        <v>ABFRL</v>
      </c>
      <c r="B15" s="75">
        <f>VLOOKUP($A15,'Data Vlaue (Cr)'!$C:$FB,2)</f>
        <v>2600</v>
      </c>
      <c r="C15" s="75">
        <f>VLOOKUP($A15,'Data Vlaue (Cr)'!$C:$FB,8)</f>
        <v>72.87</v>
      </c>
      <c r="D15" s="75">
        <f>VLOOKUP($A15,'Data Vlaue (Cr)'!$C:$FB,4)</f>
        <v>73.22</v>
      </c>
      <c r="E15" s="75">
        <f>VLOOKUP($A15,'Data Vlaue (Cr)'!$C:$FB,5)</f>
        <v>75.13</v>
      </c>
      <c r="F15" s="75">
        <f t="shared" si="0"/>
        <v>0.34999999999999432</v>
      </c>
      <c r="G15" s="75">
        <f t="shared" si="1"/>
        <v>-2.6085768915596783</v>
      </c>
      <c r="H15" s="75">
        <f>VLOOKUP($A15,'Data Vlaue (Cr)'!$C:$FB,99)</f>
        <v>469</v>
      </c>
      <c r="I15" s="75">
        <f>VLOOKUP($A15,'Data Vlaue (Cr)'!$C:$FB,100)</f>
        <v>681</v>
      </c>
      <c r="J15" s="75">
        <f t="shared" si="2"/>
        <v>-212</v>
      </c>
      <c r="K15" s="75">
        <f t="shared" si="3"/>
        <v>-45.20255863539446</v>
      </c>
      <c r="L15" s="75">
        <f>VLOOKUP($A15,'Data Vlaue (Cr)'!$C:$FB,67)</f>
        <v>407</v>
      </c>
      <c r="M15" s="75">
        <f>VLOOKUP($A15,'Data Vlaue (Cr)'!$C:$FB,68)</f>
        <v>308</v>
      </c>
      <c r="N15" s="75">
        <f t="shared" si="4"/>
        <v>99</v>
      </c>
      <c r="O15" s="75">
        <f t="shared" si="5"/>
        <v>24.324324324324326</v>
      </c>
      <c r="P15" s="75">
        <f>VLOOKUP($A15,'Data Vlaue (Cr)'!$C:$FB,119)</f>
        <v>0.96</v>
      </c>
      <c r="Q15" s="75">
        <f>VLOOKUP($A15,'Data Vlaue (Cr)'!$C:$FB,122)*100</f>
        <v>39.129999999999995</v>
      </c>
      <c r="R15" s="75">
        <f>VLOOKUP($A15,'Data Vlaue (Cr)'!$C:$FB,125)</f>
        <v>1.27</v>
      </c>
      <c r="S15" s="75">
        <f>VLOOKUP($A15,'Data Vlaue (Cr)'!$C:$FB,128)*100</f>
        <v>12.389999999999999</v>
      </c>
    </row>
    <row r="16" spans="1:19" x14ac:dyDescent="0.25">
      <c r="A16" s="96" t="str">
        <f>'Data Vlaue (Cr)'!C7</f>
        <v>ACC</v>
      </c>
      <c r="B16" s="75">
        <f>VLOOKUP($A16,'Data Vlaue (Cr)'!$C:$FB,2)</f>
        <v>300</v>
      </c>
      <c r="C16" s="75">
        <f>VLOOKUP($A16,'Data Vlaue (Cr)'!$C:$FB,8)</f>
        <v>1788.4</v>
      </c>
      <c r="D16" s="75">
        <f>VLOOKUP($A16,'Data Vlaue (Cr)'!$C:$FB,4)</f>
        <v>0</v>
      </c>
      <c r="E16" s="75">
        <f>VLOOKUP($A16,'Data Vlaue (Cr)'!$C:$FB,5)</f>
        <v>0</v>
      </c>
      <c r="F16" s="75">
        <f t="shared" si="0"/>
        <v>-1788.4</v>
      </c>
      <c r="G16" s="75" t="e">
        <f t="shared" si="1"/>
        <v>#DIV/0!</v>
      </c>
      <c r="H16" s="75">
        <f>VLOOKUP($A16,'Data Vlaue (Cr)'!$C:$FB,99)</f>
        <v>0</v>
      </c>
      <c r="I16" s="75">
        <f>VLOOKUP($A16,'Data Vlaue (Cr)'!$C:$FB,100)</f>
        <v>0</v>
      </c>
      <c r="J16" s="75">
        <f t="shared" si="2"/>
        <v>0</v>
      </c>
      <c r="K16" s="75" t="e">
        <f t="shared" si="3"/>
        <v>#DIV/0!</v>
      </c>
      <c r="L16" s="75">
        <f>VLOOKUP($A16,'Data Vlaue (Cr)'!$C:$FB,67)</f>
        <v>0</v>
      </c>
      <c r="M16" s="75">
        <f>VLOOKUP($A16,'Data Vlaue (Cr)'!$C:$FB,68)</f>
        <v>0</v>
      </c>
      <c r="N16" s="75">
        <f t="shared" si="4"/>
        <v>0</v>
      </c>
      <c r="O16" s="75" t="e">
        <f t="shared" si="5"/>
        <v>#DIV/0!</v>
      </c>
      <c r="P16" s="75">
        <f>VLOOKUP($A16,'Data Vlaue (Cr)'!$C:$FB,119)</f>
        <v>0.49</v>
      </c>
      <c r="Q16" s="75">
        <f>VLOOKUP($A16,'Data Vlaue (Cr)'!$C:$FB,122)*100</f>
        <v>-16.950000000000003</v>
      </c>
      <c r="R16" s="75">
        <f>VLOOKUP($A16,'Data Vlaue (Cr)'!$C:$FB,125)</f>
        <v>0.77</v>
      </c>
      <c r="S16" s="75">
        <f>VLOOKUP($A16,'Data Vlaue (Cr)'!$C:$FB,128)*100</f>
        <v>92.5</v>
      </c>
    </row>
    <row r="17" spans="1:19" x14ac:dyDescent="0.25">
      <c r="A17" s="96" t="str">
        <f>'Data Vlaue (Cr)'!C8</f>
        <v>ADANIENSOL</v>
      </c>
      <c r="B17" s="75">
        <f>VLOOKUP($A17,'Data Vlaue (Cr)'!$C:$FB,2)</f>
        <v>675</v>
      </c>
      <c r="C17" s="75">
        <f>VLOOKUP($A17,'Data Vlaue (Cr)'!$C:$FB,8)</f>
        <v>808.4</v>
      </c>
      <c r="D17" s="75">
        <f>VLOOKUP($A17,'Data Vlaue (Cr)'!$C:$FB,4)</f>
        <v>811.4</v>
      </c>
      <c r="E17" s="75">
        <f>VLOOKUP($A17,'Data Vlaue (Cr)'!$C:$FB,5)</f>
        <v>828.55</v>
      </c>
      <c r="F17" s="75">
        <f t="shared" si="0"/>
        <v>3</v>
      </c>
      <c r="G17" s="75">
        <f t="shared" si="1"/>
        <v>-2.113630761646534</v>
      </c>
      <c r="H17" s="75">
        <f>VLOOKUP($A17,'Data Vlaue (Cr)'!$C:$FB,99)</f>
        <v>1811</v>
      </c>
      <c r="I17" s="75">
        <f>VLOOKUP($A17,'Data Vlaue (Cr)'!$C:$FB,100)</f>
        <v>2161</v>
      </c>
      <c r="J17" s="75">
        <f t="shared" si="2"/>
        <v>-350</v>
      </c>
      <c r="K17" s="75">
        <f t="shared" si="3"/>
        <v>-19.326339039204861</v>
      </c>
      <c r="L17" s="75">
        <f>VLOOKUP($A17,'Data Vlaue (Cr)'!$C:$FB,67)</f>
        <v>883</v>
      </c>
      <c r="M17" s="75">
        <f>VLOOKUP($A17,'Data Vlaue (Cr)'!$C:$FB,68)</f>
        <v>961</v>
      </c>
      <c r="N17" s="75">
        <f t="shared" si="4"/>
        <v>-78</v>
      </c>
      <c r="O17" s="75">
        <f t="shared" si="5"/>
        <v>-8.8335220838052084</v>
      </c>
      <c r="P17" s="75">
        <f>VLOOKUP($A17,'Data Vlaue (Cr)'!$C:$FB,119)</f>
        <v>1.02</v>
      </c>
      <c r="Q17" s="75">
        <f>VLOOKUP($A17,'Data Vlaue (Cr)'!$C:$FB,122)*100</f>
        <v>41.67</v>
      </c>
      <c r="R17" s="75">
        <f>VLOOKUP($A17,'Data Vlaue (Cr)'!$C:$FB,125)</f>
        <v>0.71</v>
      </c>
      <c r="S17" s="75">
        <f>VLOOKUP($A17,'Data Vlaue (Cr)'!$C:$FB,128)*100</f>
        <v>20.34</v>
      </c>
    </row>
    <row r="18" spans="1:19" x14ac:dyDescent="0.25">
      <c r="A18" s="96" t="str">
        <f>'Data Vlaue (Cr)'!C9</f>
        <v>ADANIENT</v>
      </c>
      <c r="B18" s="75">
        <f>VLOOKUP($A18,'Data Vlaue (Cr)'!$C:$FB,2)</f>
        <v>300</v>
      </c>
      <c r="C18" s="75">
        <f>VLOOKUP($A18,'Data Vlaue (Cr)'!$C:$FB,8)</f>
        <v>2430.6999999999998</v>
      </c>
      <c r="D18" s="75">
        <f>VLOOKUP($A18,'Data Vlaue (Cr)'!$C:$FB,4)</f>
        <v>2440.1</v>
      </c>
      <c r="E18" s="75">
        <f>VLOOKUP($A18,'Data Vlaue (Cr)'!$C:$FB,5)</f>
        <v>2544.6999999999998</v>
      </c>
      <c r="F18" s="75">
        <f t="shared" si="0"/>
        <v>9.4000000000000909</v>
      </c>
      <c r="G18" s="75">
        <f t="shared" si="1"/>
        <v>-4.2867095610835584</v>
      </c>
      <c r="H18" s="75">
        <f>VLOOKUP($A18,'Data Vlaue (Cr)'!$C:$FB,99)</f>
        <v>6720</v>
      </c>
      <c r="I18" s="75">
        <f>VLOOKUP($A18,'Data Vlaue (Cr)'!$C:$FB,100)</f>
        <v>8124</v>
      </c>
      <c r="J18" s="75">
        <f t="shared" si="2"/>
        <v>-1404</v>
      </c>
      <c r="K18" s="75">
        <f t="shared" si="3"/>
        <v>-20.892857142857142</v>
      </c>
      <c r="L18" s="75">
        <f>VLOOKUP($A18,'Data Vlaue (Cr)'!$C:$FB,67)</f>
        <v>9686</v>
      </c>
      <c r="M18" s="75">
        <f>VLOOKUP($A18,'Data Vlaue (Cr)'!$C:$FB,68)</f>
        <v>4192</v>
      </c>
      <c r="N18" s="75">
        <f t="shared" si="4"/>
        <v>5494</v>
      </c>
      <c r="O18" s="75">
        <f t="shared" si="5"/>
        <v>56.721040677266153</v>
      </c>
      <c r="P18" s="75">
        <f>VLOOKUP($A18,'Data Vlaue (Cr)'!$C:$FB,119)</f>
        <v>1.08</v>
      </c>
      <c r="Q18" s="75">
        <f>VLOOKUP($A18,'Data Vlaue (Cr)'!$C:$FB,122)*100</f>
        <v>35</v>
      </c>
      <c r="R18" s="75">
        <f>VLOOKUP($A18,'Data Vlaue (Cr)'!$C:$FB,125)</f>
        <v>0.61</v>
      </c>
      <c r="S18" s="75">
        <f>VLOOKUP($A18,'Data Vlaue (Cr)'!$C:$FB,128)*100</f>
        <v>52.5</v>
      </c>
    </row>
    <row r="19" spans="1:19" x14ac:dyDescent="0.25">
      <c r="A19" s="96" t="str">
        <f>'Data Vlaue (Cr)'!C10</f>
        <v>ADANIGREEN</v>
      </c>
      <c r="B19" s="75">
        <f>VLOOKUP($A19,'Data Vlaue (Cr)'!$C:$FB,2)</f>
        <v>600</v>
      </c>
      <c r="C19" s="75">
        <f>VLOOKUP($A19,'Data Vlaue (Cr)'!$C:$FB,8)</f>
        <v>984.7</v>
      </c>
      <c r="D19" s="75">
        <f>VLOOKUP($A19,'Data Vlaue (Cr)'!$C:$FB,4)</f>
        <v>988.2</v>
      </c>
      <c r="E19" s="75">
        <f>VLOOKUP($A19,'Data Vlaue (Cr)'!$C:$FB,5)</f>
        <v>1015.8</v>
      </c>
      <c r="F19" s="75">
        <f t="shared" si="0"/>
        <v>3.5</v>
      </c>
      <c r="G19" s="75">
        <f t="shared" si="1"/>
        <v>-2.7929568913175378</v>
      </c>
      <c r="H19" s="75">
        <f>VLOOKUP($A19,'Data Vlaue (Cr)'!$C:$FB,99)</f>
        <v>2517</v>
      </c>
      <c r="I19" s="75">
        <f>VLOOKUP($A19,'Data Vlaue (Cr)'!$C:$FB,100)</f>
        <v>3240</v>
      </c>
      <c r="J19" s="75">
        <f t="shared" si="2"/>
        <v>-723</v>
      </c>
      <c r="K19" s="75">
        <f t="shared" si="3"/>
        <v>-28.724672228843861</v>
      </c>
      <c r="L19" s="75">
        <f>VLOOKUP($A19,'Data Vlaue (Cr)'!$C:$FB,67)</f>
        <v>2888</v>
      </c>
      <c r="M19" s="75">
        <f>VLOOKUP($A19,'Data Vlaue (Cr)'!$C:$FB,68)</f>
        <v>2637</v>
      </c>
      <c r="N19" s="75">
        <f t="shared" si="4"/>
        <v>251</v>
      </c>
      <c r="O19" s="75">
        <f t="shared" si="5"/>
        <v>8.6911357340720219</v>
      </c>
      <c r="P19" s="75">
        <f>VLOOKUP($A19,'Data Vlaue (Cr)'!$C:$FB,119)</f>
        <v>0.63</v>
      </c>
      <c r="Q19" s="75">
        <f>VLOOKUP($A19,'Data Vlaue (Cr)'!$C:$FB,122)*100</f>
        <v>1.6099999999999999</v>
      </c>
      <c r="R19" s="75">
        <f>VLOOKUP($A19,'Data Vlaue (Cr)'!$C:$FB,125)</f>
        <v>0.7</v>
      </c>
      <c r="S19" s="75">
        <f>VLOOKUP($A19,'Data Vlaue (Cr)'!$C:$FB,128)*100</f>
        <v>25</v>
      </c>
    </row>
    <row r="20" spans="1:19" x14ac:dyDescent="0.25">
      <c r="A20" s="96" t="str">
        <f>'Data Vlaue (Cr)'!C11</f>
        <v>ADANIPORTS</v>
      </c>
      <c r="B20" s="75">
        <f>VLOOKUP($A20,'Data Vlaue (Cr)'!$C:$FB,2)</f>
        <v>475</v>
      </c>
      <c r="C20" s="75">
        <f>VLOOKUP($A20,'Data Vlaue (Cr)'!$C:$FB,8)</f>
        <v>1373.1</v>
      </c>
      <c r="D20" s="75">
        <f>VLOOKUP($A20,'Data Vlaue (Cr)'!$C:$FB,4)</f>
        <v>1380.9</v>
      </c>
      <c r="E20" s="75">
        <f>VLOOKUP($A20,'Data Vlaue (Cr)'!$C:$FB,5)</f>
        <v>1402.8</v>
      </c>
      <c r="F20" s="75">
        <f t="shared" si="0"/>
        <v>7.8000000000001819</v>
      </c>
      <c r="G20" s="75">
        <f t="shared" si="1"/>
        <v>-1.5859222246360969</v>
      </c>
      <c r="H20" s="75">
        <f>VLOOKUP($A20,'Data Vlaue (Cr)'!$C:$FB,99)</f>
        <v>3805</v>
      </c>
      <c r="I20" s="75">
        <f>VLOOKUP($A20,'Data Vlaue (Cr)'!$C:$FB,100)</f>
        <v>4929</v>
      </c>
      <c r="J20" s="75">
        <f t="shared" si="2"/>
        <v>-1124</v>
      </c>
      <c r="K20" s="75">
        <f t="shared" si="3"/>
        <v>-29.540078843626805</v>
      </c>
      <c r="L20" s="75">
        <f>VLOOKUP($A20,'Data Vlaue (Cr)'!$C:$FB,67)</f>
        <v>3301</v>
      </c>
      <c r="M20" s="75">
        <f>VLOOKUP($A20,'Data Vlaue (Cr)'!$C:$FB,68)</f>
        <v>3115</v>
      </c>
      <c r="N20" s="75">
        <f t="shared" si="4"/>
        <v>186</v>
      </c>
      <c r="O20" s="75">
        <f t="shared" si="5"/>
        <v>5.634656164798546</v>
      </c>
      <c r="P20" s="75">
        <f>VLOOKUP($A20,'Data Vlaue (Cr)'!$C:$FB,119)</f>
        <v>1.1000000000000001</v>
      </c>
      <c r="Q20" s="75">
        <f>VLOOKUP($A20,'Data Vlaue (Cr)'!$C:$FB,122)*100</f>
        <v>39.24</v>
      </c>
      <c r="R20" s="75">
        <f>VLOOKUP($A20,'Data Vlaue (Cr)'!$C:$FB,125)</f>
        <v>0.86</v>
      </c>
      <c r="S20" s="75">
        <f>VLOOKUP($A20,'Data Vlaue (Cr)'!$C:$FB,128)*100</f>
        <v>48.28</v>
      </c>
    </row>
    <row r="21" spans="1:19" x14ac:dyDescent="0.25">
      <c r="A21" s="96" t="str">
        <f>'Data Vlaue (Cr)'!C12</f>
        <v>ALKEM</v>
      </c>
      <c r="B21" s="75">
        <f>VLOOKUP($A21,'Data Vlaue (Cr)'!$C:$FB,2)</f>
        <v>125</v>
      </c>
      <c r="C21" s="75">
        <f>VLOOKUP($A21,'Data Vlaue (Cr)'!$C:$FB,8)</f>
        <v>5031.1000000000004</v>
      </c>
      <c r="D21" s="75">
        <f>VLOOKUP($A21,'Data Vlaue (Cr)'!$C:$FB,4)</f>
        <v>5039.3999999999996</v>
      </c>
      <c r="E21" s="75">
        <f>VLOOKUP($A21,'Data Vlaue (Cr)'!$C:$FB,5)</f>
        <v>5120.8</v>
      </c>
      <c r="F21" s="75">
        <f t="shared" si="0"/>
        <v>8.2999999999992724</v>
      </c>
      <c r="G21" s="75">
        <f t="shared" si="1"/>
        <v>-1.6152716593245335</v>
      </c>
      <c r="H21" s="75">
        <f>VLOOKUP($A21,'Data Vlaue (Cr)'!$C:$FB,99)</f>
        <v>654</v>
      </c>
      <c r="I21" s="75">
        <f>VLOOKUP($A21,'Data Vlaue (Cr)'!$C:$FB,100)</f>
        <v>868</v>
      </c>
      <c r="J21" s="75">
        <f t="shared" si="2"/>
        <v>-214</v>
      </c>
      <c r="K21" s="75">
        <f t="shared" si="3"/>
        <v>-32.721712538226299</v>
      </c>
      <c r="L21" s="75">
        <f>VLOOKUP($A21,'Data Vlaue (Cr)'!$C:$FB,67)</f>
        <v>524</v>
      </c>
      <c r="M21" s="75">
        <f>VLOOKUP($A21,'Data Vlaue (Cr)'!$C:$FB,68)</f>
        <v>739</v>
      </c>
      <c r="N21" s="75">
        <f t="shared" si="4"/>
        <v>-215</v>
      </c>
      <c r="O21" s="75">
        <f t="shared" si="5"/>
        <v>-41.030534351145036</v>
      </c>
      <c r="P21" s="75">
        <f>VLOOKUP($A21,'Data Vlaue (Cr)'!$C:$FB,119)</f>
        <v>0.59</v>
      </c>
      <c r="Q21" s="75">
        <f>VLOOKUP($A21,'Data Vlaue (Cr)'!$C:$FB,122)*100</f>
        <v>-14.49</v>
      </c>
      <c r="R21" s="75">
        <f>VLOOKUP($A21,'Data Vlaue (Cr)'!$C:$FB,125)</f>
        <v>0.57999999999999996</v>
      </c>
      <c r="S21" s="75">
        <f>VLOOKUP($A21,'Data Vlaue (Cr)'!$C:$FB,128)*100</f>
        <v>1.7500000000000002</v>
      </c>
    </row>
    <row r="22" spans="1:19" x14ac:dyDescent="0.25">
      <c r="A22" s="96" t="str">
        <f>'Data Vlaue (Cr)'!C13</f>
        <v>AMBER</v>
      </c>
      <c r="B22" s="75">
        <f>VLOOKUP($A22,'Data Vlaue (Cr)'!$C:$FB,2)</f>
        <v>100</v>
      </c>
      <c r="C22" s="75">
        <f>VLOOKUP($A22,'Data Vlaue (Cr)'!$C:$FB,8)</f>
        <v>7963.5</v>
      </c>
      <c r="D22" s="75">
        <f>VLOOKUP($A22,'Data Vlaue (Cr)'!$C:$FB,4)</f>
        <v>7995</v>
      </c>
      <c r="E22" s="75">
        <f>VLOOKUP($A22,'Data Vlaue (Cr)'!$C:$FB,5)</f>
        <v>8067.5</v>
      </c>
      <c r="F22" s="75">
        <f t="shared" si="0"/>
        <v>31.5</v>
      </c>
      <c r="G22" s="75">
        <f t="shared" si="1"/>
        <v>-0.90681676047529702</v>
      </c>
      <c r="H22" s="75">
        <f>VLOOKUP($A22,'Data Vlaue (Cr)'!$C:$FB,99)</f>
        <v>685</v>
      </c>
      <c r="I22" s="75">
        <f>VLOOKUP($A22,'Data Vlaue (Cr)'!$C:$FB,100)</f>
        <v>1119</v>
      </c>
      <c r="J22" s="75">
        <f t="shared" si="2"/>
        <v>-434</v>
      </c>
      <c r="K22" s="75">
        <f t="shared" si="3"/>
        <v>-63.357664233576635</v>
      </c>
      <c r="L22" s="75">
        <f>VLOOKUP($A22,'Data Vlaue (Cr)'!$C:$FB,67)</f>
        <v>1679</v>
      </c>
      <c r="M22" s="75">
        <f>VLOOKUP($A22,'Data Vlaue (Cr)'!$C:$FB,68)</f>
        <v>5136</v>
      </c>
      <c r="N22" s="75">
        <f t="shared" si="4"/>
        <v>-3457</v>
      </c>
      <c r="O22" s="75">
        <f t="shared" si="5"/>
        <v>-205.89636688505064</v>
      </c>
      <c r="P22" s="75">
        <f>VLOOKUP($A22,'Data Vlaue (Cr)'!$C:$FB,119)</f>
        <v>0.63</v>
      </c>
      <c r="Q22" s="75">
        <f>VLOOKUP($A22,'Data Vlaue (Cr)'!$C:$FB,122)*100</f>
        <v>-21.25</v>
      </c>
      <c r="R22" s="75">
        <f>VLOOKUP($A22,'Data Vlaue (Cr)'!$C:$FB,125)</f>
        <v>0.63</v>
      </c>
      <c r="S22" s="75">
        <f>VLOOKUP($A22,'Data Vlaue (Cr)'!$C:$FB,128)*100</f>
        <v>103.23</v>
      </c>
    </row>
    <row r="23" spans="1:19" x14ac:dyDescent="0.25">
      <c r="A23" s="96" t="str">
        <f>'Data Vlaue (Cr)'!C14</f>
        <v>AMBUJACEM</v>
      </c>
      <c r="B23" s="75">
        <f>VLOOKUP($A23,'Data Vlaue (Cr)'!$C:$FB,2)</f>
        <v>1050</v>
      </c>
      <c r="C23" s="75">
        <f>VLOOKUP($A23,'Data Vlaue (Cr)'!$C:$FB,8)</f>
        <v>592.70000000000005</v>
      </c>
      <c r="D23" s="75">
        <f>VLOOKUP($A23,'Data Vlaue (Cr)'!$C:$FB,4)</f>
        <v>594.65</v>
      </c>
      <c r="E23" s="75">
        <f>VLOOKUP($A23,'Data Vlaue (Cr)'!$C:$FB,5)</f>
        <v>621.15</v>
      </c>
      <c r="F23" s="75">
        <f t="shared" si="0"/>
        <v>1.9499999999999318</v>
      </c>
      <c r="G23" s="75">
        <f t="shared" si="1"/>
        <v>-4.4564029260909779</v>
      </c>
      <c r="H23" s="75">
        <f>VLOOKUP($A23,'Data Vlaue (Cr)'!$C:$FB,99)</f>
        <v>2480</v>
      </c>
      <c r="I23" s="75">
        <f>VLOOKUP($A23,'Data Vlaue (Cr)'!$C:$FB,100)</f>
        <v>2445</v>
      </c>
      <c r="J23" s="75">
        <f t="shared" si="2"/>
        <v>35</v>
      </c>
      <c r="K23" s="75">
        <f t="shared" si="3"/>
        <v>1.411290322580645</v>
      </c>
      <c r="L23" s="75">
        <f>VLOOKUP($A23,'Data Vlaue (Cr)'!$C:$FB,67)</f>
        <v>4972</v>
      </c>
      <c r="M23" s="75">
        <f>VLOOKUP($A23,'Data Vlaue (Cr)'!$C:$FB,68)</f>
        <v>1845</v>
      </c>
      <c r="N23" s="75">
        <f t="shared" si="4"/>
        <v>3127</v>
      </c>
      <c r="O23" s="75">
        <f t="shared" si="5"/>
        <v>62.892196299275952</v>
      </c>
      <c r="P23" s="75">
        <f>VLOOKUP($A23,'Data Vlaue (Cr)'!$C:$FB,119)</f>
        <v>0.56999999999999995</v>
      </c>
      <c r="Q23" s="75">
        <f>VLOOKUP($A23,'Data Vlaue (Cr)'!$C:$FB,122)*100</f>
        <v>-35.229999999999997</v>
      </c>
      <c r="R23" s="75">
        <f>VLOOKUP($A23,'Data Vlaue (Cr)'!$C:$FB,125)</f>
        <v>0.41</v>
      </c>
      <c r="S23" s="75">
        <f>VLOOKUP($A23,'Data Vlaue (Cr)'!$C:$FB,128)*100</f>
        <v>-2.3800000000000003</v>
      </c>
    </row>
    <row r="24" spans="1:19" x14ac:dyDescent="0.25">
      <c r="A24" s="96" t="str">
        <f>'Data Vlaue (Cr)'!C15</f>
        <v>ANGELONE</v>
      </c>
      <c r="B24" s="75">
        <f>VLOOKUP($A24,'Data Vlaue (Cr)'!$C:$FB,2)</f>
        <v>250</v>
      </c>
      <c r="C24" s="75">
        <f>VLOOKUP($A24,'Data Vlaue (Cr)'!$C:$FB,8)</f>
        <v>2600.9</v>
      </c>
      <c r="D24" s="75">
        <f>VLOOKUP($A24,'Data Vlaue (Cr)'!$C:$FB,4)</f>
        <v>2611.8000000000002</v>
      </c>
      <c r="E24" s="75">
        <f>VLOOKUP($A24,'Data Vlaue (Cr)'!$C:$FB,5)</f>
        <v>2652.4</v>
      </c>
      <c r="F24" s="75">
        <f t="shared" si="0"/>
        <v>10.900000000000091</v>
      </c>
      <c r="G24" s="75">
        <f t="shared" si="1"/>
        <v>-1.5544834979707445</v>
      </c>
      <c r="H24" s="75">
        <f>VLOOKUP($A24,'Data Vlaue (Cr)'!$C:$FB,99)</f>
        <v>872</v>
      </c>
      <c r="I24" s="75">
        <f>VLOOKUP($A24,'Data Vlaue (Cr)'!$C:$FB,100)</f>
        <v>1875</v>
      </c>
      <c r="J24" s="75">
        <f t="shared" si="2"/>
        <v>-1003</v>
      </c>
      <c r="K24" s="75">
        <f t="shared" si="3"/>
        <v>-115.02293577981651</v>
      </c>
      <c r="L24" s="75">
        <f>VLOOKUP($A24,'Data Vlaue (Cr)'!$C:$FB,67)</f>
        <v>1334</v>
      </c>
      <c r="M24" s="75">
        <f>VLOOKUP($A24,'Data Vlaue (Cr)'!$C:$FB,68)</f>
        <v>1734</v>
      </c>
      <c r="N24" s="75">
        <f t="shared" si="4"/>
        <v>-400</v>
      </c>
      <c r="O24" s="75">
        <f t="shared" si="5"/>
        <v>-29.985007496251875</v>
      </c>
      <c r="P24" s="75">
        <f>VLOOKUP($A24,'Data Vlaue (Cr)'!$C:$FB,119)</f>
        <v>0.82</v>
      </c>
      <c r="Q24" s="75">
        <f>VLOOKUP($A24,'Data Vlaue (Cr)'!$C:$FB,122)*100</f>
        <v>30.159999999999997</v>
      </c>
      <c r="R24" s="75">
        <f>VLOOKUP($A24,'Data Vlaue (Cr)'!$C:$FB,125)</f>
        <v>0.64</v>
      </c>
      <c r="S24" s="75">
        <f>VLOOKUP($A24,'Data Vlaue (Cr)'!$C:$FB,128)*100</f>
        <v>12.280000000000001</v>
      </c>
    </row>
    <row r="25" spans="1:19" x14ac:dyDescent="0.25">
      <c r="A25" s="96" t="str">
        <f>'Data Vlaue (Cr)'!C16</f>
        <v>APLAPOLLO</v>
      </c>
      <c r="B25" s="75">
        <f>VLOOKUP($A25,'Data Vlaue (Cr)'!$C:$FB,2)</f>
        <v>350</v>
      </c>
      <c r="C25" s="75">
        <f>VLOOKUP($A25,'Data Vlaue (Cr)'!$C:$FB,8)</f>
        <v>1601.2</v>
      </c>
      <c r="D25" s="75">
        <f>VLOOKUP($A25,'Data Vlaue (Cr)'!$C:$FB,4)</f>
        <v>1600.6</v>
      </c>
      <c r="E25" s="75">
        <f>VLOOKUP($A25,'Data Vlaue (Cr)'!$C:$FB,5)</f>
        <v>1568</v>
      </c>
      <c r="F25" s="75">
        <f t="shared" si="0"/>
        <v>-0.60000000000013642</v>
      </c>
      <c r="G25" s="75">
        <f t="shared" si="1"/>
        <v>2.0367362239160256</v>
      </c>
      <c r="H25" s="75">
        <f>VLOOKUP($A25,'Data Vlaue (Cr)'!$C:$FB,99)</f>
        <v>1202</v>
      </c>
      <c r="I25" s="75">
        <f>VLOOKUP($A25,'Data Vlaue (Cr)'!$C:$FB,100)</f>
        <v>1858</v>
      </c>
      <c r="J25" s="75">
        <f t="shared" si="2"/>
        <v>-656</v>
      </c>
      <c r="K25" s="75">
        <f t="shared" si="3"/>
        <v>-54.575707154742091</v>
      </c>
      <c r="L25" s="75">
        <f>VLOOKUP($A25,'Data Vlaue (Cr)'!$C:$FB,67)</f>
        <v>1549</v>
      </c>
      <c r="M25" s="75">
        <f>VLOOKUP($A25,'Data Vlaue (Cr)'!$C:$FB,68)</f>
        <v>3511</v>
      </c>
      <c r="N25" s="75">
        <f t="shared" si="4"/>
        <v>-1962</v>
      </c>
      <c r="O25" s="75">
        <f t="shared" si="5"/>
        <v>-126.66236281471916</v>
      </c>
      <c r="P25" s="75">
        <f>VLOOKUP($A25,'Data Vlaue (Cr)'!$C:$FB,119)</f>
        <v>1.0900000000000001</v>
      </c>
      <c r="Q25" s="75">
        <f>VLOOKUP($A25,'Data Vlaue (Cr)'!$C:$FB,122)*100</f>
        <v>51.39</v>
      </c>
      <c r="R25" s="75">
        <f>VLOOKUP($A25,'Data Vlaue (Cr)'!$C:$FB,125)</f>
        <v>0.27</v>
      </c>
      <c r="S25" s="75">
        <f>VLOOKUP($A25,'Data Vlaue (Cr)'!$C:$FB,128)*100</f>
        <v>0</v>
      </c>
    </row>
    <row r="26" spans="1:19" x14ac:dyDescent="0.25">
      <c r="A26" s="96" t="str">
        <f>'Data Vlaue (Cr)'!C17</f>
        <v>APOLLOHOSP</v>
      </c>
      <c r="B26" s="75">
        <f>VLOOKUP($A26,'Data Vlaue (Cr)'!$C:$FB,2)</f>
        <v>125</v>
      </c>
      <c r="C26" s="75">
        <f>VLOOKUP($A26,'Data Vlaue (Cr)'!$C:$FB,8)</f>
        <v>7498</v>
      </c>
      <c r="D26" s="75">
        <f>VLOOKUP($A26,'Data Vlaue (Cr)'!$C:$FB,4)</f>
        <v>7517.5</v>
      </c>
      <c r="E26" s="75">
        <f>VLOOKUP($A26,'Data Vlaue (Cr)'!$C:$FB,5)</f>
        <v>7473</v>
      </c>
      <c r="F26" s="75">
        <f t="shared" si="0"/>
        <v>19.5</v>
      </c>
      <c r="G26" s="75">
        <f t="shared" si="1"/>
        <v>0.59195211173927509</v>
      </c>
      <c r="H26" s="75">
        <f>VLOOKUP($A26,'Data Vlaue (Cr)'!$C:$FB,99)</f>
        <v>2113</v>
      </c>
      <c r="I26" s="75">
        <f>VLOOKUP($A26,'Data Vlaue (Cr)'!$C:$FB,100)</f>
        <v>3823</v>
      </c>
      <c r="J26" s="75">
        <f t="shared" si="2"/>
        <v>-1710</v>
      </c>
      <c r="K26" s="75">
        <f t="shared" si="3"/>
        <v>-80.927591102697576</v>
      </c>
      <c r="L26" s="75">
        <f>VLOOKUP($A26,'Data Vlaue (Cr)'!$C:$FB,67)</f>
        <v>2160</v>
      </c>
      <c r="M26" s="75">
        <f>VLOOKUP($A26,'Data Vlaue (Cr)'!$C:$FB,68)</f>
        <v>2427</v>
      </c>
      <c r="N26" s="75">
        <f t="shared" si="4"/>
        <v>-267</v>
      </c>
      <c r="O26" s="75">
        <f t="shared" si="5"/>
        <v>-12.361111111111111</v>
      </c>
      <c r="P26" s="75">
        <f>VLOOKUP($A26,'Data Vlaue (Cr)'!$C:$FB,119)</f>
        <v>0.64</v>
      </c>
      <c r="Q26" s="75">
        <f>VLOOKUP($A26,'Data Vlaue (Cr)'!$C:$FB,122)*100</f>
        <v>14.29</v>
      </c>
      <c r="R26" s="75">
        <f>VLOOKUP($A26,'Data Vlaue (Cr)'!$C:$FB,125)</f>
        <v>0.37</v>
      </c>
      <c r="S26" s="75">
        <f>VLOOKUP($A26,'Data Vlaue (Cr)'!$C:$FB,128)*100</f>
        <v>-26</v>
      </c>
    </row>
    <row r="27" spans="1:19" x14ac:dyDescent="0.25">
      <c r="A27" s="96" t="str">
        <f>'Data Vlaue (Cr)'!C18</f>
        <v>ASHOKLEY</v>
      </c>
      <c r="B27" s="75">
        <f>VLOOKUP($A27,'Data Vlaue (Cr)'!$C:$FB,2)</f>
        <v>5000</v>
      </c>
      <c r="C27" s="75">
        <f>VLOOKUP($A27,'Data Vlaue (Cr)'!$C:$FB,8)</f>
        <v>121.05</v>
      </c>
      <c r="D27" s="75">
        <f>VLOOKUP($A27,'Data Vlaue (Cr)'!$C:$FB,4)</f>
        <v>121.75</v>
      </c>
      <c r="E27" s="75">
        <f>VLOOKUP($A27,'Data Vlaue (Cr)'!$C:$FB,5)</f>
        <v>122.75</v>
      </c>
      <c r="F27" s="75">
        <f t="shared" si="0"/>
        <v>0.70000000000000284</v>
      </c>
      <c r="G27" s="75">
        <f t="shared" si="1"/>
        <v>-0.82135523613963046</v>
      </c>
      <c r="H27" s="75">
        <f>VLOOKUP($A27,'Data Vlaue (Cr)'!$C:$FB,99)</f>
        <v>1263</v>
      </c>
      <c r="I27" s="75">
        <f>VLOOKUP($A27,'Data Vlaue (Cr)'!$C:$FB,100)</f>
        <v>1726</v>
      </c>
      <c r="J27" s="75">
        <f t="shared" si="2"/>
        <v>-463</v>
      </c>
      <c r="K27" s="75">
        <f t="shared" si="3"/>
        <v>-36.658749010292951</v>
      </c>
      <c r="L27" s="75">
        <f>VLOOKUP($A27,'Data Vlaue (Cr)'!$C:$FB,67)</f>
        <v>1094</v>
      </c>
      <c r="M27" s="75">
        <f>VLOOKUP($A27,'Data Vlaue (Cr)'!$C:$FB,68)</f>
        <v>1010</v>
      </c>
      <c r="N27" s="75">
        <f t="shared" si="4"/>
        <v>84</v>
      </c>
      <c r="O27" s="75">
        <f t="shared" si="5"/>
        <v>7.6782449725776969</v>
      </c>
      <c r="P27" s="75">
        <f>VLOOKUP($A27,'Data Vlaue (Cr)'!$C:$FB,119)</f>
        <v>0.79</v>
      </c>
      <c r="Q27" s="75">
        <f>VLOOKUP($A27,'Data Vlaue (Cr)'!$C:$FB,122)*100</f>
        <v>16.18</v>
      </c>
      <c r="R27" s="75">
        <f>VLOOKUP($A27,'Data Vlaue (Cr)'!$C:$FB,125)</f>
        <v>0.99</v>
      </c>
      <c r="S27" s="75">
        <f>VLOOKUP($A27,'Data Vlaue (Cr)'!$C:$FB,128)*100</f>
        <v>32</v>
      </c>
    </row>
    <row r="28" spans="1:19" x14ac:dyDescent="0.25">
      <c r="A28" s="96" t="str">
        <f>'Data Vlaue (Cr)'!C19</f>
        <v>ASIANPAINT</v>
      </c>
      <c r="B28" s="75">
        <f>VLOOKUP($A28,'Data Vlaue (Cr)'!$C:$FB,2)</f>
        <v>250</v>
      </c>
      <c r="C28" s="75">
        <f>VLOOKUP($A28,'Data Vlaue (Cr)'!$C:$FB,8)</f>
        <v>2396.1</v>
      </c>
      <c r="D28" s="75">
        <f>VLOOKUP($A28,'Data Vlaue (Cr)'!$C:$FB,4)</f>
        <v>2404.6</v>
      </c>
      <c r="E28" s="75">
        <f>VLOOKUP($A28,'Data Vlaue (Cr)'!$C:$FB,5)</f>
        <v>2426</v>
      </c>
      <c r="F28" s="75">
        <f t="shared" si="0"/>
        <v>8.5</v>
      </c>
      <c r="G28" s="75">
        <f t="shared" si="1"/>
        <v>-0.88996090825917362</v>
      </c>
      <c r="H28" s="75">
        <f>VLOOKUP($A28,'Data Vlaue (Cr)'!$C:$FB,99)</f>
        <v>4489</v>
      </c>
      <c r="I28" s="75">
        <f>VLOOKUP($A28,'Data Vlaue (Cr)'!$C:$FB,100)</f>
        <v>6764</v>
      </c>
      <c r="J28" s="75">
        <f t="shared" si="2"/>
        <v>-2275</v>
      </c>
      <c r="K28" s="75">
        <f t="shared" si="3"/>
        <v>-50.679438627756731</v>
      </c>
      <c r="L28" s="75">
        <f>VLOOKUP($A28,'Data Vlaue (Cr)'!$C:$FB,67)</f>
        <v>3575</v>
      </c>
      <c r="M28" s="75">
        <f>VLOOKUP($A28,'Data Vlaue (Cr)'!$C:$FB,68)</f>
        <v>10920</v>
      </c>
      <c r="N28" s="75">
        <f t="shared" si="4"/>
        <v>-7345</v>
      </c>
      <c r="O28" s="75">
        <f t="shared" si="5"/>
        <v>-205.45454545454547</v>
      </c>
      <c r="P28" s="75">
        <f>VLOOKUP($A28,'Data Vlaue (Cr)'!$C:$FB,119)</f>
        <v>0.78</v>
      </c>
      <c r="Q28" s="75">
        <f>VLOOKUP($A28,'Data Vlaue (Cr)'!$C:$FB,122)*100</f>
        <v>36.840000000000003</v>
      </c>
      <c r="R28" s="75">
        <f>VLOOKUP($A28,'Data Vlaue (Cr)'!$C:$FB,125)</f>
        <v>0.75</v>
      </c>
      <c r="S28" s="75">
        <f>VLOOKUP($A28,'Data Vlaue (Cr)'!$C:$FB,128)*100</f>
        <v>53.059999999999995</v>
      </c>
    </row>
    <row r="29" spans="1:19" x14ac:dyDescent="0.25">
      <c r="A29" s="96" t="str">
        <f>'Data Vlaue (Cr)'!C20</f>
        <v>ASTRAL</v>
      </c>
      <c r="B29" s="75">
        <f>VLOOKUP($A29,'Data Vlaue (Cr)'!$C:$FB,2)</f>
        <v>425</v>
      </c>
      <c r="C29" s="75">
        <f>VLOOKUP($A29,'Data Vlaue (Cr)'!$C:$FB,8)</f>
        <v>1401.2</v>
      </c>
      <c r="D29" s="75">
        <f>VLOOKUP($A29,'Data Vlaue (Cr)'!$C:$FB,4)</f>
        <v>1408.6</v>
      </c>
      <c r="E29" s="75">
        <f>VLOOKUP($A29,'Data Vlaue (Cr)'!$C:$FB,5)</f>
        <v>1427.2</v>
      </c>
      <c r="F29" s="75">
        <f t="shared" si="0"/>
        <v>7.3999999999998636</v>
      </c>
      <c r="G29" s="75">
        <f t="shared" si="1"/>
        <v>-1.3204600312366988</v>
      </c>
      <c r="H29" s="75">
        <f>VLOOKUP($A29,'Data Vlaue (Cr)'!$C:$FB,99)</f>
        <v>1050</v>
      </c>
      <c r="I29" s="75">
        <f>VLOOKUP($A29,'Data Vlaue (Cr)'!$C:$FB,100)</f>
        <v>1513</v>
      </c>
      <c r="J29" s="75">
        <f t="shared" si="2"/>
        <v>-463</v>
      </c>
      <c r="K29" s="75">
        <f t="shared" si="3"/>
        <v>-44.095238095238095</v>
      </c>
      <c r="L29" s="75">
        <f>VLOOKUP($A29,'Data Vlaue (Cr)'!$C:$FB,67)</f>
        <v>698</v>
      </c>
      <c r="M29" s="75">
        <f>VLOOKUP($A29,'Data Vlaue (Cr)'!$C:$FB,68)</f>
        <v>844</v>
      </c>
      <c r="N29" s="75">
        <f t="shared" si="4"/>
        <v>-146</v>
      </c>
      <c r="O29" s="75">
        <f t="shared" si="5"/>
        <v>-20.916905444126073</v>
      </c>
      <c r="P29" s="75">
        <f>VLOOKUP($A29,'Data Vlaue (Cr)'!$C:$FB,119)</f>
        <v>0.76</v>
      </c>
      <c r="Q29" s="75">
        <f>VLOOKUP($A29,'Data Vlaue (Cr)'!$C:$FB,122)*100</f>
        <v>72.72999999999999</v>
      </c>
      <c r="R29" s="75">
        <f>VLOOKUP($A29,'Data Vlaue (Cr)'!$C:$FB,125)</f>
        <v>0.61</v>
      </c>
      <c r="S29" s="75">
        <f>VLOOKUP($A29,'Data Vlaue (Cr)'!$C:$FB,128)*100</f>
        <v>-7.580000000000001</v>
      </c>
    </row>
    <row r="30" spans="1:19" x14ac:dyDescent="0.25">
      <c r="A30" s="96" t="str">
        <f>'Data Vlaue (Cr)'!C21</f>
        <v>ATGL</v>
      </c>
      <c r="B30" s="75">
        <f>VLOOKUP($A30,'Data Vlaue (Cr)'!$C:$FB,2)</f>
        <v>875</v>
      </c>
      <c r="C30" s="75">
        <f>VLOOKUP($A30,'Data Vlaue (Cr)'!$C:$FB,8)</f>
        <v>604.1</v>
      </c>
      <c r="D30" s="75">
        <f>VLOOKUP($A30,'Data Vlaue (Cr)'!$C:$FB,4)</f>
        <v>605.75</v>
      </c>
      <c r="E30" s="75">
        <f>VLOOKUP($A30,'Data Vlaue (Cr)'!$C:$FB,5)</f>
        <v>628.35</v>
      </c>
      <c r="F30" s="75">
        <f t="shared" si="0"/>
        <v>1.6499999999999773</v>
      </c>
      <c r="G30" s="75">
        <f t="shared" si="1"/>
        <v>-3.7309120924473831</v>
      </c>
      <c r="H30" s="75">
        <f>VLOOKUP($A30,'Data Vlaue (Cr)'!$C:$FB,99)</f>
        <v>309</v>
      </c>
      <c r="I30" s="75">
        <f>VLOOKUP($A30,'Data Vlaue (Cr)'!$C:$FB,100)</f>
        <v>596</v>
      </c>
      <c r="J30" s="75">
        <f t="shared" si="2"/>
        <v>-287</v>
      </c>
      <c r="K30" s="75">
        <f t="shared" si="3"/>
        <v>-92.880258899676377</v>
      </c>
      <c r="L30" s="75">
        <f>VLOOKUP($A30,'Data Vlaue (Cr)'!$C:$FB,67)</f>
        <v>370</v>
      </c>
      <c r="M30" s="75">
        <f>VLOOKUP($A30,'Data Vlaue (Cr)'!$C:$FB,68)</f>
        <v>368</v>
      </c>
      <c r="N30" s="75">
        <f t="shared" si="4"/>
        <v>2</v>
      </c>
      <c r="O30" s="75">
        <f t="shared" si="5"/>
        <v>0.54054054054054057</v>
      </c>
      <c r="P30" s="75">
        <f>VLOOKUP($A30,'Data Vlaue (Cr)'!$C:$FB,119)</f>
        <v>0.78</v>
      </c>
      <c r="Q30" s="75">
        <f>VLOOKUP($A30,'Data Vlaue (Cr)'!$C:$FB,122)*100</f>
        <v>50</v>
      </c>
      <c r="R30" s="75">
        <f>VLOOKUP($A30,'Data Vlaue (Cr)'!$C:$FB,125)</f>
        <v>0.9</v>
      </c>
      <c r="S30" s="75">
        <f>VLOOKUP($A30,'Data Vlaue (Cr)'!$C:$FB,128)*100</f>
        <v>181.25</v>
      </c>
    </row>
    <row r="31" spans="1:19" x14ac:dyDescent="0.25">
      <c r="A31" s="96" t="str">
        <f>'Data Vlaue (Cr)'!C22</f>
        <v>AUBANK</v>
      </c>
      <c r="B31" s="75">
        <f>VLOOKUP($A31,'Data Vlaue (Cr)'!$C:$FB,2)</f>
        <v>1000</v>
      </c>
      <c r="C31" s="75">
        <f>VLOOKUP($A31,'Data Vlaue (Cr)'!$C:$FB,8)</f>
        <v>741.5</v>
      </c>
      <c r="D31" s="75">
        <f>VLOOKUP($A31,'Data Vlaue (Cr)'!$C:$FB,4)</f>
        <v>746.05</v>
      </c>
      <c r="E31" s="75">
        <f>VLOOKUP($A31,'Data Vlaue (Cr)'!$C:$FB,5)</f>
        <v>750.95</v>
      </c>
      <c r="F31" s="75">
        <f t="shared" si="0"/>
        <v>4.5499999999999545</v>
      </c>
      <c r="G31" s="75">
        <f t="shared" si="1"/>
        <v>-0.65679244018498639</v>
      </c>
      <c r="H31" s="75">
        <f>VLOOKUP($A31,'Data Vlaue (Cr)'!$C:$FB,99)</f>
        <v>1831</v>
      </c>
      <c r="I31" s="75">
        <f>VLOOKUP($A31,'Data Vlaue (Cr)'!$C:$FB,100)</f>
        <v>2475</v>
      </c>
      <c r="J31" s="75">
        <f t="shared" si="2"/>
        <v>-644</v>
      </c>
      <c r="K31" s="75">
        <f t="shared" si="3"/>
        <v>-35.17203713817586</v>
      </c>
      <c r="L31" s="75">
        <f>VLOOKUP($A31,'Data Vlaue (Cr)'!$C:$FB,67)</f>
        <v>2148</v>
      </c>
      <c r="M31" s="75">
        <f>VLOOKUP($A31,'Data Vlaue (Cr)'!$C:$FB,68)</f>
        <v>3064</v>
      </c>
      <c r="N31" s="75">
        <f t="shared" si="4"/>
        <v>-916</v>
      </c>
      <c r="O31" s="75">
        <f t="shared" si="5"/>
        <v>-42.64432029795158</v>
      </c>
      <c r="P31" s="75">
        <f>VLOOKUP($A31,'Data Vlaue (Cr)'!$C:$FB,119)</f>
        <v>0.87</v>
      </c>
      <c r="Q31" s="75">
        <f>VLOOKUP($A31,'Data Vlaue (Cr)'!$C:$FB,122)*100</f>
        <v>40.32</v>
      </c>
      <c r="R31" s="75">
        <f>VLOOKUP($A31,'Data Vlaue (Cr)'!$C:$FB,125)</f>
        <v>0.5</v>
      </c>
      <c r="S31" s="75">
        <f>VLOOKUP($A31,'Data Vlaue (Cr)'!$C:$FB,128)*100</f>
        <v>4.17</v>
      </c>
    </row>
    <row r="32" spans="1:19" x14ac:dyDescent="0.25">
      <c r="A32" s="96" t="str">
        <f>'Data Vlaue (Cr)'!C23</f>
        <v>AUROPHARMA</v>
      </c>
      <c r="B32" s="75">
        <f>VLOOKUP($A32,'Data Vlaue (Cr)'!$C:$FB,2)</f>
        <v>550</v>
      </c>
      <c r="C32" s="75">
        <f>VLOOKUP($A32,'Data Vlaue (Cr)'!$C:$FB,8)</f>
        <v>1139.8</v>
      </c>
      <c r="D32" s="75">
        <f>VLOOKUP($A32,'Data Vlaue (Cr)'!$C:$FB,4)</f>
        <v>1145.9000000000001</v>
      </c>
      <c r="E32" s="75">
        <f>VLOOKUP($A32,'Data Vlaue (Cr)'!$C:$FB,5)</f>
        <v>1161.5</v>
      </c>
      <c r="F32" s="75">
        <f t="shared" si="0"/>
        <v>6.1000000000001364</v>
      </c>
      <c r="G32" s="75">
        <f t="shared" si="1"/>
        <v>-1.3613753381621352</v>
      </c>
      <c r="H32" s="75">
        <f>VLOOKUP($A32,'Data Vlaue (Cr)'!$C:$FB,99)</f>
        <v>2466</v>
      </c>
      <c r="I32" s="75">
        <f>VLOOKUP($A32,'Data Vlaue (Cr)'!$C:$FB,100)</f>
        <v>3074</v>
      </c>
      <c r="J32" s="75">
        <f t="shared" si="2"/>
        <v>-608</v>
      </c>
      <c r="K32" s="75">
        <f t="shared" si="3"/>
        <v>-24.655312246553123</v>
      </c>
      <c r="L32" s="75">
        <f>VLOOKUP($A32,'Data Vlaue (Cr)'!$C:$FB,67)</f>
        <v>2512</v>
      </c>
      <c r="M32" s="75">
        <f>VLOOKUP($A32,'Data Vlaue (Cr)'!$C:$FB,68)</f>
        <v>1293</v>
      </c>
      <c r="N32" s="75">
        <f t="shared" si="4"/>
        <v>1219</v>
      </c>
      <c r="O32" s="75">
        <f t="shared" si="5"/>
        <v>48.527070063694268</v>
      </c>
      <c r="P32" s="75">
        <f>VLOOKUP($A32,'Data Vlaue (Cr)'!$C:$FB,119)</f>
        <v>1.1499999999999999</v>
      </c>
      <c r="Q32" s="75">
        <f>VLOOKUP($A32,'Data Vlaue (Cr)'!$C:$FB,122)*100</f>
        <v>36.9</v>
      </c>
      <c r="R32" s="75">
        <f>VLOOKUP($A32,'Data Vlaue (Cr)'!$C:$FB,125)</f>
        <v>0.56999999999999995</v>
      </c>
      <c r="S32" s="75">
        <f>VLOOKUP($A32,'Data Vlaue (Cr)'!$C:$FB,128)*100</f>
        <v>-32.940000000000005</v>
      </c>
    </row>
    <row r="33" spans="1:19" x14ac:dyDescent="0.25">
      <c r="A33" s="96" t="str">
        <f>'Data Vlaue (Cr)'!C24</f>
        <v>AXISBANK</v>
      </c>
      <c r="B33" s="75">
        <f>VLOOKUP($A33,'Data Vlaue (Cr)'!$C:$FB,2)</f>
        <v>625</v>
      </c>
      <c r="C33" s="75">
        <f>VLOOKUP($A33,'Data Vlaue (Cr)'!$C:$FB,8)</f>
        <v>1068.4000000000001</v>
      </c>
      <c r="D33" s="75">
        <f>VLOOKUP($A33,'Data Vlaue (Cr)'!$C:$FB,4)</f>
        <v>1074.4000000000001</v>
      </c>
      <c r="E33" s="75">
        <f>VLOOKUP($A33,'Data Vlaue (Cr)'!$C:$FB,5)</f>
        <v>1079.7</v>
      </c>
      <c r="F33" s="75">
        <f t="shared" si="0"/>
        <v>6</v>
      </c>
      <c r="G33" s="75">
        <f t="shared" si="1"/>
        <v>-0.4932985852568833</v>
      </c>
      <c r="H33" s="75">
        <f>VLOOKUP($A33,'Data Vlaue (Cr)'!$C:$FB,99)</f>
        <v>12779</v>
      </c>
      <c r="I33" s="75">
        <f>VLOOKUP($A33,'Data Vlaue (Cr)'!$C:$FB,100)</f>
        <v>17164</v>
      </c>
      <c r="J33" s="75">
        <f t="shared" si="2"/>
        <v>-4385</v>
      </c>
      <c r="K33" s="75">
        <f t="shared" si="3"/>
        <v>-34.314109085217936</v>
      </c>
      <c r="L33" s="75">
        <f>VLOOKUP($A33,'Data Vlaue (Cr)'!$C:$FB,67)</f>
        <v>7261</v>
      </c>
      <c r="M33" s="75">
        <f>VLOOKUP($A33,'Data Vlaue (Cr)'!$C:$FB,68)</f>
        <v>9473</v>
      </c>
      <c r="N33" s="75">
        <f t="shared" si="4"/>
        <v>-2212</v>
      </c>
      <c r="O33" s="75">
        <f t="shared" si="5"/>
        <v>-30.46412339898086</v>
      </c>
      <c r="P33" s="75">
        <f>VLOOKUP($A33,'Data Vlaue (Cr)'!$C:$FB,119)</f>
        <v>0.6</v>
      </c>
      <c r="Q33" s="75">
        <f>VLOOKUP($A33,'Data Vlaue (Cr)'!$C:$FB,122)*100</f>
        <v>50</v>
      </c>
      <c r="R33" s="75">
        <f>VLOOKUP($A33,'Data Vlaue (Cr)'!$C:$FB,125)</f>
        <v>0.63</v>
      </c>
      <c r="S33" s="75">
        <f>VLOOKUP($A33,'Data Vlaue (Cr)'!$C:$FB,128)*100</f>
        <v>23.53</v>
      </c>
    </row>
    <row r="34" spans="1:19" x14ac:dyDescent="0.25">
      <c r="A34" s="96" t="str">
        <f>'Data Vlaue (Cr)'!C25</f>
        <v>BAJAJ-AUTO</v>
      </c>
      <c r="B34" s="75">
        <f>VLOOKUP($A34,'Data Vlaue (Cr)'!$C:$FB,2)</f>
        <v>75</v>
      </c>
      <c r="C34" s="75">
        <f>VLOOKUP($A34,'Data Vlaue (Cr)'!$C:$FB,8)</f>
        <v>8008</v>
      </c>
      <c r="D34" s="75">
        <f>VLOOKUP($A34,'Data Vlaue (Cr)'!$C:$FB,4)</f>
        <v>8051</v>
      </c>
      <c r="E34" s="75">
        <f>VLOOKUP($A34,'Data Vlaue (Cr)'!$C:$FB,5)</f>
        <v>8087</v>
      </c>
      <c r="F34" s="75">
        <f t="shared" si="0"/>
        <v>43</v>
      </c>
      <c r="G34" s="75">
        <f t="shared" si="1"/>
        <v>-0.44714942243199607</v>
      </c>
      <c r="H34" s="180">
        <f>VLOOKUP($A34,'Data Vlaue (Cr)'!$C:$FB,99)</f>
        <v>2897</v>
      </c>
      <c r="I34" s="180">
        <f>VLOOKUP($A34,'Data Vlaue (Cr)'!$C:$FB,100)</f>
        <v>4197</v>
      </c>
      <c r="J34" s="180">
        <f t="shared" si="2"/>
        <v>-1300</v>
      </c>
      <c r="K34" s="180">
        <f t="shared" si="3"/>
        <v>-44.874007594062824</v>
      </c>
      <c r="L34" s="180">
        <f>VLOOKUP($A34,'Data Vlaue (Cr)'!$C:$FB,67)</f>
        <v>3528</v>
      </c>
      <c r="M34" s="180">
        <f>VLOOKUP($A34,'Data Vlaue (Cr)'!$C:$FB,68)</f>
        <v>3332</v>
      </c>
      <c r="N34" s="180">
        <f t="shared" si="4"/>
        <v>196</v>
      </c>
      <c r="O34" s="180">
        <f t="shared" si="5"/>
        <v>5.5555555555555554</v>
      </c>
      <c r="P34" s="180">
        <f>VLOOKUP($A34,'Data Vlaue (Cr)'!$C:$FB,119)</f>
        <v>0.94</v>
      </c>
      <c r="Q34" s="180">
        <f>VLOOKUP($A34,'Data Vlaue (Cr)'!$C:$FB,122)*100</f>
        <v>42.42</v>
      </c>
      <c r="R34" s="180">
        <f>VLOOKUP($A34,'Data Vlaue (Cr)'!$C:$FB,125)</f>
        <v>0.8</v>
      </c>
      <c r="S34" s="180">
        <f>VLOOKUP($A34,'Data Vlaue (Cr)'!$C:$FB,128)*100</f>
        <v>45.45</v>
      </c>
    </row>
    <row r="35" spans="1:19" x14ac:dyDescent="0.25">
      <c r="A35" s="96" t="str">
        <f>'Data Vlaue (Cr)'!C26</f>
        <v>BAJAJFINSV</v>
      </c>
      <c r="B35" s="75">
        <f>VLOOKUP($A35,'Data Vlaue (Cr)'!$C:$FB,2)</f>
        <v>500</v>
      </c>
      <c r="C35" s="75">
        <f>VLOOKUP($A35,'Data Vlaue (Cr)'!$C:$FB,8)</f>
        <v>1948</v>
      </c>
      <c r="D35" s="75">
        <f>VLOOKUP($A35,'Data Vlaue (Cr)'!$C:$FB,4)</f>
        <v>1954.2</v>
      </c>
      <c r="E35" s="75">
        <f>VLOOKUP($A35,'Data Vlaue (Cr)'!$C:$FB,5)</f>
        <v>1969.1</v>
      </c>
      <c r="F35" s="75">
        <f t="shared" si="0"/>
        <v>6.2000000000000455</v>
      </c>
      <c r="G35" s="75">
        <f t="shared" si="1"/>
        <v>-0.76246034182785094</v>
      </c>
      <c r="H35" s="75">
        <f>VLOOKUP($A35,'Data Vlaue (Cr)'!$C:$FB,99)</f>
        <v>4219</v>
      </c>
      <c r="I35" s="75">
        <f>VLOOKUP($A35,'Data Vlaue (Cr)'!$C:$FB,100)</f>
        <v>6072</v>
      </c>
      <c r="J35" s="75">
        <f t="shared" si="2"/>
        <v>-1853</v>
      </c>
      <c r="K35" s="75">
        <f t="shared" si="3"/>
        <v>-43.920360274946667</v>
      </c>
      <c r="L35" s="75">
        <f>VLOOKUP($A35,'Data Vlaue (Cr)'!$C:$FB,67)</f>
        <v>3827</v>
      </c>
      <c r="M35" s="75">
        <f>VLOOKUP($A35,'Data Vlaue (Cr)'!$C:$FB,68)</f>
        <v>4348</v>
      </c>
      <c r="N35" s="75">
        <f t="shared" si="4"/>
        <v>-521</v>
      </c>
      <c r="O35" s="75">
        <f t="shared" si="5"/>
        <v>-13.613796707603868</v>
      </c>
      <c r="P35" s="75">
        <f>VLOOKUP($A35,'Data Vlaue (Cr)'!$C:$FB,119)</f>
        <v>0.63</v>
      </c>
      <c r="Q35" s="75">
        <f>VLOOKUP($A35,'Data Vlaue (Cr)'!$C:$FB,122)*100</f>
        <v>43.18</v>
      </c>
      <c r="R35" s="75">
        <f>VLOOKUP($A35,'Data Vlaue (Cr)'!$C:$FB,125)</f>
        <v>0.51</v>
      </c>
      <c r="S35" s="75">
        <f>VLOOKUP($A35,'Data Vlaue (Cr)'!$C:$FB,128)*100</f>
        <v>-3.7699999999999996</v>
      </c>
    </row>
    <row r="36" spans="1:19" x14ac:dyDescent="0.25">
      <c r="A36" s="96" t="str">
        <f>'Data Vlaue (Cr)'!C27</f>
        <v>BAJFINANCE</v>
      </c>
      <c r="B36" s="75">
        <f>VLOOKUP($A36,'Data Vlaue (Cr)'!$C:$FB,2)</f>
        <v>750</v>
      </c>
      <c r="C36" s="75">
        <f>VLOOKUP($A36,'Data Vlaue (Cr)'!$C:$FB,8)</f>
        <v>881.2</v>
      </c>
      <c r="D36" s="75">
        <f>VLOOKUP($A36,'Data Vlaue (Cr)'!$C:$FB,4)</f>
        <v>883.95</v>
      </c>
      <c r="E36" s="75">
        <f>VLOOKUP($A36,'Data Vlaue (Cr)'!$C:$FB,5)</f>
        <v>890.05</v>
      </c>
      <c r="F36" s="75">
        <f t="shared" si="0"/>
        <v>2.75</v>
      </c>
      <c r="G36" s="75">
        <f t="shared" si="1"/>
        <v>-0.69008428078510198</v>
      </c>
      <c r="H36" s="75">
        <f>VLOOKUP($A36,'Data Vlaue (Cr)'!$C:$FB,99)</f>
        <v>10685</v>
      </c>
      <c r="I36" s="75">
        <f>VLOOKUP($A36,'Data Vlaue (Cr)'!$C:$FB,100)</f>
        <v>12801</v>
      </c>
      <c r="J36" s="75">
        <f t="shared" si="2"/>
        <v>-2116</v>
      </c>
      <c r="K36" s="75">
        <f t="shared" si="3"/>
        <v>-19.803462798315397</v>
      </c>
      <c r="L36" s="75">
        <f>VLOOKUP($A36,'Data Vlaue (Cr)'!$C:$FB,67)</f>
        <v>7227</v>
      </c>
      <c r="M36" s="75">
        <f>VLOOKUP($A36,'Data Vlaue (Cr)'!$C:$FB,68)</f>
        <v>7527</v>
      </c>
      <c r="N36" s="75">
        <f t="shared" si="4"/>
        <v>-300</v>
      </c>
      <c r="O36" s="75">
        <f t="shared" si="5"/>
        <v>-4.1511000415110004</v>
      </c>
      <c r="P36" s="75">
        <f>VLOOKUP($A36,'Data Vlaue (Cr)'!$C:$FB,119)</f>
        <v>0.55000000000000004</v>
      </c>
      <c r="Q36" s="75">
        <f>VLOOKUP($A36,'Data Vlaue (Cr)'!$C:$FB,122)*100</f>
        <v>7.84</v>
      </c>
      <c r="R36" s="75">
        <f>VLOOKUP($A36,'Data Vlaue (Cr)'!$C:$FB,125)</f>
        <v>0.57999999999999996</v>
      </c>
      <c r="S36" s="75">
        <f>VLOOKUP($A36,'Data Vlaue (Cr)'!$C:$FB,128)*100</f>
        <v>3.5700000000000003</v>
      </c>
    </row>
    <row r="37" spans="1:19" x14ac:dyDescent="0.25">
      <c r="A37" s="96" t="str">
        <f>'Data Vlaue (Cr)'!C28</f>
        <v>BALKRISIND</v>
      </c>
      <c r="B37" s="75">
        <f>VLOOKUP($A37,'Data Vlaue (Cr)'!$C:$FB,2)</f>
        <v>300</v>
      </c>
      <c r="C37" s="75">
        <f>VLOOKUP($A37,'Data Vlaue (Cr)'!$C:$FB,8)</f>
        <v>2676.2</v>
      </c>
      <c r="D37" s="75">
        <f>VLOOKUP($A37,'Data Vlaue (Cr)'!$C:$FB,4)</f>
        <v>0</v>
      </c>
      <c r="E37" s="75">
        <f>VLOOKUP($A37,'Data Vlaue (Cr)'!$C:$FB,5)</f>
        <v>0</v>
      </c>
      <c r="F37" s="75">
        <f t="shared" si="0"/>
        <v>-2676.2</v>
      </c>
      <c r="G37" s="75" t="e">
        <f t="shared" si="1"/>
        <v>#DIV/0!</v>
      </c>
      <c r="H37" s="75">
        <f>VLOOKUP($A37,'Data Vlaue (Cr)'!$C:$FB,99)</f>
        <v>0</v>
      </c>
      <c r="I37" s="75">
        <f>VLOOKUP($A37,'Data Vlaue (Cr)'!$C:$FB,100)</f>
        <v>0</v>
      </c>
      <c r="J37" s="75">
        <f t="shared" si="2"/>
        <v>0</v>
      </c>
      <c r="K37" s="75" t="e">
        <f t="shared" si="3"/>
        <v>#DIV/0!</v>
      </c>
      <c r="L37" s="75">
        <f>VLOOKUP($A37,'Data Vlaue (Cr)'!$C:$FB,67)</f>
        <v>0</v>
      </c>
      <c r="M37" s="75">
        <f>VLOOKUP($A37,'Data Vlaue (Cr)'!$C:$FB,68)</f>
        <v>0</v>
      </c>
      <c r="N37" s="75">
        <f t="shared" si="4"/>
        <v>0</v>
      </c>
      <c r="O37" s="75" t="e">
        <f t="shared" si="5"/>
        <v>#DIV/0!</v>
      </c>
      <c r="P37" s="75">
        <f>VLOOKUP($A37,'Data Vlaue (Cr)'!$C:$FB,119)</f>
        <v>0.7</v>
      </c>
      <c r="Q37" s="75">
        <f>VLOOKUP($A37,'Data Vlaue (Cr)'!$C:$FB,122)*100</f>
        <v>-9.09</v>
      </c>
      <c r="R37" s="75">
        <f>VLOOKUP($A37,'Data Vlaue (Cr)'!$C:$FB,125)</f>
        <v>0.92</v>
      </c>
      <c r="S37" s="75">
        <f>VLOOKUP($A37,'Data Vlaue (Cr)'!$C:$FB,128)*100</f>
        <v>4.55</v>
      </c>
    </row>
    <row r="38" spans="1:19" x14ac:dyDescent="0.25">
      <c r="A38" s="96" t="str">
        <f>'Data Vlaue (Cr)'!C29</f>
        <v>BANDHANBNK</v>
      </c>
      <c r="B38" s="75">
        <f>VLOOKUP($A38,'Data Vlaue (Cr)'!$C:$FB,2)</f>
        <v>3600</v>
      </c>
      <c r="C38" s="75">
        <f>VLOOKUP($A38,'Data Vlaue (Cr)'!$C:$FB,8)</f>
        <v>168.08</v>
      </c>
      <c r="D38" s="75">
        <f>VLOOKUP($A38,'Data Vlaue (Cr)'!$C:$FB,4)</f>
        <v>167.52</v>
      </c>
      <c r="E38" s="75">
        <f>VLOOKUP($A38,'Data Vlaue (Cr)'!$C:$FB,5)</f>
        <v>167.85</v>
      </c>
      <c r="F38" s="75">
        <f t="shared" si="0"/>
        <v>-0.56000000000000227</v>
      </c>
      <c r="G38" s="75">
        <f t="shared" si="1"/>
        <v>-0.19699140401145182</v>
      </c>
      <c r="H38" s="75">
        <f>VLOOKUP($A38,'Data Vlaue (Cr)'!$C:$FB,99)</f>
        <v>1798</v>
      </c>
      <c r="I38" s="75">
        <f>VLOOKUP($A38,'Data Vlaue (Cr)'!$C:$FB,100)</f>
        <v>2434</v>
      </c>
      <c r="J38" s="75">
        <f t="shared" si="2"/>
        <v>-636</v>
      </c>
      <c r="K38" s="75">
        <f t="shared" si="3"/>
        <v>-35.372636262513907</v>
      </c>
      <c r="L38" s="75">
        <f>VLOOKUP($A38,'Data Vlaue (Cr)'!$C:$FB,67)</f>
        <v>1324</v>
      </c>
      <c r="M38" s="75">
        <f>VLOOKUP($A38,'Data Vlaue (Cr)'!$C:$FB,68)</f>
        <v>1419</v>
      </c>
      <c r="N38" s="75">
        <f t="shared" si="4"/>
        <v>-95</v>
      </c>
      <c r="O38" s="75">
        <f t="shared" si="5"/>
        <v>-7.1752265861027187</v>
      </c>
      <c r="P38" s="75">
        <f>VLOOKUP($A38,'Data Vlaue (Cr)'!$C:$FB,119)</f>
        <v>0.8</v>
      </c>
      <c r="Q38" s="75">
        <f>VLOOKUP($A38,'Data Vlaue (Cr)'!$C:$FB,122)*100</f>
        <v>53.849999999999994</v>
      </c>
      <c r="R38" s="75">
        <f>VLOOKUP($A38,'Data Vlaue (Cr)'!$C:$FB,125)</f>
        <v>0.75</v>
      </c>
      <c r="S38" s="75">
        <f>VLOOKUP($A38,'Data Vlaue (Cr)'!$C:$FB,128)*100</f>
        <v>17.190000000000001</v>
      </c>
    </row>
    <row r="39" spans="1:19" x14ac:dyDescent="0.25">
      <c r="A39" s="96" t="str">
        <f>'Data Vlaue (Cr)'!C30</f>
        <v>BANKBARODA</v>
      </c>
      <c r="B39" s="75">
        <f>VLOOKUP($A39,'Data Vlaue (Cr)'!$C:$FB,2)</f>
        <v>2925</v>
      </c>
      <c r="C39" s="75">
        <f>VLOOKUP($A39,'Data Vlaue (Cr)'!$C:$FB,8)</f>
        <v>237.87</v>
      </c>
      <c r="D39" s="75">
        <f>VLOOKUP($A39,'Data Vlaue (Cr)'!$C:$FB,4)</f>
        <v>239.02</v>
      </c>
      <c r="E39" s="75">
        <f>VLOOKUP($A39,'Data Vlaue (Cr)'!$C:$FB,5)</f>
        <v>241.03</v>
      </c>
      <c r="F39" s="75">
        <f t="shared" si="0"/>
        <v>1.1500000000000057</v>
      </c>
      <c r="G39" s="75">
        <f t="shared" si="1"/>
        <v>-0.84093381307003212</v>
      </c>
      <c r="H39" s="75">
        <f>VLOOKUP($A39,'Data Vlaue (Cr)'!$C:$FB,99)</f>
        <v>3622</v>
      </c>
      <c r="I39" s="75">
        <f>VLOOKUP($A39,'Data Vlaue (Cr)'!$C:$FB,100)</f>
        <v>4635</v>
      </c>
      <c r="J39" s="75">
        <f t="shared" si="2"/>
        <v>-1013</v>
      </c>
      <c r="K39" s="75">
        <f t="shared" si="3"/>
        <v>-27.96797349530646</v>
      </c>
      <c r="L39" s="75">
        <f>VLOOKUP($A39,'Data Vlaue (Cr)'!$C:$FB,67)</f>
        <v>2592</v>
      </c>
      <c r="M39" s="75">
        <f>VLOOKUP($A39,'Data Vlaue (Cr)'!$C:$FB,68)</f>
        <v>2813</v>
      </c>
      <c r="N39" s="75">
        <f t="shared" si="4"/>
        <v>-221</v>
      </c>
      <c r="O39" s="75">
        <f t="shared" si="5"/>
        <v>-8.5262345679012341</v>
      </c>
      <c r="P39" s="75">
        <f>VLOOKUP($A39,'Data Vlaue (Cr)'!$C:$FB,119)</f>
        <v>1.02</v>
      </c>
      <c r="Q39" s="75">
        <f>VLOOKUP($A39,'Data Vlaue (Cr)'!$C:$FB,122)*100</f>
        <v>15.909999999999998</v>
      </c>
      <c r="R39" s="75">
        <f>VLOOKUP($A39,'Data Vlaue (Cr)'!$C:$FB,125)</f>
        <v>0.8</v>
      </c>
      <c r="S39" s="75">
        <f>VLOOKUP($A39,'Data Vlaue (Cr)'!$C:$FB,128)*100</f>
        <v>21.21</v>
      </c>
    </row>
    <row r="40" spans="1:19" x14ac:dyDescent="0.25">
      <c r="A40" s="96" t="str">
        <f>'Data Vlaue (Cr)'!C31</f>
        <v>BANKINDIA</v>
      </c>
      <c r="B40" s="75">
        <f>VLOOKUP($A40,'Data Vlaue (Cr)'!$C:$FB,2)</f>
        <v>5200</v>
      </c>
      <c r="C40" s="75">
        <f>VLOOKUP($A40,'Data Vlaue (Cr)'!$C:$FB,8)</f>
        <v>111.38</v>
      </c>
      <c r="D40" s="75">
        <f>VLOOKUP($A40,'Data Vlaue (Cr)'!$C:$FB,4)</f>
        <v>111.89</v>
      </c>
      <c r="E40" s="75">
        <f>VLOOKUP($A40,'Data Vlaue (Cr)'!$C:$FB,5)</f>
        <v>114.76</v>
      </c>
      <c r="F40" s="75">
        <f t="shared" si="0"/>
        <v>0.51000000000000512</v>
      </c>
      <c r="G40" s="75">
        <f t="shared" si="1"/>
        <v>-2.5650192153007461</v>
      </c>
      <c r="H40" s="75">
        <f>VLOOKUP($A40,'Data Vlaue (Cr)'!$C:$FB,99)</f>
        <v>958</v>
      </c>
      <c r="I40" s="75">
        <f>VLOOKUP($A40,'Data Vlaue (Cr)'!$C:$FB,100)</f>
        <v>1341</v>
      </c>
      <c r="J40" s="75">
        <f t="shared" si="2"/>
        <v>-383</v>
      </c>
      <c r="K40" s="75">
        <f t="shared" si="3"/>
        <v>-39.979123173277664</v>
      </c>
      <c r="L40" s="75">
        <f>VLOOKUP($A40,'Data Vlaue (Cr)'!$C:$FB,67)</f>
        <v>1027</v>
      </c>
      <c r="M40" s="75">
        <f>VLOOKUP($A40,'Data Vlaue (Cr)'!$C:$FB,68)</f>
        <v>1887</v>
      </c>
      <c r="N40" s="75">
        <f t="shared" si="4"/>
        <v>-860</v>
      </c>
      <c r="O40" s="75">
        <f t="shared" si="5"/>
        <v>-83.739045764362217</v>
      </c>
      <c r="P40" s="75">
        <f>VLOOKUP($A40,'Data Vlaue (Cr)'!$C:$FB,119)</f>
        <v>0.8</v>
      </c>
      <c r="Q40" s="75">
        <f>VLOOKUP($A40,'Data Vlaue (Cr)'!$C:$FB,122)*100</f>
        <v>29.03</v>
      </c>
      <c r="R40" s="75">
        <f>VLOOKUP($A40,'Data Vlaue (Cr)'!$C:$FB,125)</f>
        <v>0.61</v>
      </c>
      <c r="S40" s="75">
        <f>VLOOKUP($A40,'Data Vlaue (Cr)'!$C:$FB,128)*100</f>
        <v>7.02</v>
      </c>
    </row>
    <row r="41" spans="1:19" x14ac:dyDescent="0.25">
      <c r="A41" s="96" t="str">
        <f>'Data Vlaue (Cr)'!C32</f>
        <v>BANKNIFTY</v>
      </c>
      <c r="B41" s="75">
        <f>VLOOKUP($A41,'Data Vlaue (Cr)'!$C:$FB,2)</f>
        <v>35</v>
      </c>
      <c r="C41" s="75">
        <f>VLOOKUP($A41,'Data Vlaue (Cr)'!$C:$FB,8)</f>
        <v>55961.95</v>
      </c>
      <c r="D41" s="75">
        <f>VLOOKUP($A41,'Data Vlaue (Cr)'!$C:$FB,4)</f>
        <v>56194</v>
      </c>
      <c r="E41" s="75">
        <f>VLOOKUP($A41,'Data Vlaue (Cr)'!$C:$FB,5)</f>
        <v>56359.8</v>
      </c>
      <c r="F41" s="75">
        <f t="shared" si="0"/>
        <v>232.05000000000291</v>
      </c>
      <c r="G41" s="75">
        <f t="shared" si="1"/>
        <v>-0.2950492935188862</v>
      </c>
      <c r="H41" s="75">
        <f>VLOOKUP($A41,'Data Vlaue (Cr)'!$C:$FB,99)</f>
        <v>117089</v>
      </c>
      <c r="I41" s="75">
        <f>VLOOKUP($A41,'Data Vlaue (Cr)'!$C:$FB,100)</f>
        <v>346494</v>
      </c>
      <c r="J41" s="75">
        <f t="shared" si="2"/>
        <v>-229405</v>
      </c>
      <c r="K41" s="75">
        <f t="shared" si="3"/>
        <v>-195.92361366140287</v>
      </c>
      <c r="L41" s="75">
        <f>VLOOKUP($A41,'Data Vlaue (Cr)'!$C:$FB,67)</f>
        <v>17422654</v>
      </c>
      <c r="M41" s="75">
        <f>VLOOKUP($A41,'Data Vlaue (Cr)'!$C:$FB,68)</f>
        <v>3210397</v>
      </c>
      <c r="N41" s="75">
        <f t="shared" si="4"/>
        <v>14212257</v>
      </c>
      <c r="O41" s="75">
        <f t="shared" si="5"/>
        <v>81.573433071677826</v>
      </c>
      <c r="P41" s="75">
        <f>VLOOKUP($A41,'Data Vlaue (Cr)'!$C:$FB,119)</f>
        <v>0.97</v>
      </c>
      <c r="Q41" s="75">
        <f>VLOOKUP($A41,'Data Vlaue (Cr)'!$C:$FB,122)*100</f>
        <v>42.65</v>
      </c>
      <c r="R41" s="75">
        <f>VLOOKUP($A41,'Data Vlaue (Cr)'!$C:$FB,125)</f>
        <v>0.86</v>
      </c>
      <c r="S41" s="75">
        <f>VLOOKUP($A41,'Data Vlaue (Cr)'!$C:$FB,128)*100</f>
        <v>2.3800000000000003</v>
      </c>
    </row>
    <row r="42" spans="1:19" x14ac:dyDescent="0.25">
      <c r="A42" s="96" t="str">
        <f>'Data Vlaue (Cr)'!C33</f>
        <v>BDL</v>
      </c>
      <c r="B42" s="75">
        <f>VLOOKUP($A42,'Data Vlaue (Cr)'!$C:$FB,2)</f>
        <v>325</v>
      </c>
      <c r="C42" s="75">
        <f>VLOOKUP($A42,'Data Vlaue (Cr)'!$C:$FB,8)</f>
        <v>1619</v>
      </c>
      <c r="D42" s="75">
        <f>VLOOKUP($A42,'Data Vlaue (Cr)'!$C:$FB,4)</f>
        <v>1627.1</v>
      </c>
      <c r="E42" s="75">
        <f>VLOOKUP($A42,'Data Vlaue (Cr)'!$C:$FB,5)</f>
        <v>1630.8</v>
      </c>
      <c r="F42" s="75">
        <f t="shared" si="0"/>
        <v>8.0999999999999091</v>
      </c>
      <c r="G42" s="75">
        <f t="shared" si="1"/>
        <v>-0.227398438940449</v>
      </c>
      <c r="H42" s="75">
        <f>VLOOKUP($A42,'Data Vlaue (Cr)'!$C:$FB,99)</f>
        <v>936</v>
      </c>
      <c r="I42" s="75">
        <f>VLOOKUP($A42,'Data Vlaue (Cr)'!$C:$FB,100)</f>
        <v>1604</v>
      </c>
      <c r="J42" s="75">
        <f t="shared" si="2"/>
        <v>-668</v>
      </c>
      <c r="K42" s="75">
        <f t="shared" si="3"/>
        <v>-71.367521367521363</v>
      </c>
      <c r="L42" s="75">
        <f>VLOOKUP($A42,'Data Vlaue (Cr)'!$C:$FB,67)</f>
        <v>1168</v>
      </c>
      <c r="M42" s="75">
        <f>VLOOKUP($A42,'Data Vlaue (Cr)'!$C:$FB,68)</f>
        <v>981</v>
      </c>
      <c r="N42" s="75">
        <f t="shared" si="4"/>
        <v>187</v>
      </c>
      <c r="O42" s="75">
        <f t="shared" si="5"/>
        <v>16.010273972602739</v>
      </c>
      <c r="P42" s="75">
        <f>VLOOKUP($A42,'Data Vlaue (Cr)'!$C:$FB,119)</f>
        <v>0.7</v>
      </c>
      <c r="Q42" s="75">
        <f>VLOOKUP($A42,'Data Vlaue (Cr)'!$C:$FB,122)*100</f>
        <v>62.79</v>
      </c>
      <c r="R42" s="75">
        <f>VLOOKUP($A42,'Data Vlaue (Cr)'!$C:$FB,125)</f>
        <v>0.39</v>
      </c>
      <c r="S42" s="75">
        <f>VLOOKUP($A42,'Data Vlaue (Cr)'!$C:$FB,128)*100</f>
        <v>14.71</v>
      </c>
    </row>
    <row r="43" spans="1:19" x14ac:dyDescent="0.25">
      <c r="A43" s="96" t="str">
        <f>'Data Vlaue (Cr)'!C34</f>
        <v>BEL</v>
      </c>
      <c r="B43" s="75">
        <f>VLOOKUP($A43,'Data Vlaue (Cr)'!$C:$FB,2)</f>
        <v>2850</v>
      </c>
      <c r="C43" s="75">
        <f>VLOOKUP($A43,'Data Vlaue (Cr)'!$C:$FB,8)</f>
        <v>383.1</v>
      </c>
      <c r="D43" s="75">
        <f>VLOOKUP($A43,'Data Vlaue (Cr)'!$C:$FB,4)</f>
        <v>384.9</v>
      </c>
      <c r="E43" s="75">
        <f>VLOOKUP($A43,'Data Vlaue (Cr)'!$C:$FB,5)</f>
        <v>388.2</v>
      </c>
      <c r="F43" s="75">
        <f t="shared" si="0"/>
        <v>1.7999999999999545</v>
      </c>
      <c r="G43" s="75">
        <f t="shared" si="1"/>
        <v>-0.85736554949337795</v>
      </c>
      <c r="H43" s="75">
        <f>VLOOKUP($A43,'Data Vlaue (Cr)'!$C:$FB,99)</f>
        <v>7452</v>
      </c>
      <c r="I43" s="75">
        <f>VLOOKUP($A43,'Data Vlaue (Cr)'!$C:$FB,100)</f>
        <v>10683</v>
      </c>
      <c r="J43" s="75">
        <f t="shared" si="2"/>
        <v>-3231</v>
      </c>
      <c r="K43" s="75">
        <f t="shared" si="3"/>
        <v>-43.35748792270531</v>
      </c>
      <c r="L43" s="75">
        <f>VLOOKUP($A43,'Data Vlaue (Cr)'!$C:$FB,67)</f>
        <v>8351</v>
      </c>
      <c r="M43" s="75">
        <f>VLOOKUP($A43,'Data Vlaue (Cr)'!$C:$FB,68)</f>
        <v>8918</v>
      </c>
      <c r="N43" s="75">
        <f t="shared" si="4"/>
        <v>-567</v>
      </c>
      <c r="O43" s="75">
        <f t="shared" si="5"/>
        <v>-6.7896060352053649</v>
      </c>
      <c r="P43" s="75">
        <f>VLOOKUP($A43,'Data Vlaue (Cr)'!$C:$FB,119)</f>
        <v>0.7</v>
      </c>
      <c r="Q43" s="75">
        <f>VLOOKUP($A43,'Data Vlaue (Cr)'!$C:$FB,122)*100</f>
        <v>34.619999999999997</v>
      </c>
      <c r="R43" s="75">
        <f>VLOOKUP($A43,'Data Vlaue (Cr)'!$C:$FB,125)</f>
        <v>0.64</v>
      </c>
      <c r="S43" s="75">
        <f>VLOOKUP($A43,'Data Vlaue (Cr)'!$C:$FB,128)*100</f>
        <v>72.97</v>
      </c>
    </row>
    <row r="44" spans="1:19" x14ac:dyDescent="0.25">
      <c r="A44" s="96" t="str">
        <f>'Data Vlaue (Cr)'!C35</f>
        <v>BHARATFORG</v>
      </c>
      <c r="B44" s="75">
        <f>VLOOKUP($A44,'Data Vlaue (Cr)'!$C:$FB,2)</f>
        <v>500</v>
      </c>
      <c r="C44" s="75">
        <f>VLOOKUP($A44,'Data Vlaue (Cr)'!$C:$FB,8)</f>
        <v>1169.0999999999999</v>
      </c>
      <c r="D44" s="75">
        <f>VLOOKUP($A44,'Data Vlaue (Cr)'!$C:$FB,4)</f>
        <v>1171.5</v>
      </c>
      <c r="E44" s="75">
        <f>VLOOKUP($A44,'Data Vlaue (Cr)'!$C:$FB,5)</f>
        <v>1189.5999999999999</v>
      </c>
      <c r="F44" s="75">
        <f t="shared" si="0"/>
        <v>2.4000000000000909</v>
      </c>
      <c r="G44" s="75">
        <f t="shared" si="1"/>
        <v>-1.5450277422108332</v>
      </c>
      <c r="H44" s="75">
        <f>VLOOKUP($A44,'Data Vlaue (Cr)'!$C:$FB,99)</f>
        <v>1697</v>
      </c>
      <c r="I44" s="75">
        <f>VLOOKUP($A44,'Data Vlaue (Cr)'!$C:$FB,100)</f>
        <v>2157</v>
      </c>
      <c r="J44" s="75">
        <f t="shared" si="2"/>
        <v>-460</v>
      </c>
      <c r="K44" s="75">
        <f t="shared" si="3"/>
        <v>-27.106658809664115</v>
      </c>
      <c r="L44" s="75">
        <f>VLOOKUP($A44,'Data Vlaue (Cr)'!$C:$FB,67)</f>
        <v>1847</v>
      </c>
      <c r="M44" s="75">
        <f>VLOOKUP($A44,'Data Vlaue (Cr)'!$C:$FB,68)</f>
        <v>2240</v>
      </c>
      <c r="N44" s="75">
        <f t="shared" si="4"/>
        <v>-393</v>
      </c>
      <c r="O44" s="75">
        <f t="shared" si="5"/>
        <v>-21.277747698971304</v>
      </c>
      <c r="P44" s="75">
        <f>VLOOKUP($A44,'Data Vlaue (Cr)'!$C:$FB,119)</f>
        <v>1.17</v>
      </c>
      <c r="Q44" s="75">
        <f>VLOOKUP($A44,'Data Vlaue (Cr)'!$C:$FB,122)*100</f>
        <v>69.569999999999993</v>
      </c>
      <c r="R44" s="75">
        <f>VLOOKUP($A44,'Data Vlaue (Cr)'!$C:$FB,125)</f>
        <v>0.97</v>
      </c>
      <c r="S44" s="75">
        <f>VLOOKUP($A44,'Data Vlaue (Cr)'!$C:$FB,128)*100</f>
        <v>-14.16</v>
      </c>
    </row>
    <row r="45" spans="1:19" x14ac:dyDescent="0.25">
      <c r="A45" s="96" t="str">
        <f>'Data Vlaue (Cr)'!C36</f>
        <v>BHARTIARTL</v>
      </c>
      <c r="B45" s="75">
        <f>VLOOKUP($A45,'Data Vlaue (Cr)'!$C:$FB,2)</f>
        <v>475</v>
      </c>
      <c r="C45" s="75">
        <f>VLOOKUP($A45,'Data Vlaue (Cr)'!$C:$FB,8)</f>
        <v>1914.3</v>
      </c>
      <c r="D45" s="75">
        <f>VLOOKUP($A45,'Data Vlaue (Cr)'!$C:$FB,4)</f>
        <v>1921.7</v>
      </c>
      <c r="E45" s="75">
        <f>VLOOKUP($A45,'Data Vlaue (Cr)'!$C:$FB,5)</f>
        <v>1943.6</v>
      </c>
      <c r="F45" s="75">
        <f t="shared" si="0"/>
        <v>7.4000000000000909</v>
      </c>
      <c r="G45" s="75">
        <f t="shared" si="1"/>
        <v>-1.139615965030955</v>
      </c>
      <c r="H45" s="75">
        <f>VLOOKUP($A45,'Data Vlaue (Cr)'!$C:$FB,99)</f>
        <v>9989</v>
      </c>
      <c r="I45" s="75">
        <f>VLOOKUP($A45,'Data Vlaue (Cr)'!$C:$FB,100)</f>
        <v>13882</v>
      </c>
      <c r="J45" s="75">
        <f t="shared" si="2"/>
        <v>-3893</v>
      </c>
      <c r="K45" s="75">
        <f t="shared" si="3"/>
        <v>-38.972870157172892</v>
      </c>
      <c r="L45" s="75">
        <f>VLOOKUP($A45,'Data Vlaue (Cr)'!$C:$FB,67)</f>
        <v>7135</v>
      </c>
      <c r="M45" s="75">
        <f>VLOOKUP($A45,'Data Vlaue (Cr)'!$C:$FB,68)</f>
        <v>9789</v>
      </c>
      <c r="N45" s="75">
        <f t="shared" si="4"/>
        <v>-2654</v>
      </c>
      <c r="O45" s="75">
        <f t="shared" si="5"/>
        <v>-37.196916608269099</v>
      </c>
      <c r="P45" s="75">
        <f>VLOOKUP($A45,'Data Vlaue (Cr)'!$C:$FB,119)</f>
        <v>0.63</v>
      </c>
      <c r="Q45" s="75">
        <f>VLOOKUP($A45,'Data Vlaue (Cr)'!$C:$FB,122)*100</f>
        <v>36.96</v>
      </c>
      <c r="R45" s="75">
        <f>VLOOKUP($A45,'Data Vlaue (Cr)'!$C:$FB,125)</f>
        <v>0.53</v>
      </c>
      <c r="S45" s="75">
        <f>VLOOKUP($A45,'Data Vlaue (Cr)'!$C:$FB,128)*100</f>
        <v>29.270000000000003</v>
      </c>
    </row>
    <row r="46" spans="1:19" x14ac:dyDescent="0.25">
      <c r="A46" s="96" t="str">
        <f>'Data Vlaue (Cr)'!C37</f>
        <v>BHEL</v>
      </c>
      <c r="B46" s="75">
        <f>VLOOKUP($A46,'Data Vlaue (Cr)'!$C:$FB,2)</f>
        <v>2625</v>
      </c>
      <c r="C46" s="75">
        <f>VLOOKUP($A46,'Data Vlaue (Cr)'!$C:$FB,8)</f>
        <v>238.45</v>
      </c>
      <c r="D46" s="75">
        <f>VLOOKUP($A46,'Data Vlaue (Cr)'!$C:$FB,4)</f>
        <v>239.1</v>
      </c>
      <c r="E46" s="75">
        <f>VLOOKUP($A46,'Data Vlaue (Cr)'!$C:$FB,5)</f>
        <v>242.7</v>
      </c>
      <c r="F46" s="75">
        <f t="shared" si="0"/>
        <v>0.65000000000000568</v>
      </c>
      <c r="G46" s="75">
        <f t="shared" si="1"/>
        <v>-1.5056461731493076</v>
      </c>
      <c r="H46" s="75">
        <f>VLOOKUP($A46,'Data Vlaue (Cr)'!$C:$FB,99)</f>
        <v>1841</v>
      </c>
      <c r="I46" s="75">
        <f>VLOOKUP($A46,'Data Vlaue (Cr)'!$C:$FB,100)</f>
        <v>2603</v>
      </c>
      <c r="J46" s="75">
        <f t="shared" si="2"/>
        <v>-762</v>
      </c>
      <c r="K46" s="75">
        <f t="shared" si="3"/>
        <v>-41.390548614883215</v>
      </c>
      <c r="L46" s="75">
        <f>VLOOKUP($A46,'Data Vlaue (Cr)'!$C:$FB,67)</f>
        <v>1885</v>
      </c>
      <c r="M46" s="75">
        <f>VLOOKUP($A46,'Data Vlaue (Cr)'!$C:$FB,68)</f>
        <v>1518</v>
      </c>
      <c r="N46" s="75">
        <f t="shared" si="4"/>
        <v>367</v>
      </c>
      <c r="O46" s="75">
        <f t="shared" si="5"/>
        <v>19.469496021220159</v>
      </c>
      <c r="P46" s="75">
        <f>VLOOKUP($A46,'Data Vlaue (Cr)'!$C:$FB,119)</f>
        <v>0.84</v>
      </c>
      <c r="Q46" s="75">
        <f>VLOOKUP($A46,'Data Vlaue (Cr)'!$C:$FB,122)*100</f>
        <v>50</v>
      </c>
      <c r="R46" s="75">
        <f>VLOOKUP($A46,'Data Vlaue (Cr)'!$C:$FB,125)</f>
        <v>0.65</v>
      </c>
      <c r="S46" s="75">
        <f>VLOOKUP($A46,'Data Vlaue (Cr)'!$C:$FB,128)*100</f>
        <v>16.07</v>
      </c>
    </row>
    <row r="47" spans="1:19" x14ac:dyDescent="0.25">
      <c r="A47" s="96" t="str">
        <f>'Data Vlaue (Cr)'!C38</f>
        <v>BIOCON</v>
      </c>
      <c r="B47" s="75">
        <f>VLOOKUP($A47,'Data Vlaue (Cr)'!$C:$FB,2)</f>
        <v>2500</v>
      </c>
      <c r="C47" s="75">
        <f>VLOOKUP($A47,'Data Vlaue (Cr)'!$C:$FB,8)</f>
        <v>391.4</v>
      </c>
      <c r="D47" s="75">
        <f>VLOOKUP($A47,'Data Vlaue (Cr)'!$C:$FB,4)</f>
        <v>393.55</v>
      </c>
      <c r="E47" s="75">
        <f>VLOOKUP($A47,'Data Vlaue (Cr)'!$C:$FB,5)</f>
        <v>400</v>
      </c>
      <c r="F47" s="75">
        <f t="shared" si="0"/>
        <v>2.1500000000000341</v>
      </c>
      <c r="G47" s="75">
        <f t="shared" si="1"/>
        <v>-1.638927709312664</v>
      </c>
      <c r="H47" s="75">
        <f>VLOOKUP($A47,'Data Vlaue (Cr)'!$C:$FB,99)</f>
        <v>1979</v>
      </c>
      <c r="I47" s="75">
        <f>VLOOKUP($A47,'Data Vlaue (Cr)'!$C:$FB,100)</f>
        <v>2942</v>
      </c>
      <c r="J47" s="75">
        <f t="shared" si="2"/>
        <v>-963</v>
      </c>
      <c r="K47" s="75">
        <f t="shared" si="3"/>
        <v>-48.660939868620517</v>
      </c>
      <c r="L47" s="75">
        <f>VLOOKUP($A47,'Data Vlaue (Cr)'!$C:$FB,67)</f>
        <v>2252</v>
      </c>
      <c r="M47" s="75">
        <f>VLOOKUP($A47,'Data Vlaue (Cr)'!$C:$FB,68)</f>
        <v>2528</v>
      </c>
      <c r="N47" s="75">
        <f t="shared" si="4"/>
        <v>-276</v>
      </c>
      <c r="O47" s="75">
        <f t="shared" si="5"/>
        <v>-12.255772646536411</v>
      </c>
      <c r="P47" s="75">
        <f>VLOOKUP($A47,'Data Vlaue (Cr)'!$C:$FB,119)</f>
        <v>0.56000000000000005</v>
      </c>
      <c r="Q47" s="75">
        <f>VLOOKUP($A47,'Data Vlaue (Cr)'!$C:$FB,122)*100</f>
        <v>-11.110000000000001</v>
      </c>
      <c r="R47" s="75">
        <f>VLOOKUP($A47,'Data Vlaue (Cr)'!$C:$FB,125)</f>
        <v>0.66</v>
      </c>
      <c r="S47" s="75">
        <f>VLOOKUP($A47,'Data Vlaue (Cr)'!$C:$FB,128)*100</f>
        <v>50</v>
      </c>
    </row>
    <row r="48" spans="1:19" x14ac:dyDescent="0.25">
      <c r="A48" s="96" t="str">
        <f>'Data Vlaue (Cr)'!C39</f>
        <v>BLUESTARCO</v>
      </c>
      <c r="B48" s="75">
        <f>VLOOKUP($A48,'Data Vlaue (Cr)'!$C:$FB,2)</f>
        <v>325</v>
      </c>
      <c r="C48" s="75">
        <f>VLOOKUP($A48,'Data Vlaue (Cr)'!$C:$FB,8)</f>
        <v>1738.1</v>
      </c>
      <c r="D48" s="75">
        <f>VLOOKUP($A48,'Data Vlaue (Cr)'!$C:$FB,4)</f>
        <v>1743.9</v>
      </c>
      <c r="E48" s="75">
        <f>VLOOKUP($A48,'Data Vlaue (Cr)'!$C:$FB,5)</f>
        <v>1748</v>
      </c>
      <c r="F48" s="75">
        <f t="shared" si="0"/>
        <v>5.8000000000001819</v>
      </c>
      <c r="G48" s="75">
        <f t="shared" si="1"/>
        <v>-0.23510522392338487</v>
      </c>
      <c r="H48" s="75">
        <f>VLOOKUP($A48,'Data Vlaue (Cr)'!$C:$FB,99)</f>
        <v>272</v>
      </c>
      <c r="I48" s="75">
        <f>VLOOKUP($A48,'Data Vlaue (Cr)'!$C:$FB,100)</f>
        <v>607</v>
      </c>
      <c r="J48" s="75">
        <f t="shared" si="2"/>
        <v>-335</v>
      </c>
      <c r="K48" s="75">
        <f t="shared" si="3"/>
        <v>-123.16176470588236</v>
      </c>
      <c r="L48" s="75">
        <f>VLOOKUP($A48,'Data Vlaue (Cr)'!$C:$FB,67)</f>
        <v>345</v>
      </c>
      <c r="M48" s="75">
        <f>VLOOKUP($A48,'Data Vlaue (Cr)'!$C:$FB,68)</f>
        <v>457</v>
      </c>
      <c r="N48" s="75">
        <f t="shared" si="4"/>
        <v>-112</v>
      </c>
      <c r="O48" s="75">
        <f t="shared" si="5"/>
        <v>-32.463768115942024</v>
      </c>
      <c r="P48" s="75">
        <f>VLOOKUP($A48,'Data Vlaue (Cr)'!$C:$FB,119)</f>
        <v>0.5</v>
      </c>
      <c r="Q48" s="75">
        <f>VLOOKUP($A48,'Data Vlaue (Cr)'!$C:$FB,122)*100</f>
        <v>-45.65</v>
      </c>
      <c r="R48" s="75">
        <f>VLOOKUP($A48,'Data Vlaue (Cr)'!$C:$FB,125)</f>
        <v>0.94</v>
      </c>
      <c r="S48" s="75">
        <f>VLOOKUP($A48,'Data Vlaue (Cr)'!$C:$FB,128)*100</f>
        <v>95.83</v>
      </c>
    </row>
    <row r="49" spans="1:19" x14ac:dyDescent="0.25">
      <c r="A49" s="96" t="str">
        <f>'Data Vlaue (Cr)'!C40</f>
        <v>BOSCHLTD</v>
      </c>
      <c r="B49" s="75">
        <f>VLOOKUP($A49,'Data Vlaue (Cr)'!$C:$FB,2)</f>
        <v>25</v>
      </c>
      <c r="C49" s="75">
        <f>VLOOKUP($A49,'Data Vlaue (Cr)'!$C:$FB,8)</f>
        <v>40385</v>
      </c>
      <c r="D49" s="75">
        <f>VLOOKUP($A49,'Data Vlaue (Cr)'!$C:$FB,4)</f>
        <v>40495</v>
      </c>
      <c r="E49" s="75">
        <f>VLOOKUP($A49,'Data Vlaue (Cr)'!$C:$FB,5)</f>
        <v>40250</v>
      </c>
      <c r="F49" s="75">
        <f t="shared" si="0"/>
        <v>110</v>
      </c>
      <c r="G49" s="75">
        <f t="shared" si="1"/>
        <v>0.60501296456352638</v>
      </c>
      <c r="H49" s="75">
        <f>VLOOKUP($A49,'Data Vlaue (Cr)'!$C:$FB,99)</f>
        <v>1714</v>
      </c>
      <c r="I49" s="75">
        <f>VLOOKUP($A49,'Data Vlaue (Cr)'!$C:$FB,100)</f>
        <v>4145</v>
      </c>
      <c r="J49" s="75">
        <f t="shared" si="2"/>
        <v>-2431</v>
      </c>
      <c r="K49" s="75">
        <f t="shared" si="3"/>
        <v>-141.83197199533254</v>
      </c>
      <c r="L49" s="75">
        <f>VLOOKUP($A49,'Data Vlaue (Cr)'!$C:$FB,67)</f>
        <v>7869</v>
      </c>
      <c r="M49" s="75">
        <f>VLOOKUP($A49,'Data Vlaue (Cr)'!$C:$FB,68)</f>
        <v>21546</v>
      </c>
      <c r="N49" s="75">
        <f t="shared" si="4"/>
        <v>-13677</v>
      </c>
      <c r="O49" s="75">
        <f t="shared" si="5"/>
        <v>-173.80861608844833</v>
      </c>
      <c r="P49" s="75">
        <f>VLOOKUP($A49,'Data Vlaue (Cr)'!$C:$FB,119)</f>
        <v>0.57999999999999996</v>
      </c>
      <c r="Q49" s="75">
        <f>VLOOKUP($A49,'Data Vlaue (Cr)'!$C:$FB,122)*100</f>
        <v>-10.77</v>
      </c>
      <c r="R49" s="75">
        <f>VLOOKUP($A49,'Data Vlaue (Cr)'!$C:$FB,125)</f>
        <v>0.56999999999999995</v>
      </c>
      <c r="S49" s="75">
        <f>VLOOKUP($A49,'Data Vlaue (Cr)'!$C:$FB,128)*100</f>
        <v>16.329999999999998</v>
      </c>
    </row>
    <row r="50" spans="1:19" x14ac:dyDescent="0.25">
      <c r="A50" s="96" t="str">
        <f>'Data Vlaue (Cr)'!C41</f>
        <v>BPCL</v>
      </c>
      <c r="B50" s="75">
        <f>VLOOKUP($A50,'Data Vlaue (Cr)'!$C:$FB,2)</f>
        <v>1975</v>
      </c>
      <c r="C50" s="75">
        <f>VLOOKUP($A50,'Data Vlaue (Cr)'!$C:$FB,8)</f>
        <v>329.3</v>
      </c>
      <c r="D50" s="75">
        <f>VLOOKUP($A50,'Data Vlaue (Cr)'!$C:$FB,4)</f>
        <v>328.45</v>
      </c>
      <c r="E50" s="75">
        <f>VLOOKUP($A50,'Data Vlaue (Cr)'!$C:$FB,5)</f>
        <v>333.65</v>
      </c>
      <c r="F50" s="75">
        <f t="shared" si="0"/>
        <v>-0.85000000000002274</v>
      </c>
      <c r="G50" s="75">
        <f t="shared" si="1"/>
        <v>-1.583193789008978</v>
      </c>
      <c r="H50" s="75">
        <f>VLOOKUP($A50,'Data Vlaue (Cr)'!$C:$FB,99)</f>
        <v>1654</v>
      </c>
      <c r="I50" s="75">
        <f>VLOOKUP($A50,'Data Vlaue (Cr)'!$C:$FB,100)</f>
        <v>2876</v>
      </c>
      <c r="J50" s="75">
        <f t="shared" si="2"/>
        <v>-1222</v>
      </c>
      <c r="K50" s="75">
        <f t="shared" si="3"/>
        <v>-73.881499395405086</v>
      </c>
      <c r="L50" s="75">
        <f>VLOOKUP($A50,'Data Vlaue (Cr)'!$C:$FB,67)</f>
        <v>2432</v>
      </c>
      <c r="M50" s="75">
        <f>VLOOKUP($A50,'Data Vlaue (Cr)'!$C:$FB,68)</f>
        <v>6523</v>
      </c>
      <c r="N50" s="75">
        <f t="shared" si="4"/>
        <v>-4091</v>
      </c>
      <c r="O50" s="75">
        <f t="shared" si="5"/>
        <v>-168.21546052631581</v>
      </c>
      <c r="P50" s="75">
        <f>VLOOKUP($A50,'Data Vlaue (Cr)'!$C:$FB,119)</f>
        <v>0.62</v>
      </c>
      <c r="Q50" s="75">
        <f>VLOOKUP($A50,'Data Vlaue (Cr)'!$C:$FB,122)*100</f>
        <v>31.91</v>
      </c>
      <c r="R50" s="75">
        <f>VLOOKUP($A50,'Data Vlaue (Cr)'!$C:$FB,125)</f>
        <v>0.55000000000000004</v>
      </c>
      <c r="S50" s="75">
        <f>VLOOKUP($A50,'Data Vlaue (Cr)'!$C:$FB,128)*100</f>
        <v>150</v>
      </c>
    </row>
    <row r="51" spans="1:19" x14ac:dyDescent="0.25">
      <c r="A51" s="96" t="str">
        <f>'Data Vlaue (Cr)'!C42</f>
        <v>BRITANNIA</v>
      </c>
      <c r="B51" s="75">
        <f>VLOOKUP($A51,'Data Vlaue (Cr)'!$C:$FB,2)</f>
        <v>125</v>
      </c>
      <c r="C51" s="75">
        <f>VLOOKUP($A51,'Data Vlaue (Cr)'!$C:$FB,8)</f>
        <v>5771</v>
      </c>
      <c r="D51" s="75">
        <f>VLOOKUP($A51,'Data Vlaue (Cr)'!$C:$FB,4)</f>
        <v>5727</v>
      </c>
      <c r="E51" s="75">
        <f>VLOOKUP($A51,'Data Vlaue (Cr)'!$C:$FB,5)</f>
        <v>5705</v>
      </c>
      <c r="F51" s="75">
        <f t="shared" si="0"/>
        <v>-44</v>
      </c>
      <c r="G51" s="75">
        <f t="shared" si="1"/>
        <v>0.38414527675921073</v>
      </c>
      <c r="H51" s="75">
        <f>VLOOKUP($A51,'Data Vlaue (Cr)'!$C:$FB,99)</f>
        <v>1933</v>
      </c>
      <c r="I51" s="75">
        <f>VLOOKUP($A51,'Data Vlaue (Cr)'!$C:$FB,100)</f>
        <v>2416</v>
      </c>
      <c r="J51" s="75">
        <f t="shared" si="2"/>
        <v>-483</v>
      </c>
      <c r="K51" s="75">
        <f t="shared" si="3"/>
        <v>-24.987066735644074</v>
      </c>
      <c r="L51" s="75">
        <f>VLOOKUP($A51,'Data Vlaue (Cr)'!$C:$FB,67)</f>
        <v>2054</v>
      </c>
      <c r="M51" s="75">
        <f>VLOOKUP($A51,'Data Vlaue (Cr)'!$C:$FB,68)</f>
        <v>1961</v>
      </c>
      <c r="N51" s="75">
        <f t="shared" si="4"/>
        <v>93</v>
      </c>
      <c r="O51" s="75">
        <f t="shared" si="5"/>
        <v>4.5277507302823761</v>
      </c>
      <c r="P51" s="75">
        <f>VLOOKUP($A51,'Data Vlaue (Cr)'!$C:$FB,119)</f>
        <v>0.51</v>
      </c>
      <c r="Q51" s="75">
        <f>VLOOKUP($A51,'Data Vlaue (Cr)'!$C:$FB,122)*100</f>
        <v>-22.73</v>
      </c>
      <c r="R51" s="75">
        <f>VLOOKUP($A51,'Data Vlaue (Cr)'!$C:$FB,125)</f>
        <v>0.28000000000000003</v>
      </c>
      <c r="S51" s="75">
        <f>VLOOKUP($A51,'Data Vlaue (Cr)'!$C:$FB,128)*100</f>
        <v>-28.21</v>
      </c>
    </row>
    <row r="52" spans="1:19" x14ac:dyDescent="0.25">
      <c r="A52" s="96" t="str">
        <f>'Data Vlaue (Cr)'!C43</f>
        <v>BSE</v>
      </c>
      <c r="B52" s="75">
        <f>VLOOKUP($A52,'Data Vlaue (Cr)'!$C:$FB,2)</f>
        <v>375</v>
      </c>
      <c r="C52" s="75">
        <f>VLOOKUP($A52,'Data Vlaue (Cr)'!$C:$FB,8)</f>
        <v>2427.4</v>
      </c>
      <c r="D52" s="75">
        <f>VLOOKUP($A52,'Data Vlaue (Cr)'!$C:$FB,4)</f>
        <v>2437.6</v>
      </c>
      <c r="E52" s="75">
        <f>VLOOKUP($A52,'Data Vlaue (Cr)'!$C:$FB,5)</f>
        <v>2463.5</v>
      </c>
      <c r="F52" s="75">
        <f t="shared" si="0"/>
        <v>10.199999999999818</v>
      </c>
      <c r="G52" s="75">
        <f t="shared" si="1"/>
        <v>-1.0625205119789993</v>
      </c>
      <c r="H52" s="75">
        <f>VLOOKUP($A52,'Data Vlaue (Cr)'!$C:$FB,99)</f>
        <v>4258</v>
      </c>
      <c r="I52" s="75">
        <f>VLOOKUP($A52,'Data Vlaue (Cr)'!$C:$FB,100)</f>
        <v>8419</v>
      </c>
      <c r="J52" s="75">
        <f t="shared" si="2"/>
        <v>-4161</v>
      </c>
      <c r="K52" s="75">
        <f t="shared" si="3"/>
        <v>-97.72193518083607</v>
      </c>
      <c r="L52" s="75">
        <f>VLOOKUP($A52,'Data Vlaue (Cr)'!$C:$FB,67)</f>
        <v>7752</v>
      </c>
      <c r="M52" s="75">
        <f>VLOOKUP($A52,'Data Vlaue (Cr)'!$C:$FB,68)</f>
        <v>8141</v>
      </c>
      <c r="N52" s="75">
        <f t="shared" si="4"/>
        <v>-389</v>
      </c>
      <c r="O52" s="75">
        <f t="shared" si="5"/>
        <v>-5.0180598555211553</v>
      </c>
      <c r="P52" s="75">
        <f>VLOOKUP($A52,'Data Vlaue (Cr)'!$C:$FB,119)</f>
        <v>0.85</v>
      </c>
      <c r="Q52" s="75">
        <f>VLOOKUP($A52,'Data Vlaue (Cr)'!$C:$FB,122)*100</f>
        <v>39.340000000000003</v>
      </c>
      <c r="R52" s="75">
        <f>VLOOKUP($A52,'Data Vlaue (Cr)'!$C:$FB,125)</f>
        <v>0.69</v>
      </c>
      <c r="S52" s="75">
        <f>VLOOKUP($A52,'Data Vlaue (Cr)'!$C:$FB,128)*100</f>
        <v>30.19</v>
      </c>
    </row>
    <row r="53" spans="1:19" x14ac:dyDescent="0.25">
      <c r="A53" s="96" t="str">
        <f>'Data Vlaue (Cr)'!C44</f>
        <v>BSOFT</v>
      </c>
      <c r="B53" s="75">
        <f>VLOOKUP($A53,'Data Vlaue (Cr)'!$C:$FB,2)</f>
        <v>1300</v>
      </c>
      <c r="C53" s="75">
        <f>VLOOKUP($A53,'Data Vlaue (Cr)'!$C:$FB,8)</f>
        <v>391.5</v>
      </c>
      <c r="D53" s="75">
        <f>VLOOKUP($A53,'Data Vlaue (Cr)'!$C:$FB,4)</f>
        <v>0</v>
      </c>
      <c r="E53" s="75">
        <f>VLOOKUP($A53,'Data Vlaue (Cr)'!$C:$FB,5)</f>
        <v>0</v>
      </c>
      <c r="F53" s="75">
        <f t="shared" si="0"/>
        <v>-391.5</v>
      </c>
      <c r="G53" s="75" t="e">
        <f t="shared" si="1"/>
        <v>#DIV/0!</v>
      </c>
      <c r="H53" s="75">
        <f>VLOOKUP($A53,'Data Vlaue (Cr)'!$C:$FB,99)</f>
        <v>0</v>
      </c>
      <c r="I53" s="75">
        <f>VLOOKUP($A53,'Data Vlaue (Cr)'!$C:$FB,100)</f>
        <v>0</v>
      </c>
      <c r="J53" s="75">
        <f t="shared" si="2"/>
        <v>0</v>
      </c>
      <c r="K53" s="75" t="e">
        <f t="shared" si="3"/>
        <v>#DIV/0!</v>
      </c>
      <c r="L53" s="75">
        <f>VLOOKUP($A53,'Data Vlaue (Cr)'!$C:$FB,67)</f>
        <v>0</v>
      </c>
      <c r="M53" s="75">
        <f>VLOOKUP($A53,'Data Vlaue (Cr)'!$C:$FB,68)</f>
        <v>0</v>
      </c>
      <c r="N53" s="75">
        <f t="shared" si="4"/>
        <v>0</v>
      </c>
      <c r="O53" s="75" t="e">
        <f t="shared" si="5"/>
        <v>#DIV/0!</v>
      </c>
      <c r="P53" s="75">
        <f>VLOOKUP($A53,'Data Vlaue (Cr)'!$C:$FB,119)</f>
        <v>0.44</v>
      </c>
      <c r="Q53" s="75">
        <f>VLOOKUP($A53,'Data Vlaue (Cr)'!$C:$FB,122)*100</f>
        <v>-6.38</v>
      </c>
      <c r="R53" s="75">
        <f>VLOOKUP($A53,'Data Vlaue (Cr)'!$C:$FB,125)</f>
        <v>1.02</v>
      </c>
      <c r="S53" s="75">
        <f>VLOOKUP($A53,'Data Vlaue (Cr)'!$C:$FB,128)*100</f>
        <v>183.32999999999998</v>
      </c>
    </row>
    <row r="54" spans="1:19" x14ac:dyDescent="0.25">
      <c r="A54" s="96" t="str">
        <f>'Data Vlaue (Cr)'!C45</f>
        <v>CAMS</v>
      </c>
      <c r="B54" s="75">
        <f>VLOOKUP($A54,'Data Vlaue (Cr)'!$C:$FB,2)</f>
        <v>150</v>
      </c>
      <c r="C54" s="75">
        <f>VLOOKUP($A54,'Data Vlaue (Cr)'!$C:$FB,8)</f>
        <v>3736.8</v>
      </c>
      <c r="D54" s="75">
        <f>VLOOKUP($A54,'Data Vlaue (Cr)'!$C:$FB,4)</f>
        <v>3748.1</v>
      </c>
      <c r="E54" s="75">
        <f>VLOOKUP($A54,'Data Vlaue (Cr)'!$C:$FB,5)</f>
        <v>3892.5</v>
      </c>
      <c r="F54" s="75">
        <f t="shared" si="0"/>
        <v>11.299999999999727</v>
      </c>
      <c r="G54" s="75">
        <f t="shared" si="1"/>
        <v>-3.8526186601211307</v>
      </c>
      <c r="H54" s="75">
        <f>VLOOKUP($A54,'Data Vlaue (Cr)'!$C:$FB,99)</f>
        <v>1217</v>
      </c>
      <c r="I54" s="75">
        <f>VLOOKUP($A54,'Data Vlaue (Cr)'!$C:$FB,100)</f>
        <v>1816</v>
      </c>
      <c r="J54" s="75">
        <f t="shared" si="2"/>
        <v>-599</v>
      </c>
      <c r="K54" s="75">
        <f t="shared" si="3"/>
        <v>-49.219391947411665</v>
      </c>
      <c r="L54" s="75">
        <f>VLOOKUP($A54,'Data Vlaue (Cr)'!$C:$FB,67)</f>
        <v>3124</v>
      </c>
      <c r="M54" s="75">
        <f>VLOOKUP($A54,'Data Vlaue (Cr)'!$C:$FB,68)</f>
        <v>1356</v>
      </c>
      <c r="N54" s="75">
        <f t="shared" si="4"/>
        <v>1768</v>
      </c>
      <c r="O54" s="75">
        <f t="shared" si="5"/>
        <v>56.594110115236873</v>
      </c>
      <c r="P54" s="75">
        <f>VLOOKUP($A54,'Data Vlaue (Cr)'!$C:$FB,119)</f>
        <v>0.66</v>
      </c>
      <c r="Q54" s="75">
        <f>VLOOKUP($A54,'Data Vlaue (Cr)'!$C:$FB,122)*100</f>
        <v>-8.33</v>
      </c>
      <c r="R54" s="75">
        <f>VLOOKUP($A54,'Data Vlaue (Cr)'!$C:$FB,125)</f>
        <v>0.81</v>
      </c>
      <c r="S54" s="75">
        <f>VLOOKUP($A54,'Data Vlaue (Cr)'!$C:$FB,128)*100</f>
        <v>55.769999999999996</v>
      </c>
    </row>
    <row r="55" spans="1:19" x14ac:dyDescent="0.25">
      <c r="A55" s="96" t="str">
        <f>'Data Vlaue (Cr)'!C46</f>
        <v>CANBK</v>
      </c>
      <c r="B55" s="75">
        <f>VLOOKUP($A55,'Data Vlaue (Cr)'!$C:$FB,2)</f>
        <v>6750</v>
      </c>
      <c r="C55" s="75">
        <f>VLOOKUP($A55,'Data Vlaue (Cr)'!$C:$FB,8)</f>
        <v>107.25</v>
      </c>
      <c r="D55" s="75">
        <f>VLOOKUP($A55,'Data Vlaue (Cr)'!$C:$FB,4)</f>
        <v>107.84</v>
      </c>
      <c r="E55" s="75">
        <f>VLOOKUP($A55,'Data Vlaue (Cr)'!$C:$FB,5)</f>
        <v>108.82</v>
      </c>
      <c r="F55" s="75">
        <f t="shared" si="0"/>
        <v>0.59000000000000341</v>
      </c>
      <c r="G55" s="75">
        <f t="shared" si="1"/>
        <v>-0.90875370919880349</v>
      </c>
      <c r="H55" s="75">
        <f>VLOOKUP($A55,'Data Vlaue (Cr)'!$C:$FB,99)</f>
        <v>3793</v>
      </c>
      <c r="I55" s="75">
        <f>VLOOKUP($A55,'Data Vlaue (Cr)'!$C:$FB,100)</f>
        <v>5148</v>
      </c>
      <c r="J55" s="75">
        <f t="shared" si="2"/>
        <v>-1355</v>
      </c>
      <c r="K55" s="75">
        <f t="shared" si="3"/>
        <v>-35.723701555496966</v>
      </c>
      <c r="L55" s="75">
        <f>VLOOKUP($A55,'Data Vlaue (Cr)'!$C:$FB,67)</f>
        <v>3701</v>
      </c>
      <c r="M55" s="75">
        <f>VLOOKUP($A55,'Data Vlaue (Cr)'!$C:$FB,68)</f>
        <v>2916</v>
      </c>
      <c r="N55" s="75">
        <f t="shared" si="4"/>
        <v>785</v>
      </c>
      <c r="O55" s="75">
        <f t="shared" si="5"/>
        <v>21.210483653066738</v>
      </c>
      <c r="P55" s="75">
        <f>VLOOKUP($A55,'Data Vlaue (Cr)'!$C:$FB,119)</f>
        <v>0.76</v>
      </c>
      <c r="Q55" s="75">
        <f>VLOOKUP($A55,'Data Vlaue (Cr)'!$C:$FB,122)*100</f>
        <v>16.919999999999998</v>
      </c>
      <c r="R55" s="75">
        <f>VLOOKUP($A55,'Data Vlaue (Cr)'!$C:$FB,125)</f>
        <v>0.68</v>
      </c>
      <c r="S55" s="75">
        <f>VLOOKUP($A55,'Data Vlaue (Cr)'!$C:$FB,128)*100</f>
        <v>65.849999999999994</v>
      </c>
    </row>
    <row r="56" spans="1:19" x14ac:dyDescent="0.25">
      <c r="A56" s="96" t="str">
        <f>'Data Vlaue (Cr)'!C47</f>
        <v>CDSL</v>
      </c>
      <c r="B56" s="75">
        <f>VLOOKUP($A56,'Data Vlaue (Cr)'!$C:$FB,2)</f>
        <v>475</v>
      </c>
      <c r="C56" s="75">
        <f>VLOOKUP($A56,'Data Vlaue (Cr)'!$C:$FB,8)</f>
        <v>1480.8</v>
      </c>
      <c r="D56" s="75">
        <f>VLOOKUP($A56,'Data Vlaue (Cr)'!$C:$FB,4)</f>
        <v>1476</v>
      </c>
      <c r="E56" s="75">
        <f>VLOOKUP($A56,'Data Vlaue (Cr)'!$C:$FB,5)</f>
        <v>1502.3</v>
      </c>
      <c r="F56" s="75">
        <f t="shared" si="0"/>
        <v>-4.7999999999999545</v>
      </c>
      <c r="G56" s="75">
        <f t="shared" si="1"/>
        <v>-1.7818428184281814</v>
      </c>
      <c r="H56" s="75">
        <f>VLOOKUP($A56,'Data Vlaue (Cr)'!$C:$FB,99)</f>
        <v>2552</v>
      </c>
      <c r="I56" s="75">
        <f>VLOOKUP($A56,'Data Vlaue (Cr)'!$C:$FB,100)</f>
        <v>3734</v>
      </c>
      <c r="J56" s="75">
        <f t="shared" si="2"/>
        <v>-1182</v>
      </c>
      <c r="K56" s="75">
        <f t="shared" si="3"/>
        <v>-46.316614420062699</v>
      </c>
      <c r="L56" s="75">
        <f>VLOOKUP($A56,'Data Vlaue (Cr)'!$C:$FB,67)</f>
        <v>2956</v>
      </c>
      <c r="M56" s="75">
        <f>VLOOKUP($A56,'Data Vlaue (Cr)'!$C:$FB,68)</f>
        <v>3526</v>
      </c>
      <c r="N56" s="75">
        <f t="shared" si="4"/>
        <v>-570</v>
      </c>
      <c r="O56" s="75">
        <f t="shared" si="5"/>
        <v>-19.282814614343707</v>
      </c>
      <c r="P56" s="75">
        <f>VLOOKUP($A56,'Data Vlaue (Cr)'!$C:$FB,119)</f>
        <v>0.7</v>
      </c>
      <c r="Q56" s="75">
        <f>VLOOKUP($A56,'Data Vlaue (Cr)'!$C:$FB,122)*100</f>
        <v>22.81</v>
      </c>
      <c r="R56" s="75">
        <f>VLOOKUP($A56,'Data Vlaue (Cr)'!$C:$FB,125)</f>
        <v>0.68</v>
      </c>
      <c r="S56" s="75">
        <f>VLOOKUP($A56,'Data Vlaue (Cr)'!$C:$FB,128)*100</f>
        <v>7.9399999999999995</v>
      </c>
    </row>
    <row r="57" spans="1:19" x14ac:dyDescent="0.25">
      <c r="A57" s="96" t="str">
        <f>'Data Vlaue (Cr)'!C48</f>
        <v>CESC</v>
      </c>
      <c r="B57" s="75">
        <f>VLOOKUP($A57,'Data Vlaue (Cr)'!$C:$FB,2)</f>
        <v>3625</v>
      </c>
      <c r="C57" s="75">
        <f>VLOOKUP($A57,'Data Vlaue (Cr)'!$C:$FB,8)</f>
        <v>169.51</v>
      </c>
      <c r="D57" s="75">
        <f>VLOOKUP($A57,'Data Vlaue (Cr)'!$C:$FB,4)</f>
        <v>170.04</v>
      </c>
      <c r="E57" s="75">
        <f>VLOOKUP($A57,'Data Vlaue (Cr)'!$C:$FB,5)</f>
        <v>177.75</v>
      </c>
      <c r="F57" s="75">
        <f t="shared" si="0"/>
        <v>0.53000000000000114</v>
      </c>
      <c r="G57" s="75">
        <f t="shared" si="1"/>
        <v>-4.5342272406492645</v>
      </c>
      <c r="H57" s="75">
        <f>VLOOKUP($A57,'Data Vlaue (Cr)'!$C:$FB,99)</f>
        <v>367</v>
      </c>
      <c r="I57" s="75">
        <f>VLOOKUP($A57,'Data Vlaue (Cr)'!$C:$FB,100)</f>
        <v>576</v>
      </c>
      <c r="J57" s="75">
        <f t="shared" si="2"/>
        <v>-209</v>
      </c>
      <c r="K57" s="75">
        <f t="shared" si="3"/>
        <v>-56.948228882833781</v>
      </c>
      <c r="L57" s="75">
        <f>VLOOKUP($A57,'Data Vlaue (Cr)'!$C:$FB,67)</f>
        <v>710</v>
      </c>
      <c r="M57" s="75">
        <f>VLOOKUP($A57,'Data Vlaue (Cr)'!$C:$FB,68)</f>
        <v>883</v>
      </c>
      <c r="N57" s="75">
        <f t="shared" si="4"/>
        <v>-173</v>
      </c>
      <c r="O57" s="75">
        <f t="shared" si="5"/>
        <v>-24.366197183098592</v>
      </c>
      <c r="P57" s="75">
        <f>VLOOKUP($A57,'Data Vlaue (Cr)'!$C:$FB,119)</f>
        <v>0.47</v>
      </c>
      <c r="Q57" s="75">
        <f>VLOOKUP($A57,'Data Vlaue (Cr)'!$C:$FB,122)*100</f>
        <v>-18.970000000000002</v>
      </c>
      <c r="R57" s="75">
        <f>VLOOKUP($A57,'Data Vlaue (Cr)'!$C:$FB,125)</f>
        <v>0.53</v>
      </c>
      <c r="S57" s="75">
        <f>VLOOKUP($A57,'Data Vlaue (Cr)'!$C:$FB,128)*100</f>
        <v>26.19</v>
      </c>
    </row>
    <row r="58" spans="1:19" x14ac:dyDescent="0.25">
      <c r="A58" s="96" t="str">
        <f>'Data Vlaue (Cr)'!C49</f>
        <v>CGPOWER</v>
      </c>
      <c r="B58" s="75">
        <f>VLOOKUP($A58,'Data Vlaue (Cr)'!$C:$FB,2)</f>
        <v>850</v>
      </c>
      <c r="C58" s="75">
        <f>VLOOKUP($A58,'Data Vlaue (Cr)'!$C:$FB,8)</f>
        <v>661.7</v>
      </c>
      <c r="D58" s="75">
        <f>VLOOKUP($A58,'Data Vlaue (Cr)'!$C:$FB,4)</f>
        <v>664.2</v>
      </c>
      <c r="E58" s="75">
        <f>VLOOKUP($A58,'Data Vlaue (Cr)'!$C:$FB,5)</f>
        <v>664.45</v>
      </c>
      <c r="F58" s="75">
        <f t="shared" si="0"/>
        <v>2.5</v>
      </c>
      <c r="G58" s="75">
        <f t="shared" si="1"/>
        <v>-3.7639265281541705E-2</v>
      </c>
      <c r="H58" s="75">
        <f>VLOOKUP($A58,'Data Vlaue (Cr)'!$C:$FB,99)</f>
        <v>1371</v>
      </c>
      <c r="I58" s="75">
        <f>VLOOKUP($A58,'Data Vlaue (Cr)'!$C:$FB,100)</f>
        <v>1900</v>
      </c>
      <c r="J58" s="75">
        <f t="shared" si="2"/>
        <v>-529</v>
      </c>
      <c r="K58" s="75">
        <f t="shared" si="3"/>
        <v>-38.584974471188914</v>
      </c>
      <c r="L58" s="75">
        <f>VLOOKUP($A58,'Data Vlaue (Cr)'!$C:$FB,67)</f>
        <v>857</v>
      </c>
      <c r="M58" s="75">
        <f>VLOOKUP($A58,'Data Vlaue (Cr)'!$C:$FB,68)</f>
        <v>1117</v>
      </c>
      <c r="N58" s="75">
        <f t="shared" si="4"/>
        <v>-260</v>
      </c>
      <c r="O58" s="75">
        <f t="shared" si="5"/>
        <v>-30.338389731621941</v>
      </c>
      <c r="P58" s="75">
        <f>VLOOKUP($A58,'Data Vlaue (Cr)'!$C:$FB,119)</f>
        <v>0.9</v>
      </c>
      <c r="Q58" s="75">
        <f>VLOOKUP($A58,'Data Vlaue (Cr)'!$C:$FB,122)*100</f>
        <v>38.46</v>
      </c>
      <c r="R58" s="75">
        <f>VLOOKUP($A58,'Data Vlaue (Cr)'!$C:$FB,125)</f>
        <v>0.4</v>
      </c>
      <c r="S58" s="75">
        <f>VLOOKUP($A58,'Data Vlaue (Cr)'!$C:$FB,128)*100</f>
        <v>-4.7600000000000007</v>
      </c>
    </row>
    <row r="59" spans="1:19" x14ac:dyDescent="0.25">
      <c r="A59" s="96" t="str">
        <f>'Data Vlaue (Cr)'!C50</f>
        <v>CHAMBLFERT</v>
      </c>
      <c r="B59" s="75">
        <f>VLOOKUP($A59,'Data Vlaue (Cr)'!$C:$FB,2)</f>
        <v>950</v>
      </c>
      <c r="C59" s="75">
        <f>VLOOKUP($A59,'Data Vlaue (Cr)'!$C:$FB,8)</f>
        <v>514.9</v>
      </c>
      <c r="D59" s="75">
        <f>VLOOKUP($A59,'Data Vlaue (Cr)'!$C:$FB,4)</f>
        <v>0</v>
      </c>
      <c r="E59" s="75">
        <f>VLOOKUP($A59,'Data Vlaue (Cr)'!$C:$FB,5)</f>
        <v>0</v>
      </c>
      <c r="F59" s="75">
        <f t="shared" si="0"/>
        <v>-514.9</v>
      </c>
      <c r="G59" s="75" t="e">
        <f t="shared" si="1"/>
        <v>#DIV/0!</v>
      </c>
      <c r="H59" s="75">
        <f>VLOOKUP($A59,'Data Vlaue (Cr)'!$C:$FB,99)</f>
        <v>0</v>
      </c>
      <c r="I59" s="75">
        <f>VLOOKUP($A59,'Data Vlaue (Cr)'!$C:$FB,100)</f>
        <v>0</v>
      </c>
      <c r="J59" s="75">
        <f t="shared" si="2"/>
        <v>0</v>
      </c>
      <c r="K59" s="75" t="e">
        <f t="shared" si="3"/>
        <v>#DIV/0!</v>
      </c>
      <c r="L59" s="75">
        <f>VLOOKUP($A59,'Data Vlaue (Cr)'!$C:$FB,67)</f>
        <v>0</v>
      </c>
      <c r="M59" s="75">
        <f>VLOOKUP($A59,'Data Vlaue (Cr)'!$C:$FB,68)</f>
        <v>0</v>
      </c>
      <c r="N59" s="75">
        <f t="shared" si="4"/>
        <v>0</v>
      </c>
      <c r="O59" s="75" t="e">
        <f t="shared" si="5"/>
        <v>#DIV/0!</v>
      </c>
      <c r="P59" s="75">
        <f>VLOOKUP($A59,'Data Vlaue (Cr)'!$C:$FB,119)</f>
        <v>0.49</v>
      </c>
      <c r="Q59" s="75">
        <f>VLOOKUP($A59,'Data Vlaue (Cr)'!$C:$FB,122)*100</f>
        <v>-3.92</v>
      </c>
      <c r="R59" s="75">
        <f>VLOOKUP($A59,'Data Vlaue (Cr)'!$C:$FB,125)</f>
        <v>0.71</v>
      </c>
      <c r="S59" s="75">
        <f>VLOOKUP($A59,'Data Vlaue (Cr)'!$C:$FB,128)*100</f>
        <v>317.64999999999998</v>
      </c>
    </row>
    <row r="60" spans="1:19" x14ac:dyDescent="0.25">
      <c r="A60" s="96" t="str">
        <f>'Data Vlaue (Cr)'!C51</f>
        <v>CHOLAFIN</v>
      </c>
      <c r="B60" s="75">
        <f>VLOOKUP($A60,'Data Vlaue (Cr)'!$C:$FB,2)</f>
        <v>625</v>
      </c>
      <c r="C60" s="75">
        <f>VLOOKUP($A60,'Data Vlaue (Cr)'!$C:$FB,8)</f>
        <v>1443.2</v>
      </c>
      <c r="D60" s="75">
        <f>VLOOKUP($A60,'Data Vlaue (Cr)'!$C:$FB,4)</f>
        <v>1426.8</v>
      </c>
      <c r="E60" s="75">
        <f>VLOOKUP($A60,'Data Vlaue (Cr)'!$C:$FB,5)</f>
        <v>1482</v>
      </c>
      <c r="F60" s="75">
        <f t="shared" si="0"/>
        <v>-16.400000000000091</v>
      </c>
      <c r="G60" s="75">
        <f t="shared" si="1"/>
        <v>-3.868797308662745</v>
      </c>
      <c r="H60" s="75">
        <f>VLOOKUP($A60,'Data Vlaue (Cr)'!$C:$FB,99)</f>
        <v>2359</v>
      </c>
      <c r="I60" s="75">
        <f>VLOOKUP($A60,'Data Vlaue (Cr)'!$C:$FB,100)</f>
        <v>2785</v>
      </c>
      <c r="J60" s="75">
        <f t="shared" si="2"/>
        <v>-426</v>
      </c>
      <c r="K60" s="75">
        <f t="shared" si="3"/>
        <v>-18.058499364137344</v>
      </c>
      <c r="L60" s="75">
        <f>VLOOKUP($A60,'Data Vlaue (Cr)'!$C:$FB,67)</f>
        <v>4317</v>
      </c>
      <c r="M60" s="75">
        <f>VLOOKUP($A60,'Data Vlaue (Cr)'!$C:$FB,68)</f>
        <v>2018</v>
      </c>
      <c r="N60" s="75">
        <f t="shared" si="4"/>
        <v>2299</v>
      </c>
      <c r="O60" s="75">
        <f t="shared" si="5"/>
        <v>53.254574936298361</v>
      </c>
      <c r="P60" s="75">
        <f>VLOOKUP($A60,'Data Vlaue (Cr)'!$C:$FB,119)</f>
        <v>0.74</v>
      </c>
      <c r="Q60" s="75">
        <f>VLOOKUP($A60,'Data Vlaue (Cr)'!$C:$FB,122)*100</f>
        <v>15.620000000000001</v>
      </c>
      <c r="R60" s="75">
        <f>VLOOKUP($A60,'Data Vlaue (Cr)'!$C:$FB,125)</f>
        <v>0.66</v>
      </c>
      <c r="S60" s="75">
        <f>VLOOKUP($A60,'Data Vlaue (Cr)'!$C:$FB,128)*100</f>
        <v>69.23</v>
      </c>
    </row>
    <row r="61" spans="1:19" x14ac:dyDescent="0.25">
      <c r="A61" s="96" t="str">
        <f>'Data Vlaue (Cr)'!C52</f>
        <v>CIPLA</v>
      </c>
      <c r="B61" s="75">
        <f>VLOOKUP($A61,'Data Vlaue (Cr)'!$C:$FB,2)</f>
        <v>375</v>
      </c>
      <c r="C61" s="75">
        <f>VLOOKUP($A61,'Data Vlaue (Cr)'!$C:$FB,8)</f>
        <v>1554.6</v>
      </c>
      <c r="D61" s="75">
        <f>VLOOKUP($A61,'Data Vlaue (Cr)'!$C:$FB,4)</f>
        <v>1560.8</v>
      </c>
      <c r="E61" s="75">
        <f>VLOOKUP($A61,'Data Vlaue (Cr)'!$C:$FB,5)</f>
        <v>1567.4</v>
      </c>
      <c r="F61" s="75">
        <f t="shared" si="0"/>
        <v>6.2000000000000455</v>
      </c>
      <c r="G61" s="75">
        <f t="shared" si="1"/>
        <v>-0.42286007175808149</v>
      </c>
      <c r="H61" s="75">
        <f>VLOOKUP($A61,'Data Vlaue (Cr)'!$C:$FB,99)</f>
        <v>2234</v>
      </c>
      <c r="I61" s="75">
        <f>VLOOKUP($A61,'Data Vlaue (Cr)'!$C:$FB,100)</f>
        <v>3487</v>
      </c>
      <c r="J61" s="75">
        <f t="shared" si="2"/>
        <v>-1253</v>
      </c>
      <c r="K61" s="75">
        <f t="shared" si="3"/>
        <v>-56.087735004476279</v>
      </c>
      <c r="L61" s="75">
        <f>VLOOKUP($A61,'Data Vlaue (Cr)'!$C:$FB,67)</f>
        <v>1872</v>
      </c>
      <c r="M61" s="75">
        <f>VLOOKUP($A61,'Data Vlaue (Cr)'!$C:$FB,68)</f>
        <v>2843</v>
      </c>
      <c r="N61" s="75">
        <f t="shared" si="4"/>
        <v>-971</v>
      </c>
      <c r="O61" s="75">
        <f t="shared" si="5"/>
        <v>-51.869658119658126</v>
      </c>
      <c r="P61" s="75">
        <f>VLOOKUP($A61,'Data Vlaue (Cr)'!$C:$FB,119)</f>
        <v>0.66</v>
      </c>
      <c r="Q61" s="75">
        <f>VLOOKUP($A61,'Data Vlaue (Cr)'!$C:$FB,122)*100</f>
        <v>-1.49</v>
      </c>
      <c r="R61" s="75">
        <f>VLOOKUP($A61,'Data Vlaue (Cr)'!$C:$FB,125)</f>
        <v>1.01</v>
      </c>
      <c r="S61" s="75">
        <f>VLOOKUP($A61,'Data Vlaue (Cr)'!$C:$FB,128)*100</f>
        <v>68.33</v>
      </c>
    </row>
    <row r="62" spans="1:19" x14ac:dyDescent="0.25">
      <c r="A62" s="96" t="str">
        <f>'Data Vlaue (Cr)'!C53</f>
        <v>COALINDIA</v>
      </c>
      <c r="B62" s="75">
        <f>VLOOKUP($A62,'Data Vlaue (Cr)'!$C:$FB,2)</f>
        <v>1350</v>
      </c>
      <c r="C62" s="75">
        <f>VLOOKUP($A62,'Data Vlaue (Cr)'!$C:$FB,8)</f>
        <v>376.35</v>
      </c>
      <c r="D62" s="75">
        <f>VLOOKUP($A62,'Data Vlaue (Cr)'!$C:$FB,4)</f>
        <v>370.7</v>
      </c>
      <c r="E62" s="75">
        <f>VLOOKUP($A62,'Data Vlaue (Cr)'!$C:$FB,5)</f>
        <v>375.85</v>
      </c>
      <c r="F62" s="75">
        <f t="shared" si="0"/>
        <v>-5.6500000000000341</v>
      </c>
      <c r="G62" s="75">
        <f t="shared" si="1"/>
        <v>-1.3892635554356716</v>
      </c>
      <c r="H62" s="75">
        <f>VLOOKUP($A62,'Data Vlaue (Cr)'!$C:$FB,99)</f>
        <v>4203</v>
      </c>
      <c r="I62" s="75">
        <f>VLOOKUP($A62,'Data Vlaue (Cr)'!$C:$FB,100)</f>
        <v>5393</v>
      </c>
      <c r="J62" s="75">
        <f t="shared" si="2"/>
        <v>-1190</v>
      </c>
      <c r="K62" s="75">
        <f t="shared" si="3"/>
        <v>-28.313109683559361</v>
      </c>
      <c r="L62" s="75">
        <f>VLOOKUP($A62,'Data Vlaue (Cr)'!$C:$FB,67)</f>
        <v>3152</v>
      </c>
      <c r="M62" s="75">
        <f>VLOOKUP($A62,'Data Vlaue (Cr)'!$C:$FB,68)</f>
        <v>3160</v>
      </c>
      <c r="N62" s="75">
        <f t="shared" si="4"/>
        <v>-8</v>
      </c>
      <c r="O62" s="75">
        <f t="shared" si="5"/>
        <v>-0.25380710659898476</v>
      </c>
      <c r="P62" s="75">
        <f>VLOOKUP($A62,'Data Vlaue (Cr)'!$C:$FB,119)</f>
        <v>1.02</v>
      </c>
      <c r="Q62" s="75">
        <f>VLOOKUP($A62,'Data Vlaue (Cr)'!$C:$FB,122)*100</f>
        <v>36</v>
      </c>
      <c r="R62" s="75">
        <f>VLOOKUP($A62,'Data Vlaue (Cr)'!$C:$FB,125)</f>
        <v>0.69</v>
      </c>
      <c r="S62" s="75">
        <f>VLOOKUP($A62,'Data Vlaue (Cr)'!$C:$FB,128)*100</f>
        <v>-8</v>
      </c>
    </row>
    <row r="63" spans="1:19" x14ac:dyDescent="0.25">
      <c r="A63" s="96" t="str">
        <f>'Data Vlaue (Cr)'!C54</f>
        <v>COFORGE</v>
      </c>
      <c r="B63" s="75">
        <f>VLOOKUP($A63,'Data Vlaue (Cr)'!$C:$FB,2)</f>
        <v>375</v>
      </c>
      <c r="C63" s="75">
        <f>VLOOKUP($A63,'Data Vlaue (Cr)'!$C:$FB,8)</f>
        <v>1748.2</v>
      </c>
      <c r="D63" s="75">
        <f>VLOOKUP($A63,'Data Vlaue (Cr)'!$C:$FB,4)</f>
        <v>1752.6</v>
      </c>
      <c r="E63" s="75">
        <f>VLOOKUP($A63,'Data Vlaue (Cr)'!$C:$FB,5)</f>
        <v>1752.6</v>
      </c>
      <c r="F63" s="75">
        <f t="shared" si="0"/>
        <v>4.3999999999998636</v>
      </c>
      <c r="G63" s="75">
        <f t="shared" si="1"/>
        <v>0</v>
      </c>
      <c r="H63" s="75">
        <f>VLOOKUP($A63,'Data Vlaue (Cr)'!$C:$FB,99)</f>
        <v>3363</v>
      </c>
      <c r="I63" s="75">
        <f>VLOOKUP($A63,'Data Vlaue (Cr)'!$C:$FB,100)</f>
        <v>5301</v>
      </c>
      <c r="J63" s="75">
        <f t="shared" si="2"/>
        <v>-1938</v>
      </c>
      <c r="K63" s="75">
        <f t="shared" si="3"/>
        <v>-57.627118644067799</v>
      </c>
      <c r="L63" s="75">
        <f>VLOOKUP($A63,'Data Vlaue (Cr)'!$C:$FB,67)</f>
        <v>3947</v>
      </c>
      <c r="M63" s="75">
        <f>VLOOKUP($A63,'Data Vlaue (Cr)'!$C:$FB,68)</f>
        <v>5129</v>
      </c>
      <c r="N63" s="75">
        <f t="shared" si="4"/>
        <v>-1182</v>
      </c>
      <c r="O63" s="75">
        <f t="shared" si="5"/>
        <v>-29.946795034203195</v>
      </c>
      <c r="P63" s="75">
        <f>VLOOKUP($A63,'Data Vlaue (Cr)'!$C:$FB,119)</f>
        <v>0.64</v>
      </c>
      <c r="Q63" s="75">
        <f>VLOOKUP($A63,'Data Vlaue (Cr)'!$C:$FB,122)*100</f>
        <v>48.84</v>
      </c>
      <c r="R63" s="75">
        <f>VLOOKUP($A63,'Data Vlaue (Cr)'!$C:$FB,125)</f>
        <v>0.44</v>
      </c>
      <c r="S63" s="75">
        <f>VLOOKUP($A63,'Data Vlaue (Cr)'!$C:$FB,128)*100</f>
        <v>51.72</v>
      </c>
    </row>
    <row r="64" spans="1:19" x14ac:dyDescent="0.25">
      <c r="A64" s="96" t="str">
        <f>'Data Vlaue (Cr)'!C55</f>
        <v>COLPAL</v>
      </c>
      <c r="B64" s="75">
        <f>VLOOKUP($A64,'Data Vlaue (Cr)'!$C:$FB,2)</f>
        <v>225</v>
      </c>
      <c r="C64" s="75">
        <f>VLOOKUP($A64,'Data Vlaue (Cr)'!$C:$FB,8)</f>
        <v>2245.3000000000002</v>
      </c>
      <c r="D64" s="75">
        <f>VLOOKUP($A64,'Data Vlaue (Cr)'!$C:$FB,4)</f>
        <v>2258</v>
      </c>
      <c r="E64" s="75">
        <f>VLOOKUP($A64,'Data Vlaue (Cr)'!$C:$FB,5)</f>
        <v>2248.9</v>
      </c>
      <c r="F64" s="75">
        <f t="shared" si="0"/>
        <v>12.699999999999818</v>
      </c>
      <c r="G64" s="75">
        <f t="shared" si="1"/>
        <v>0.40301151461469931</v>
      </c>
      <c r="H64" s="75">
        <f>VLOOKUP($A64,'Data Vlaue (Cr)'!$C:$FB,99)</f>
        <v>1734</v>
      </c>
      <c r="I64" s="75">
        <f>VLOOKUP($A64,'Data Vlaue (Cr)'!$C:$FB,100)</f>
        <v>2278</v>
      </c>
      <c r="J64" s="75">
        <f t="shared" si="2"/>
        <v>-544</v>
      </c>
      <c r="K64" s="75">
        <f t="shared" si="3"/>
        <v>-31.372549019607842</v>
      </c>
      <c r="L64" s="75">
        <f>VLOOKUP($A64,'Data Vlaue (Cr)'!$C:$FB,67)</f>
        <v>1480</v>
      </c>
      <c r="M64" s="75">
        <f>VLOOKUP($A64,'Data Vlaue (Cr)'!$C:$FB,68)</f>
        <v>1454</v>
      </c>
      <c r="N64" s="75">
        <f t="shared" si="4"/>
        <v>26</v>
      </c>
      <c r="O64" s="75">
        <f t="shared" si="5"/>
        <v>1.7567567567567568</v>
      </c>
      <c r="P64" s="75">
        <f>VLOOKUP($A64,'Data Vlaue (Cr)'!$C:$FB,119)</f>
        <v>0.87</v>
      </c>
      <c r="Q64" s="75">
        <f>VLOOKUP($A64,'Data Vlaue (Cr)'!$C:$FB,122)*100</f>
        <v>33.85</v>
      </c>
      <c r="R64" s="75">
        <f>VLOOKUP($A64,'Data Vlaue (Cr)'!$C:$FB,125)</f>
        <v>0.51</v>
      </c>
      <c r="S64" s="75">
        <f>VLOOKUP($A64,'Data Vlaue (Cr)'!$C:$FB,128)*100</f>
        <v>45.71</v>
      </c>
    </row>
    <row r="65" spans="1:19" x14ac:dyDescent="0.25">
      <c r="A65" s="96" t="str">
        <f>'Data Vlaue (Cr)'!C56</f>
        <v>CONCOR</v>
      </c>
      <c r="B65" s="75">
        <f>VLOOKUP($A65,'Data Vlaue (Cr)'!$C:$FB,2)</f>
        <v>1250</v>
      </c>
      <c r="C65" s="75">
        <f>VLOOKUP($A65,'Data Vlaue (Cr)'!$C:$FB,8)</f>
        <v>578.20000000000005</v>
      </c>
      <c r="D65" s="75">
        <f>VLOOKUP($A65,'Data Vlaue (Cr)'!$C:$FB,4)</f>
        <v>579.4</v>
      </c>
      <c r="E65" s="75">
        <f>VLOOKUP($A65,'Data Vlaue (Cr)'!$C:$FB,5)</f>
        <v>587</v>
      </c>
      <c r="F65" s="75">
        <f t="shared" si="0"/>
        <v>1.1999999999999318</v>
      </c>
      <c r="G65" s="75">
        <f t="shared" si="1"/>
        <v>-1.3117017604418404</v>
      </c>
      <c r="H65" s="75">
        <f>VLOOKUP($A65,'Data Vlaue (Cr)'!$C:$FB,99)</f>
        <v>1491</v>
      </c>
      <c r="I65" s="75">
        <f>VLOOKUP($A65,'Data Vlaue (Cr)'!$C:$FB,100)</f>
        <v>2085</v>
      </c>
      <c r="J65" s="75">
        <f t="shared" si="2"/>
        <v>-594</v>
      </c>
      <c r="K65" s="75">
        <f t="shared" si="3"/>
        <v>-39.839034205231385</v>
      </c>
      <c r="L65" s="75">
        <f>VLOOKUP($A65,'Data Vlaue (Cr)'!$C:$FB,67)</f>
        <v>1010</v>
      </c>
      <c r="M65" s="75">
        <f>VLOOKUP($A65,'Data Vlaue (Cr)'!$C:$FB,68)</f>
        <v>1404</v>
      </c>
      <c r="N65" s="75">
        <f t="shared" si="4"/>
        <v>-394</v>
      </c>
      <c r="O65" s="75">
        <f t="shared" si="5"/>
        <v>-39.009900990099013</v>
      </c>
      <c r="P65" s="75">
        <f>VLOOKUP($A65,'Data Vlaue (Cr)'!$C:$FB,119)</f>
        <v>0.94</v>
      </c>
      <c r="Q65" s="75">
        <f>VLOOKUP($A65,'Data Vlaue (Cr)'!$C:$FB,122)*100</f>
        <v>38.24</v>
      </c>
      <c r="R65" s="75">
        <f>VLOOKUP($A65,'Data Vlaue (Cr)'!$C:$FB,125)</f>
        <v>0.87</v>
      </c>
      <c r="S65" s="75">
        <f>VLOOKUP($A65,'Data Vlaue (Cr)'!$C:$FB,128)*100</f>
        <v>40.32</v>
      </c>
    </row>
    <row r="66" spans="1:19" x14ac:dyDescent="0.25">
      <c r="A66" s="96" t="str">
        <f>'Data Vlaue (Cr)'!C57</f>
        <v>CROMPTON</v>
      </c>
      <c r="B66" s="75">
        <f>VLOOKUP($A66,'Data Vlaue (Cr)'!$C:$FB,2)</f>
        <v>1800</v>
      </c>
      <c r="C66" s="75">
        <f>VLOOKUP($A66,'Data Vlaue (Cr)'!$C:$FB,8)</f>
        <v>323</v>
      </c>
      <c r="D66" s="75">
        <f>VLOOKUP($A66,'Data Vlaue (Cr)'!$C:$FB,4)</f>
        <v>324.85000000000002</v>
      </c>
      <c r="E66" s="75">
        <f>VLOOKUP($A66,'Data Vlaue (Cr)'!$C:$FB,5)</f>
        <v>325.55</v>
      </c>
      <c r="F66" s="75">
        <f t="shared" si="0"/>
        <v>1.8500000000000227</v>
      </c>
      <c r="G66" s="75">
        <f t="shared" si="1"/>
        <v>-0.21548406957056754</v>
      </c>
      <c r="H66" s="75">
        <f>VLOOKUP($A66,'Data Vlaue (Cr)'!$C:$FB,99)</f>
        <v>1441</v>
      </c>
      <c r="I66" s="75">
        <f>VLOOKUP($A66,'Data Vlaue (Cr)'!$C:$FB,100)</f>
        <v>1709</v>
      </c>
      <c r="J66" s="75">
        <f t="shared" si="2"/>
        <v>-268</v>
      </c>
      <c r="K66" s="75">
        <f t="shared" si="3"/>
        <v>-18.598195697432338</v>
      </c>
      <c r="L66" s="75">
        <f>VLOOKUP($A66,'Data Vlaue (Cr)'!$C:$FB,67)</f>
        <v>638</v>
      </c>
      <c r="M66" s="75">
        <f>VLOOKUP($A66,'Data Vlaue (Cr)'!$C:$FB,68)</f>
        <v>1169</v>
      </c>
      <c r="N66" s="75">
        <f t="shared" si="4"/>
        <v>-531</v>
      </c>
      <c r="O66" s="75">
        <f t="shared" si="5"/>
        <v>-83.228840125391841</v>
      </c>
      <c r="P66" s="75">
        <f>VLOOKUP($A66,'Data Vlaue (Cr)'!$C:$FB,119)</f>
        <v>1.2</v>
      </c>
      <c r="Q66" s="75">
        <f>VLOOKUP($A66,'Data Vlaue (Cr)'!$C:$FB,122)*100</f>
        <v>79.100000000000009</v>
      </c>
      <c r="R66" s="75">
        <f>VLOOKUP($A66,'Data Vlaue (Cr)'!$C:$FB,125)</f>
        <v>1</v>
      </c>
      <c r="S66" s="75">
        <f>VLOOKUP($A66,'Data Vlaue (Cr)'!$C:$FB,128)*100</f>
        <v>29.87</v>
      </c>
    </row>
    <row r="67" spans="1:19" x14ac:dyDescent="0.25">
      <c r="A67" s="96" t="str">
        <f>'Data Vlaue (Cr)'!C58</f>
        <v>CUMMINSIND</v>
      </c>
      <c r="B67" s="75">
        <f>VLOOKUP($A67,'Data Vlaue (Cr)'!$C:$FB,2)</f>
        <v>200</v>
      </c>
      <c r="C67" s="75">
        <f>VLOOKUP($A67,'Data Vlaue (Cr)'!$C:$FB,8)</f>
        <v>3555.5</v>
      </c>
      <c r="D67" s="75">
        <f>VLOOKUP($A67,'Data Vlaue (Cr)'!$C:$FB,4)</f>
        <v>3575.6</v>
      </c>
      <c r="E67" s="75">
        <f>VLOOKUP($A67,'Data Vlaue (Cr)'!$C:$FB,5)</f>
        <v>3593.2</v>
      </c>
      <c r="F67" s="75">
        <f t="shared" si="0"/>
        <v>20.099999999999909</v>
      </c>
      <c r="G67" s="75">
        <f t="shared" si="1"/>
        <v>-0.49222508110526653</v>
      </c>
      <c r="H67" s="75">
        <f>VLOOKUP($A67,'Data Vlaue (Cr)'!$C:$FB,99)</f>
        <v>1327</v>
      </c>
      <c r="I67" s="75">
        <f>VLOOKUP($A67,'Data Vlaue (Cr)'!$C:$FB,100)</f>
        <v>1721</v>
      </c>
      <c r="J67" s="75">
        <f t="shared" si="2"/>
        <v>-394</v>
      </c>
      <c r="K67" s="75">
        <f t="shared" si="3"/>
        <v>-29.691032403918616</v>
      </c>
      <c r="L67" s="75">
        <f>VLOOKUP($A67,'Data Vlaue (Cr)'!$C:$FB,67)</f>
        <v>1172</v>
      </c>
      <c r="M67" s="75">
        <f>VLOOKUP($A67,'Data Vlaue (Cr)'!$C:$FB,68)</f>
        <v>1275</v>
      </c>
      <c r="N67" s="75">
        <f t="shared" si="4"/>
        <v>-103</v>
      </c>
      <c r="O67" s="75">
        <f t="shared" si="5"/>
        <v>-8.7883959044368609</v>
      </c>
      <c r="P67" s="75">
        <f>VLOOKUP($A67,'Data Vlaue (Cr)'!$C:$FB,119)</f>
        <v>1.06</v>
      </c>
      <c r="Q67" s="75">
        <f>VLOOKUP($A67,'Data Vlaue (Cr)'!$C:$FB,122)*100</f>
        <v>16.48</v>
      </c>
      <c r="R67" s="75">
        <f>VLOOKUP($A67,'Data Vlaue (Cr)'!$C:$FB,125)</f>
        <v>0.74</v>
      </c>
      <c r="S67" s="75">
        <f>VLOOKUP($A67,'Data Vlaue (Cr)'!$C:$FB,128)*100</f>
        <v>45.1</v>
      </c>
    </row>
    <row r="68" spans="1:19" x14ac:dyDescent="0.25">
      <c r="A68" s="96" t="str">
        <f>'Data Vlaue (Cr)'!C59</f>
        <v>CYIENT</v>
      </c>
      <c r="B68" s="75">
        <f>VLOOKUP($A68,'Data Vlaue (Cr)'!$C:$FB,2)</f>
        <v>425</v>
      </c>
      <c r="C68" s="75">
        <f>VLOOKUP($A68,'Data Vlaue (Cr)'!$C:$FB,8)</f>
        <v>1205.5999999999999</v>
      </c>
      <c r="D68" s="75">
        <f>VLOOKUP($A68,'Data Vlaue (Cr)'!$C:$FB,4)</f>
        <v>1212.2</v>
      </c>
      <c r="E68" s="75">
        <f>VLOOKUP($A68,'Data Vlaue (Cr)'!$C:$FB,5)</f>
        <v>1229.5</v>
      </c>
      <c r="F68" s="75">
        <f t="shared" si="0"/>
        <v>6.6000000000001364</v>
      </c>
      <c r="G68" s="75">
        <f t="shared" si="1"/>
        <v>-1.4271572347797354</v>
      </c>
      <c r="H68" s="75">
        <f>VLOOKUP($A68,'Data Vlaue (Cr)'!$C:$FB,99)</f>
        <v>438</v>
      </c>
      <c r="I68" s="75">
        <f>VLOOKUP($A68,'Data Vlaue (Cr)'!$C:$FB,100)</f>
        <v>660</v>
      </c>
      <c r="J68" s="75">
        <f t="shared" si="2"/>
        <v>-222</v>
      </c>
      <c r="K68" s="75">
        <f t="shared" si="3"/>
        <v>-50.684931506849317</v>
      </c>
      <c r="L68" s="75">
        <f>VLOOKUP($A68,'Data Vlaue (Cr)'!$C:$FB,67)</f>
        <v>511</v>
      </c>
      <c r="M68" s="75">
        <f>VLOOKUP($A68,'Data Vlaue (Cr)'!$C:$FB,68)</f>
        <v>420</v>
      </c>
      <c r="N68" s="75">
        <f t="shared" si="4"/>
        <v>91</v>
      </c>
      <c r="O68" s="75">
        <f t="shared" si="5"/>
        <v>17.80821917808219</v>
      </c>
      <c r="P68" s="75">
        <f>VLOOKUP($A68,'Data Vlaue (Cr)'!$C:$FB,119)</f>
        <v>1.07</v>
      </c>
      <c r="Q68" s="75">
        <f>VLOOKUP($A68,'Data Vlaue (Cr)'!$C:$FB,122)*100</f>
        <v>55.069999999999993</v>
      </c>
      <c r="R68" s="75">
        <f>VLOOKUP($A68,'Data Vlaue (Cr)'!$C:$FB,125)</f>
        <v>0.82</v>
      </c>
      <c r="S68" s="75">
        <f>VLOOKUP($A68,'Data Vlaue (Cr)'!$C:$FB,128)*100</f>
        <v>182.76</v>
      </c>
    </row>
    <row r="69" spans="1:19" x14ac:dyDescent="0.25">
      <c r="A69" s="96" t="str">
        <f>'Data Vlaue (Cr)'!C60</f>
        <v>DABUR</v>
      </c>
      <c r="B69" s="75">
        <f>VLOOKUP($A69,'Data Vlaue (Cr)'!$C:$FB,2)</f>
        <v>1250</v>
      </c>
      <c r="C69" s="75">
        <f>VLOOKUP($A69,'Data Vlaue (Cr)'!$C:$FB,8)</f>
        <v>529</v>
      </c>
      <c r="D69" s="75">
        <f>VLOOKUP($A69,'Data Vlaue (Cr)'!$C:$FB,4)</f>
        <v>531.35</v>
      </c>
      <c r="E69" s="75">
        <f>VLOOKUP($A69,'Data Vlaue (Cr)'!$C:$FB,5)</f>
        <v>521.70000000000005</v>
      </c>
      <c r="F69" s="75">
        <f t="shared" si="0"/>
        <v>2.3500000000000227</v>
      </c>
      <c r="G69" s="75">
        <f t="shared" si="1"/>
        <v>1.8161287287098857</v>
      </c>
      <c r="H69" s="75">
        <f>VLOOKUP($A69,'Data Vlaue (Cr)'!$C:$FB,99)</f>
        <v>1334</v>
      </c>
      <c r="I69" s="75">
        <f>VLOOKUP($A69,'Data Vlaue (Cr)'!$C:$FB,100)</f>
        <v>2259</v>
      </c>
      <c r="J69" s="75">
        <f t="shared" si="2"/>
        <v>-925</v>
      </c>
      <c r="K69" s="75">
        <f t="shared" si="3"/>
        <v>-69.340329835082457</v>
      </c>
      <c r="L69" s="75">
        <f>VLOOKUP($A69,'Data Vlaue (Cr)'!$C:$FB,67)</f>
        <v>2767</v>
      </c>
      <c r="M69" s="75">
        <f>VLOOKUP($A69,'Data Vlaue (Cr)'!$C:$FB,68)</f>
        <v>1286</v>
      </c>
      <c r="N69" s="75">
        <f t="shared" si="4"/>
        <v>1481</v>
      </c>
      <c r="O69" s="75">
        <f t="shared" si="5"/>
        <v>53.523671846765453</v>
      </c>
      <c r="P69" s="75">
        <f>VLOOKUP($A69,'Data Vlaue (Cr)'!$C:$FB,119)</f>
        <v>0.64</v>
      </c>
      <c r="Q69" s="75">
        <f>VLOOKUP($A69,'Data Vlaue (Cr)'!$C:$FB,122)*100</f>
        <v>-38.46</v>
      </c>
      <c r="R69" s="75">
        <f>VLOOKUP($A69,'Data Vlaue (Cr)'!$C:$FB,125)</f>
        <v>0.46</v>
      </c>
      <c r="S69" s="75">
        <f>VLOOKUP($A69,'Data Vlaue (Cr)'!$C:$FB,128)*100</f>
        <v>-36.99</v>
      </c>
    </row>
    <row r="70" spans="1:19" x14ac:dyDescent="0.25">
      <c r="A70" s="96" t="str">
        <f>'Data Vlaue (Cr)'!C61</f>
        <v>DALBHARAT</v>
      </c>
      <c r="B70" s="75">
        <f>VLOOKUP($A70,'Data Vlaue (Cr)'!$C:$FB,2)</f>
        <v>325</v>
      </c>
      <c r="C70" s="75">
        <f>VLOOKUP($A70,'Data Vlaue (Cr)'!$C:$FB,8)</f>
        <v>2235.5</v>
      </c>
      <c r="D70" s="75">
        <f>VLOOKUP($A70,'Data Vlaue (Cr)'!$C:$FB,4)</f>
        <v>2245.9</v>
      </c>
      <c r="E70" s="75">
        <f>VLOOKUP($A70,'Data Vlaue (Cr)'!$C:$FB,5)</f>
        <v>2250.1</v>
      </c>
      <c r="F70" s="75">
        <f t="shared" si="0"/>
        <v>10.400000000000091</v>
      </c>
      <c r="G70" s="75">
        <f t="shared" si="1"/>
        <v>-0.18700743577184281</v>
      </c>
      <c r="H70" s="75">
        <f>VLOOKUP($A70,'Data Vlaue (Cr)'!$C:$FB,99)</f>
        <v>666</v>
      </c>
      <c r="I70" s="75">
        <f>VLOOKUP($A70,'Data Vlaue (Cr)'!$C:$FB,100)</f>
        <v>1039</v>
      </c>
      <c r="J70" s="75">
        <f t="shared" si="2"/>
        <v>-373</v>
      </c>
      <c r="K70" s="75">
        <f t="shared" si="3"/>
        <v>-56.006006006006004</v>
      </c>
      <c r="L70" s="75">
        <f>VLOOKUP($A70,'Data Vlaue (Cr)'!$C:$FB,67)</f>
        <v>525</v>
      </c>
      <c r="M70" s="75">
        <f>VLOOKUP($A70,'Data Vlaue (Cr)'!$C:$FB,68)</f>
        <v>777</v>
      </c>
      <c r="N70" s="75">
        <f t="shared" si="4"/>
        <v>-252</v>
      </c>
      <c r="O70" s="75">
        <f t="shared" si="5"/>
        <v>-48</v>
      </c>
      <c r="P70" s="75">
        <f>VLOOKUP($A70,'Data Vlaue (Cr)'!$C:$FB,119)</f>
        <v>0.62</v>
      </c>
      <c r="Q70" s="75">
        <f>VLOOKUP($A70,'Data Vlaue (Cr)'!$C:$FB,122)*100</f>
        <v>6.9</v>
      </c>
      <c r="R70" s="75">
        <f>VLOOKUP($A70,'Data Vlaue (Cr)'!$C:$FB,125)</f>
        <v>1.08</v>
      </c>
      <c r="S70" s="75">
        <f>VLOOKUP($A70,'Data Vlaue (Cr)'!$C:$FB,128)*100</f>
        <v>125</v>
      </c>
    </row>
    <row r="71" spans="1:19" x14ac:dyDescent="0.25">
      <c r="A71" s="96" t="str">
        <f>'Data Vlaue (Cr)'!C62</f>
        <v>DELHIVERY</v>
      </c>
      <c r="B71" s="75">
        <f>VLOOKUP($A71,'Data Vlaue (Cr)'!$C:$FB,2)</f>
        <v>2075</v>
      </c>
      <c r="C71" s="75">
        <f>VLOOKUP($A71,'Data Vlaue (Cr)'!$C:$FB,8)</f>
        <v>425.25</v>
      </c>
      <c r="D71" s="75">
        <f>VLOOKUP($A71,'Data Vlaue (Cr)'!$C:$FB,4)</f>
        <v>428.1</v>
      </c>
      <c r="E71" s="75">
        <f>VLOOKUP($A71,'Data Vlaue (Cr)'!$C:$FB,5)</f>
        <v>409.5</v>
      </c>
      <c r="F71" s="75">
        <f t="shared" si="0"/>
        <v>2.8500000000000227</v>
      </c>
      <c r="G71" s="75">
        <f t="shared" si="1"/>
        <v>4.344779257182906</v>
      </c>
      <c r="H71" s="75">
        <f>VLOOKUP($A71,'Data Vlaue (Cr)'!$C:$FB,99)</f>
        <v>811</v>
      </c>
      <c r="I71" s="75">
        <f>VLOOKUP($A71,'Data Vlaue (Cr)'!$C:$FB,100)</f>
        <v>1068</v>
      </c>
      <c r="J71" s="75">
        <f t="shared" si="2"/>
        <v>-257</v>
      </c>
      <c r="K71" s="75">
        <f t="shared" si="3"/>
        <v>-31.689272503082616</v>
      </c>
      <c r="L71" s="75">
        <f>VLOOKUP($A71,'Data Vlaue (Cr)'!$C:$FB,67)</f>
        <v>2324</v>
      </c>
      <c r="M71" s="75">
        <f>VLOOKUP($A71,'Data Vlaue (Cr)'!$C:$FB,68)</f>
        <v>1390</v>
      </c>
      <c r="N71" s="75">
        <f t="shared" si="4"/>
        <v>934</v>
      </c>
      <c r="O71" s="75">
        <f t="shared" si="5"/>
        <v>40.189328743545609</v>
      </c>
      <c r="P71" s="75">
        <f>VLOOKUP($A71,'Data Vlaue (Cr)'!$C:$FB,119)</f>
        <v>0.48</v>
      </c>
      <c r="Q71" s="75">
        <f>VLOOKUP($A71,'Data Vlaue (Cr)'!$C:$FB,122)*100</f>
        <v>-17.239999999999998</v>
      </c>
      <c r="R71" s="75">
        <f>VLOOKUP($A71,'Data Vlaue (Cr)'!$C:$FB,125)</f>
        <v>0.41</v>
      </c>
      <c r="S71" s="75">
        <f>VLOOKUP($A71,'Data Vlaue (Cr)'!$C:$FB,128)*100</f>
        <v>-52.33</v>
      </c>
    </row>
    <row r="72" spans="1:19" x14ac:dyDescent="0.25">
      <c r="A72" s="96" t="str">
        <f>'Data Vlaue (Cr)'!C63</f>
        <v>DIVISLAB</v>
      </c>
      <c r="B72" s="75">
        <f>VLOOKUP($A72,'Data Vlaue (Cr)'!$C:$FB,2)</f>
        <v>100</v>
      </c>
      <c r="C72" s="75">
        <f>VLOOKUP($A72,'Data Vlaue (Cr)'!$C:$FB,8)</f>
        <v>6595.5</v>
      </c>
      <c r="D72" s="75">
        <f>VLOOKUP($A72,'Data Vlaue (Cr)'!$C:$FB,4)</f>
        <v>6623.5</v>
      </c>
      <c r="E72" s="75">
        <f>VLOOKUP($A72,'Data Vlaue (Cr)'!$C:$FB,5)</f>
        <v>6692.5</v>
      </c>
      <c r="F72" s="75">
        <f t="shared" si="0"/>
        <v>28</v>
      </c>
      <c r="G72" s="75">
        <f t="shared" si="1"/>
        <v>-1.0417453008228277</v>
      </c>
      <c r="H72" s="75">
        <f>VLOOKUP($A72,'Data Vlaue (Cr)'!$C:$FB,99)</f>
        <v>2340</v>
      </c>
      <c r="I72" s="75">
        <f>VLOOKUP($A72,'Data Vlaue (Cr)'!$C:$FB,100)</f>
        <v>3116</v>
      </c>
      <c r="J72" s="75">
        <f t="shared" si="2"/>
        <v>-776</v>
      </c>
      <c r="K72" s="75">
        <f t="shared" si="3"/>
        <v>-33.162393162393158</v>
      </c>
      <c r="L72" s="75">
        <f>VLOOKUP($A72,'Data Vlaue (Cr)'!$C:$FB,67)</f>
        <v>1256</v>
      </c>
      <c r="M72" s="75">
        <f>VLOOKUP($A72,'Data Vlaue (Cr)'!$C:$FB,68)</f>
        <v>2426</v>
      </c>
      <c r="N72" s="75">
        <f t="shared" si="4"/>
        <v>-1170</v>
      </c>
      <c r="O72" s="75">
        <f t="shared" si="5"/>
        <v>-93.152866242038215</v>
      </c>
      <c r="P72" s="75">
        <f>VLOOKUP($A72,'Data Vlaue (Cr)'!$C:$FB,119)</f>
        <v>0.67</v>
      </c>
      <c r="Q72" s="75">
        <f>VLOOKUP($A72,'Data Vlaue (Cr)'!$C:$FB,122)*100</f>
        <v>15.52</v>
      </c>
      <c r="R72" s="75">
        <f>VLOOKUP($A72,'Data Vlaue (Cr)'!$C:$FB,125)</f>
        <v>0.55000000000000004</v>
      </c>
      <c r="S72" s="75">
        <f>VLOOKUP($A72,'Data Vlaue (Cr)'!$C:$FB,128)*100</f>
        <v>44.74</v>
      </c>
    </row>
    <row r="73" spans="1:19" x14ac:dyDescent="0.25">
      <c r="A73" s="96" t="str">
        <f>'Data Vlaue (Cr)'!C64</f>
        <v>DIXON</v>
      </c>
      <c r="B73" s="75">
        <f>VLOOKUP($A73,'Data Vlaue (Cr)'!$C:$FB,2)</f>
        <v>50</v>
      </c>
      <c r="C73" s="75">
        <f>VLOOKUP($A73,'Data Vlaue (Cr)'!$C:$FB,8)</f>
        <v>16841</v>
      </c>
      <c r="D73" s="75">
        <f>VLOOKUP($A73,'Data Vlaue (Cr)'!$C:$FB,4)</f>
        <v>16890</v>
      </c>
      <c r="E73" s="75">
        <f>VLOOKUP($A73,'Data Vlaue (Cr)'!$C:$FB,5)</f>
        <v>16856</v>
      </c>
      <c r="F73" s="75">
        <f t="shared" si="0"/>
        <v>49</v>
      </c>
      <c r="G73" s="75">
        <f t="shared" si="1"/>
        <v>0.20130254588513913</v>
      </c>
      <c r="H73" s="75">
        <f>VLOOKUP($A73,'Data Vlaue (Cr)'!$C:$FB,99)</f>
        <v>3630</v>
      </c>
      <c r="I73" s="75">
        <f>VLOOKUP($A73,'Data Vlaue (Cr)'!$C:$FB,100)</f>
        <v>6106</v>
      </c>
      <c r="J73" s="75">
        <f t="shared" si="2"/>
        <v>-2476</v>
      </c>
      <c r="K73" s="75">
        <f t="shared" si="3"/>
        <v>-68.209366391184574</v>
      </c>
      <c r="L73" s="75">
        <f>VLOOKUP($A73,'Data Vlaue (Cr)'!$C:$FB,67)</f>
        <v>12939</v>
      </c>
      <c r="M73" s="75">
        <f>VLOOKUP($A73,'Data Vlaue (Cr)'!$C:$FB,68)</f>
        <v>7483</v>
      </c>
      <c r="N73" s="75">
        <f t="shared" si="4"/>
        <v>5456</v>
      </c>
      <c r="O73" s="75">
        <f t="shared" si="5"/>
        <v>42.167091738155968</v>
      </c>
      <c r="P73" s="75">
        <f>VLOOKUP($A73,'Data Vlaue (Cr)'!$C:$FB,119)</f>
        <v>0.95</v>
      </c>
      <c r="Q73" s="75">
        <f>VLOOKUP($A73,'Data Vlaue (Cr)'!$C:$FB,122)*100</f>
        <v>7.95</v>
      </c>
      <c r="R73" s="75">
        <f>VLOOKUP($A73,'Data Vlaue (Cr)'!$C:$FB,125)</f>
        <v>0.84</v>
      </c>
      <c r="S73" s="75">
        <f>VLOOKUP($A73,'Data Vlaue (Cr)'!$C:$FB,128)*100</f>
        <v>2.44</v>
      </c>
    </row>
    <row r="74" spans="1:19" x14ac:dyDescent="0.25">
      <c r="A74" s="96" t="str">
        <f>'Data Vlaue (Cr)'!C65</f>
        <v>DLF</v>
      </c>
      <c r="B74" s="75">
        <f>VLOOKUP($A74,'Data Vlaue (Cr)'!$C:$FB,2)</f>
        <v>825</v>
      </c>
      <c r="C74" s="75">
        <f>VLOOKUP($A74,'Data Vlaue (Cr)'!$C:$FB,8)</f>
        <v>784.25</v>
      </c>
      <c r="D74" s="75">
        <f>VLOOKUP($A74,'Data Vlaue (Cr)'!$C:$FB,4)</f>
        <v>787.25</v>
      </c>
      <c r="E74" s="75">
        <f>VLOOKUP($A74,'Data Vlaue (Cr)'!$C:$FB,5)</f>
        <v>793.65</v>
      </c>
      <c r="F74" s="75">
        <f t="shared" si="0"/>
        <v>3</v>
      </c>
      <c r="G74" s="75">
        <f t="shared" si="1"/>
        <v>-0.81295649412511628</v>
      </c>
      <c r="H74" s="75">
        <f>VLOOKUP($A74,'Data Vlaue (Cr)'!$C:$FB,99)</f>
        <v>3876</v>
      </c>
      <c r="I74" s="75">
        <f>VLOOKUP($A74,'Data Vlaue (Cr)'!$C:$FB,100)</f>
        <v>5061</v>
      </c>
      <c r="J74" s="75">
        <f t="shared" si="2"/>
        <v>-1185</v>
      </c>
      <c r="K74" s="75">
        <f t="shared" si="3"/>
        <v>-30.572755417956653</v>
      </c>
      <c r="L74" s="75">
        <f>VLOOKUP($A74,'Data Vlaue (Cr)'!$C:$FB,67)</f>
        <v>3953</v>
      </c>
      <c r="M74" s="75">
        <f>VLOOKUP($A74,'Data Vlaue (Cr)'!$C:$FB,68)</f>
        <v>4126</v>
      </c>
      <c r="N74" s="75">
        <f t="shared" si="4"/>
        <v>-173</v>
      </c>
      <c r="O74" s="75">
        <f t="shared" si="5"/>
        <v>-4.3764229698962813</v>
      </c>
      <c r="P74" s="75">
        <f>VLOOKUP($A74,'Data Vlaue (Cr)'!$C:$FB,119)</f>
        <v>0.86</v>
      </c>
      <c r="Q74" s="75">
        <f>VLOOKUP($A74,'Data Vlaue (Cr)'!$C:$FB,122)*100</f>
        <v>38.71</v>
      </c>
      <c r="R74" s="75">
        <f>VLOOKUP($A74,'Data Vlaue (Cr)'!$C:$FB,125)</f>
        <v>0.75</v>
      </c>
      <c r="S74" s="75">
        <f>VLOOKUP($A74,'Data Vlaue (Cr)'!$C:$FB,128)*100</f>
        <v>0</v>
      </c>
    </row>
    <row r="75" spans="1:19" x14ac:dyDescent="0.25">
      <c r="A75" s="96" t="str">
        <f>'Data Vlaue (Cr)'!C66</f>
        <v>DMART</v>
      </c>
      <c r="B75" s="75">
        <f>VLOOKUP($A75,'Data Vlaue (Cr)'!$C:$FB,2)</f>
        <v>150</v>
      </c>
      <c r="C75" s="75">
        <f>VLOOKUP($A75,'Data Vlaue (Cr)'!$C:$FB,8)</f>
        <v>4267.3999999999996</v>
      </c>
      <c r="D75" s="75">
        <f>VLOOKUP($A75,'Data Vlaue (Cr)'!$C:$FB,4)</f>
        <v>4246.6000000000004</v>
      </c>
      <c r="E75" s="75">
        <f>VLOOKUP($A75,'Data Vlaue (Cr)'!$C:$FB,5)</f>
        <v>4266</v>
      </c>
      <c r="F75" s="75">
        <f t="shared" si="0"/>
        <v>-20.799999999999272</v>
      </c>
      <c r="G75" s="75">
        <f>(D75-E75)/D75*100</f>
        <v>-0.45683605708095026</v>
      </c>
      <c r="H75" s="75">
        <f>VLOOKUP($A75,'Data Vlaue (Cr)'!$C:$FB,99)</f>
        <v>2953</v>
      </c>
      <c r="I75" s="75">
        <f>VLOOKUP($A75,'Data Vlaue (Cr)'!$C:$FB,100)</f>
        <v>4803</v>
      </c>
      <c r="J75" s="75">
        <f t="shared" si="2"/>
        <v>-1850</v>
      </c>
      <c r="K75" s="75">
        <f t="shared" si="3"/>
        <v>-62.648154419234679</v>
      </c>
      <c r="L75" s="75">
        <f>VLOOKUP($A75,'Data Vlaue (Cr)'!$C:$FB,67)</f>
        <v>8803</v>
      </c>
      <c r="M75" s="75">
        <f>VLOOKUP($A75,'Data Vlaue (Cr)'!$C:$FB,68)</f>
        <v>26476</v>
      </c>
      <c r="N75" s="75">
        <f t="shared" si="4"/>
        <v>-17673</v>
      </c>
      <c r="O75" s="75">
        <f t="shared" si="5"/>
        <v>-200.76110416903327</v>
      </c>
      <c r="P75" s="75">
        <f>VLOOKUP($A75,'Data Vlaue (Cr)'!$C:$FB,119)</f>
        <v>0.66</v>
      </c>
      <c r="Q75" s="75">
        <f>VLOOKUP($A75,'Data Vlaue (Cr)'!$C:$FB,122)*100</f>
        <v>-16.46</v>
      </c>
      <c r="R75" s="75">
        <f>VLOOKUP($A75,'Data Vlaue (Cr)'!$C:$FB,125)</f>
        <v>0.49</v>
      </c>
      <c r="S75" s="75">
        <f>VLOOKUP($A75,'Data Vlaue (Cr)'!$C:$FB,128)*100</f>
        <v>63.33</v>
      </c>
    </row>
    <row r="76" spans="1:19" x14ac:dyDescent="0.25">
      <c r="A76" s="96" t="str">
        <f>'Data Vlaue (Cr)'!C67</f>
        <v>DRREDDY</v>
      </c>
      <c r="B76" s="75">
        <f>VLOOKUP($A76,'Data Vlaue (Cr)'!$C:$FB,2)</f>
        <v>625</v>
      </c>
      <c r="C76" s="75">
        <f>VLOOKUP($A76,'Data Vlaue (Cr)'!$C:$FB,8)</f>
        <v>1270.3</v>
      </c>
      <c r="D76" s="75">
        <f>VLOOKUP($A76,'Data Vlaue (Cr)'!$C:$FB,4)</f>
        <v>1274.3</v>
      </c>
      <c r="E76" s="75">
        <f>VLOOKUP($A76,'Data Vlaue (Cr)'!$C:$FB,5)</f>
        <v>1296.8</v>
      </c>
      <c r="F76" s="75">
        <f t="shared" ref="F76:F139" si="6">D76-C76</f>
        <v>4</v>
      </c>
      <c r="G76" s="75">
        <f t="shared" ref="G76:G139" si="7">(D76-E76)/D76*100</f>
        <v>-1.7656752726987368</v>
      </c>
      <c r="H76" s="75">
        <f>VLOOKUP($A76,'Data Vlaue (Cr)'!$C:$FB,99)</f>
        <v>1940</v>
      </c>
      <c r="I76" s="75">
        <f>VLOOKUP($A76,'Data Vlaue (Cr)'!$C:$FB,100)</f>
        <v>3818</v>
      </c>
      <c r="J76" s="75">
        <f t="shared" ref="J76:J139" si="8">H76-I76</f>
        <v>-1878</v>
      </c>
      <c r="K76" s="75">
        <f t="shared" ref="K76:K139" si="9">J76/H76*100</f>
        <v>-96.80412371134021</v>
      </c>
      <c r="L76" s="75">
        <f>VLOOKUP($A76,'Data Vlaue (Cr)'!$C:$FB,67)</f>
        <v>3023</v>
      </c>
      <c r="M76" s="75">
        <f>VLOOKUP($A76,'Data Vlaue (Cr)'!$C:$FB,68)</f>
        <v>3299</v>
      </c>
      <c r="N76" s="75">
        <f t="shared" ref="N76:N139" si="10">L76-M76</f>
        <v>-276</v>
      </c>
      <c r="O76" s="75">
        <f t="shared" ref="O76:O139" si="11">N76/L76*100</f>
        <v>-9.1300033079722134</v>
      </c>
      <c r="P76" s="75">
        <f>VLOOKUP($A76,'Data Vlaue (Cr)'!$C:$FB,119)</f>
        <v>0.59</v>
      </c>
      <c r="Q76" s="75">
        <f>VLOOKUP($A76,'Data Vlaue (Cr)'!$C:$FB,122)*100</f>
        <v>31.11</v>
      </c>
      <c r="R76" s="75">
        <f>VLOOKUP($A76,'Data Vlaue (Cr)'!$C:$FB,125)</f>
        <v>0.94</v>
      </c>
      <c r="S76" s="75">
        <f>VLOOKUP($A76,'Data Vlaue (Cr)'!$C:$FB,128)*100</f>
        <v>84.31</v>
      </c>
    </row>
    <row r="77" spans="1:19" x14ac:dyDescent="0.25">
      <c r="A77" s="96" t="str">
        <f>'Data Vlaue (Cr)'!C68</f>
        <v>EICHERMOT</v>
      </c>
      <c r="B77" s="75">
        <f>VLOOKUP($A77,'Data Vlaue (Cr)'!$C:$FB,2)</f>
        <v>175</v>
      </c>
      <c r="C77" s="75">
        <f>VLOOKUP($A77,'Data Vlaue (Cr)'!$C:$FB,8)</f>
        <v>5468.5</v>
      </c>
      <c r="D77" s="75">
        <f>VLOOKUP($A77,'Data Vlaue (Cr)'!$C:$FB,4)</f>
        <v>5424.5</v>
      </c>
      <c r="E77" s="75">
        <f>VLOOKUP($A77,'Data Vlaue (Cr)'!$C:$FB,5)</f>
        <v>5439</v>
      </c>
      <c r="F77" s="75">
        <f t="shared" si="6"/>
        <v>-44</v>
      </c>
      <c r="G77" s="75">
        <f t="shared" si="7"/>
        <v>-0.26730574246474331</v>
      </c>
      <c r="H77" s="75">
        <f>VLOOKUP($A77,'Data Vlaue (Cr)'!$C:$FB,99)</f>
        <v>2304</v>
      </c>
      <c r="I77" s="75">
        <f>VLOOKUP($A77,'Data Vlaue (Cr)'!$C:$FB,100)</f>
        <v>3414</v>
      </c>
      <c r="J77" s="75">
        <f t="shared" si="8"/>
        <v>-1110</v>
      </c>
      <c r="K77" s="75">
        <f t="shared" si="9"/>
        <v>-48.177083333333329</v>
      </c>
      <c r="L77" s="75">
        <f>VLOOKUP($A77,'Data Vlaue (Cr)'!$C:$FB,67)</f>
        <v>2512</v>
      </c>
      <c r="M77" s="75">
        <f>VLOOKUP($A77,'Data Vlaue (Cr)'!$C:$FB,68)</f>
        <v>3574</v>
      </c>
      <c r="N77" s="75">
        <f t="shared" si="10"/>
        <v>-1062</v>
      </c>
      <c r="O77" s="75">
        <f t="shared" si="11"/>
        <v>-42.277070063694268</v>
      </c>
      <c r="P77" s="75">
        <f>VLOOKUP($A77,'Data Vlaue (Cr)'!$C:$FB,119)</f>
        <v>0.73</v>
      </c>
      <c r="Q77" s="75">
        <f>VLOOKUP($A77,'Data Vlaue (Cr)'!$C:$FB,122)*100</f>
        <v>37.74</v>
      </c>
      <c r="R77" s="75">
        <f>VLOOKUP($A77,'Data Vlaue (Cr)'!$C:$FB,125)</f>
        <v>0.66</v>
      </c>
      <c r="S77" s="75">
        <f>VLOOKUP($A77,'Data Vlaue (Cr)'!$C:$FB,128)*100</f>
        <v>100</v>
      </c>
    </row>
    <row r="78" spans="1:19" x14ac:dyDescent="0.25">
      <c r="A78" s="96" t="str">
        <f>'Data Vlaue (Cr)'!C69</f>
        <v>ETERNAL</v>
      </c>
      <c r="B78" s="75">
        <f>VLOOKUP($A78,'Data Vlaue (Cr)'!$C:$FB,2)</f>
        <v>2425</v>
      </c>
      <c r="C78" s="75">
        <f>VLOOKUP($A78,'Data Vlaue (Cr)'!$C:$FB,8)</f>
        <v>307.8</v>
      </c>
      <c r="D78" s="75">
        <f>VLOOKUP($A78,'Data Vlaue (Cr)'!$C:$FB,4)</f>
        <v>309.7</v>
      </c>
      <c r="E78" s="75">
        <f>VLOOKUP($A78,'Data Vlaue (Cr)'!$C:$FB,5)</f>
        <v>305.3</v>
      </c>
      <c r="F78" s="75">
        <f t="shared" si="6"/>
        <v>1.8999999999999773</v>
      </c>
      <c r="G78" s="75">
        <f t="shared" si="7"/>
        <v>1.4207297384565636</v>
      </c>
      <c r="H78" s="75">
        <f>VLOOKUP($A78,'Data Vlaue (Cr)'!$C:$FB,99)</f>
        <v>7089</v>
      </c>
      <c r="I78" s="75">
        <f>VLOOKUP($A78,'Data Vlaue (Cr)'!$C:$FB,100)</f>
        <v>10153</v>
      </c>
      <c r="J78" s="75">
        <f t="shared" si="8"/>
        <v>-3064</v>
      </c>
      <c r="K78" s="75">
        <f t="shared" si="9"/>
        <v>-43.221893073776272</v>
      </c>
      <c r="L78" s="75">
        <f>VLOOKUP($A78,'Data Vlaue (Cr)'!$C:$FB,67)</f>
        <v>7395</v>
      </c>
      <c r="M78" s="75">
        <f>VLOOKUP($A78,'Data Vlaue (Cr)'!$C:$FB,68)</f>
        <v>6545</v>
      </c>
      <c r="N78" s="75">
        <f t="shared" si="10"/>
        <v>850</v>
      </c>
      <c r="O78" s="75">
        <f t="shared" si="11"/>
        <v>11.494252873563218</v>
      </c>
      <c r="P78" s="75">
        <f>VLOOKUP($A78,'Data Vlaue (Cr)'!$C:$FB,119)</f>
        <v>0.78</v>
      </c>
      <c r="Q78" s="75">
        <f>VLOOKUP($A78,'Data Vlaue (Cr)'!$C:$FB,122)*100</f>
        <v>-17.02</v>
      </c>
      <c r="R78" s="75">
        <f>VLOOKUP($A78,'Data Vlaue (Cr)'!$C:$FB,125)</f>
        <v>0.52</v>
      </c>
      <c r="S78" s="75">
        <f>VLOOKUP($A78,'Data Vlaue (Cr)'!$C:$FB,128)*100</f>
        <v>-26.76</v>
      </c>
    </row>
    <row r="79" spans="1:19" x14ac:dyDescent="0.25">
      <c r="A79" s="96" t="str">
        <f>'Data Vlaue (Cr)'!C70</f>
        <v>EXIDEIND</v>
      </c>
      <c r="B79" s="75">
        <f>VLOOKUP($A79,'Data Vlaue (Cr)'!$C:$FB,2)</f>
        <v>1800</v>
      </c>
      <c r="C79" s="75">
        <f>VLOOKUP($A79,'Data Vlaue (Cr)'!$C:$FB,8)</f>
        <v>384.3</v>
      </c>
      <c r="D79" s="75">
        <f>VLOOKUP($A79,'Data Vlaue (Cr)'!$C:$FB,4)</f>
        <v>385.7</v>
      </c>
      <c r="E79" s="75">
        <f>VLOOKUP($A79,'Data Vlaue (Cr)'!$C:$FB,5)</f>
        <v>393.3</v>
      </c>
      <c r="F79" s="75">
        <f t="shared" si="6"/>
        <v>1.3999999999999773</v>
      </c>
      <c r="G79" s="75">
        <f t="shared" si="7"/>
        <v>-1.9704433497537006</v>
      </c>
      <c r="H79" s="75">
        <f>VLOOKUP($A79,'Data Vlaue (Cr)'!$C:$FB,99)</f>
        <v>1212</v>
      </c>
      <c r="I79" s="75">
        <f>VLOOKUP($A79,'Data Vlaue (Cr)'!$C:$FB,100)</f>
        <v>1627</v>
      </c>
      <c r="J79" s="75">
        <f t="shared" si="8"/>
        <v>-415</v>
      </c>
      <c r="K79" s="75">
        <f t="shared" si="9"/>
        <v>-34.240924092409244</v>
      </c>
      <c r="L79" s="75">
        <f>VLOOKUP($A79,'Data Vlaue (Cr)'!$C:$FB,67)</f>
        <v>1025</v>
      </c>
      <c r="M79" s="75">
        <f>VLOOKUP($A79,'Data Vlaue (Cr)'!$C:$FB,68)</f>
        <v>1075</v>
      </c>
      <c r="N79" s="75">
        <f t="shared" si="10"/>
        <v>-50</v>
      </c>
      <c r="O79" s="75">
        <f t="shared" si="11"/>
        <v>-4.8780487804878048</v>
      </c>
      <c r="P79" s="75">
        <f>VLOOKUP($A79,'Data Vlaue (Cr)'!$C:$FB,119)</f>
        <v>0.84</v>
      </c>
      <c r="Q79" s="75">
        <f>VLOOKUP($A79,'Data Vlaue (Cr)'!$C:$FB,122)*100</f>
        <v>25.369999999999997</v>
      </c>
      <c r="R79" s="75">
        <f>VLOOKUP($A79,'Data Vlaue (Cr)'!$C:$FB,125)</f>
        <v>0.61</v>
      </c>
      <c r="S79" s="75">
        <f>VLOOKUP($A79,'Data Vlaue (Cr)'!$C:$FB,128)*100</f>
        <v>-10.290000000000001</v>
      </c>
    </row>
    <row r="80" spans="1:19" x14ac:dyDescent="0.25">
      <c r="A80" s="96" t="str">
        <f>'Data Vlaue (Cr)'!C71</f>
        <v>FEDERALBNK</v>
      </c>
      <c r="B80" s="75">
        <f>VLOOKUP($A80,'Data Vlaue (Cr)'!$C:$FB,2)</f>
        <v>5000</v>
      </c>
      <c r="C80" s="75">
        <f>VLOOKUP($A80,'Data Vlaue (Cr)'!$C:$FB,8)</f>
        <v>202.43</v>
      </c>
      <c r="D80" s="75">
        <f>VLOOKUP($A80,'Data Vlaue (Cr)'!$C:$FB,4)</f>
        <v>202.5</v>
      </c>
      <c r="E80" s="75">
        <f>VLOOKUP($A80,'Data Vlaue (Cr)'!$C:$FB,5)</f>
        <v>204.8</v>
      </c>
      <c r="F80" s="75">
        <f t="shared" si="6"/>
        <v>6.9999999999993179E-2</v>
      </c>
      <c r="G80" s="75">
        <f t="shared" si="7"/>
        <v>-1.1358024691358082</v>
      </c>
      <c r="H80" s="75">
        <f>VLOOKUP($A80,'Data Vlaue (Cr)'!$C:$FB,99)</f>
        <v>2287</v>
      </c>
      <c r="I80" s="75">
        <f>VLOOKUP($A80,'Data Vlaue (Cr)'!$C:$FB,100)</f>
        <v>3161</v>
      </c>
      <c r="J80" s="75">
        <f t="shared" si="8"/>
        <v>-874</v>
      </c>
      <c r="K80" s="75">
        <f t="shared" si="9"/>
        <v>-38.216003498032357</v>
      </c>
      <c r="L80" s="75">
        <f>VLOOKUP($A80,'Data Vlaue (Cr)'!$C:$FB,67)</f>
        <v>2538</v>
      </c>
      <c r="M80" s="75">
        <f>VLOOKUP($A80,'Data Vlaue (Cr)'!$C:$FB,68)</f>
        <v>2214</v>
      </c>
      <c r="N80" s="75">
        <f t="shared" si="10"/>
        <v>324</v>
      </c>
      <c r="O80" s="75">
        <f t="shared" si="11"/>
        <v>12.76595744680851</v>
      </c>
      <c r="P80" s="75">
        <f>VLOOKUP($A80,'Data Vlaue (Cr)'!$C:$FB,119)</f>
        <v>0.96</v>
      </c>
      <c r="Q80" s="75">
        <f>VLOOKUP($A80,'Data Vlaue (Cr)'!$C:$FB,122)*100</f>
        <v>43.28</v>
      </c>
      <c r="R80" s="75">
        <f>VLOOKUP($A80,'Data Vlaue (Cr)'!$C:$FB,125)</f>
        <v>0.83</v>
      </c>
      <c r="S80" s="75">
        <f>VLOOKUP($A80,'Data Vlaue (Cr)'!$C:$FB,128)*100</f>
        <v>10.67</v>
      </c>
    </row>
    <row r="81" spans="1:19" x14ac:dyDescent="0.25">
      <c r="A81" s="96" t="str">
        <f>'Data Vlaue (Cr)'!C72</f>
        <v>FINNIFTY</v>
      </c>
      <c r="B81" s="75">
        <f>VLOOKUP($A81,'Data Vlaue (Cr)'!$C:$FB,2)</f>
        <v>65</v>
      </c>
      <c r="C81" s="75">
        <f>VLOOKUP($A81,'Data Vlaue (Cr)'!$C:$FB,8)</f>
        <v>26649.95</v>
      </c>
      <c r="D81" s="75">
        <f>VLOOKUP($A81,'Data Vlaue (Cr)'!$C:$FB,4)</f>
        <v>26731</v>
      </c>
      <c r="E81" s="75">
        <f>VLOOKUP($A81,'Data Vlaue (Cr)'!$C:$FB,5)</f>
        <v>26806.7</v>
      </c>
      <c r="F81" s="75">
        <f t="shared" si="6"/>
        <v>81.049999999999272</v>
      </c>
      <c r="G81" s="75">
        <f t="shared" si="7"/>
        <v>-0.28319179978302617</v>
      </c>
      <c r="H81" s="75">
        <f>VLOOKUP($A81,'Data Vlaue (Cr)'!$C:$FB,99)</f>
        <v>522</v>
      </c>
      <c r="I81" s="75">
        <f>VLOOKUP($A81,'Data Vlaue (Cr)'!$C:$FB,100)</f>
        <v>15342</v>
      </c>
      <c r="J81" s="75">
        <f t="shared" si="8"/>
        <v>-14820</v>
      </c>
      <c r="K81" s="75">
        <f t="shared" si="9"/>
        <v>-2839.0804597701149</v>
      </c>
      <c r="L81" s="75">
        <f>VLOOKUP($A81,'Data Vlaue (Cr)'!$C:$FB,67)</f>
        <v>1061537</v>
      </c>
      <c r="M81" s="75">
        <f>VLOOKUP($A81,'Data Vlaue (Cr)'!$C:$FB,68)</f>
        <v>164239</v>
      </c>
      <c r="N81" s="75">
        <f t="shared" si="10"/>
        <v>897298</v>
      </c>
      <c r="O81" s="75">
        <f t="shared" si="11"/>
        <v>84.528188843158546</v>
      </c>
      <c r="P81" s="75">
        <f>VLOOKUP($A81,'Data Vlaue (Cr)'!$C:$FB,119)</f>
        <v>1.04</v>
      </c>
      <c r="Q81" s="75">
        <f>VLOOKUP($A81,'Data Vlaue (Cr)'!$C:$FB,122)*100</f>
        <v>48.57</v>
      </c>
      <c r="R81" s="75">
        <f>VLOOKUP($A81,'Data Vlaue (Cr)'!$C:$FB,125)</f>
        <v>0.85</v>
      </c>
      <c r="S81" s="75">
        <f>VLOOKUP($A81,'Data Vlaue (Cr)'!$C:$FB,128)*100</f>
        <v>6.25</v>
      </c>
    </row>
    <row r="82" spans="1:19" x14ac:dyDescent="0.25">
      <c r="A82" s="96" t="str">
        <f>'Data Vlaue (Cr)'!C73</f>
        <v>FORTIS</v>
      </c>
      <c r="B82" s="75">
        <f>VLOOKUP($A82,'Data Vlaue (Cr)'!$C:$FB,2)</f>
        <v>775</v>
      </c>
      <c r="C82" s="75">
        <f>VLOOKUP($A82,'Data Vlaue (Cr)'!$C:$FB,8)</f>
        <v>857.45</v>
      </c>
      <c r="D82" s="75">
        <f>VLOOKUP($A82,'Data Vlaue (Cr)'!$C:$FB,4)</f>
        <v>861.25</v>
      </c>
      <c r="E82" s="75">
        <f>VLOOKUP($A82,'Data Vlaue (Cr)'!$C:$FB,5)</f>
        <v>848</v>
      </c>
      <c r="F82" s="75">
        <f t="shared" si="6"/>
        <v>3.7999999999999545</v>
      </c>
      <c r="G82" s="75">
        <f t="shared" si="7"/>
        <v>1.5384615384615385</v>
      </c>
      <c r="H82" s="75">
        <f>VLOOKUP($A82,'Data Vlaue (Cr)'!$C:$FB,99)</f>
        <v>913</v>
      </c>
      <c r="I82" s="75">
        <f>VLOOKUP($A82,'Data Vlaue (Cr)'!$C:$FB,100)</f>
        <v>1285</v>
      </c>
      <c r="J82" s="75">
        <f t="shared" si="8"/>
        <v>-372</v>
      </c>
      <c r="K82" s="75">
        <f t="shared" si="9"/>
        <v>-40.744797371303392</v>
      </c>
      <c r="L82" s="75">
        <f>VLOOKUP($A82,'Data Vlaue (Cr)'!$C:$FB,67)</f>
        <v>921</v>
      </c>
      <c r="M82" s="75">
        <f>VLOOKUP($A82,'Data Vlaue (Cr)'!$C:$FB,68)</f>
        <v>865</v>
      </c>
      <c r="N82" s="75">
        <f t="shared" si="10"/>
        <v>56</v>
      </c>
      <c r="O82" s="75">
        <f t="shared" si="11"/>
        <v>6.0803474484256244</v>
      </c>
      <c r="P82" s="75">
        <f>VLOOKUP($A82,'Data Vlaue (Cr)'!$C:$FB,119)</f>
        <v>0.62</v>
      </c>
      <c r="Q82" s="75">
        <f>VLOOKUP($A82,'Data Vlaue (Cr)'!$C:$FB,122)*100</f>
        <v>-17.330000000000002</v>
      </c>
      <c r="R82" s="75">
        <f>VLOOKUP($A82,'Data Vlaue (Cr)'!$C:$FB,125)</f>
        <v>0.44</v>
      </c>
      <c r="S82" s="75">
        <f>VLOOKUP($A82,'Data Vlaue (Cr)'!$C:$FB,128)*100</f>
        <v>-26.669999999999998</v>
      </c>
    </row>
    <row r="83" spans="1:19" x14ac:dyDescent="0.25">
      <c r="A83" s="96" t="str">
        <f>'Data Vlaue (Cr)'!C74</f>
        <v>GAIL</v>
      </c>
      <c r="B83" s="75">
        <f>VLOOKUP($A83,'Data Vlaue (Cr)'!$C:$FB,2)</f>
        <v>3150</v>
      </c>
      <c r="C83" s="75">
        <f>VLOOKUP($A83,'Data Vlaue (Cr)'!$C:$FB,8)</f>
        <v>177.68</v>
      </c>
      <c r="D83" s="75">
        <f>VLOOKUP($A83,'Data Vlaue (Cr)'!$C:$FB,4)</f>
        <v>177.36</v>
      </c>
      <c r="E83" s="75">
        <f>VLOOKUP($A83,'Data Vlaue (Cr)'!$C:$FB,5)</f>
        <v>180.33</v>
      </c>
      <c r="F83" s="75">
        <f t="shared" si="6"/>
        <v>-0.31999999999999318</v>
      </c>
      <c r="G83" s="75">
        <f t="shared" si="7"/>
        <v>-1.6745602165087949</v>
      </c>
      <c r="H83" s="75">
        <f>VLOOKUP($A83,'Data Vlaue (Cr)'!$C:$FB,99)</f>
        <v>2533</v>
      </c>
      <c r="I83" s="75">
        <f>VLOOKUP($A83,'Data Vlaue (Cr)'!$C:$FB,100)</f>
        <v>3109</v>
      </c>
      <c r="J83" s="75">
        <f t="shared" si="8"/>
        <v>-576</v>
      </c>
      <c r="K83" s="75">
        <f t="shared" si="9"/>
        <v>-22.73983418870904</v>
      </c>
      <c r="L83" s="75">
        <f>VLOOKUP($A83,'Data Vlaue (Cr)'!$C:$FB,67)</f>
        <v>1683</v>
      </c>
      <c r="M83" s="75">
        <f>VLOOKUP($A83,'Data Vlaue (Cr)'!$C:$FB,68)</f>
        <v>2098</v>
      </c>
      <c r="N83" s="75">
        <f t="shared" si="10"/>
        <v>-415</v>
      </c>
      <c r="O83" s="75">
        <f t="shared" si="11"/>
        <v>-24.658348187759952</v>
      </c>
      <c r="P83" s="75">
        <f>VLOOKUP($A83,'Data Vlaue (Cr)'!$C:$FB,119)</f>
        <v>0.9</v>
      </c>
      <c r="Q83" s="75">
        <f>VLOOKUP($A83,'Data Vlaue (Cr)'!$C:$FB,122)*100</f>
        <v>30.43</v>
      </c>
      <c r="R83" s="75">
        <f>VLOOKUP($A83,'Data Vlaue (Cr)'!$C:$FB,125)</f>
        <v>0.91</v>
      </c>
      <c r="S83" s="75">
        <f>VLOOKUP($A83,'Data Vlaue (Cr)'!$C:$FB,128)*100</f>
        <v>28.17</v>
      </c>
    </row>
    <row r="84" spans="1:19" x14ac:dyDescent="0.25">
      <c r="A84" s="96" t="str">
        <f>'Data Vlaue (Cr)'!C75</f>
        <v>GLENMARK</v>
      </c>
      <c r="B84" s="75">
        <f>VLOOKUP($A84,'Data Vlaue (Cr)'!$C:$FB,2)</f>
        <v>375</v>
      </c>
      <c r="C84" s="75">
        <f>VLOOKUP($A84,'Data Vlaue (Cr)'!$C:$FB,8)</f>
        <v>2134.1</v>
      </c>
      <c r="D84" s="75">
        <f>VLOOKUP($A84,'Data Vlaue (Cr)'!$C:$FB,4)</f>
        <v>2145.3000000000002</v>
      </c>
      <c r="E84" s="75">
        <f>VLOOKUP($A84,'Data Vlaue (Cr)'!$C:$FB,5)</f>
        <v>2164.6</v>
      </c>
      <c r="F84" s="75">
        <f t="shared" si="6"/>
        <v>11.200000000000273</v>
      </c>
      <c r="G84" s="75">
        <f t="shared" si="7"/>
        <v>-0.89964107584019604</v>
      </c>
      <c r="H84" s="75">
        <f>VLOOKUP($A84,'Data Vlaue (Cr)'!$C:$FB,99)</f>
        <v>1841</v>
      </c>
      <c r="I84" s="75">
        <f>VLOOKUP($A84,'Data Vlaue (Cr)'!$C:$FB,100)</f>
        <v>4107</v>
      </c>
      <c r="J84" s="75">
        <f t="shared" si="8"/>
        <v>-2266</v>
      </c>
      <c r="K84" s="75">
        <f t="shared" si="9"/>
        <v>-123.08527973927212</v>
      </c>
      <c r="L84" s="75">
        <f>VLOOKUP($A84,'Data Vlaue (Cr)'!$C:$FB,67)</f>
        <v>2627</v>
      </c>
      <c r="M84" s="75">
        <f>VLOOKUP($A84,'Data Vlaue (Cr)'!$C:$FB,68)</f>
        <v>2010</v>
      </c>
      <c r="N84" s="75">
        <f t="shared" si="10"/>
        <v>617</v>
      </c>
      <c r="O84" s="75">
        <f t="shared" si="11"/>
        <v>23.486867148838979</v>
      </c>
      <c r="P84" s="75">
        <f>VLOOKUP($A84,'Data Vlaue (Cr)'!$C:$FB,119)</f>
        <v>0.73</v>
      </c>
      <c r="Q84" s="75">
        <f>VLOOKUP($A84,'Data Vlaue (Cr)'!$C:$FB,122)*100</f>
        <v>-8.75</v>
      </c>
      <c r="R84" s="75">
        <f>VLOOKUP($A84,'Data Vlaue (Cr)'!$C:$FB,125)</f>
        <v>0.71</v>
      </c>
      <c r="S84" s="75">
        <f>VLOOKUP($A84,'Data Vlaue (Cr)'!$C:$FB,128)*100</f>
        <v>-8.9700000000000006</v>
      </c>
    </row>
    <row r="85" spans="1:19" x14ac:dyDescent="0.25">
      <c r="A85" s="96" t="str">
        <f>'Data Vlaue (Cr)'!C76</f>
        <v>GMRAIRPORT</v>
      </c>
      <c r="B85" s="75">
        <f>VLOOKUP($A85,'Data Vlaue (Cr)'!$C:$FB,2)</f>
        <v>6975</v>
      </c>
      <c r="C85" s="75">
        <f>VLOOKUP($A85,'Data Vlaue (Cr)'!$C:$FB,8)</f>
        <v>90.06</v>
      </c>
      <c r="D85" s="75">
        <f>VLOOKUP($A85,'Data Vlaue (Cr)'!$C:$FB,4)</f>
        <v>90.59</v>
      </c>
      <c r="E85" s="75">
        <f>VLOOKUP($A85,'Data Vlaue (Cr)'!$C:$FB,5)</f>
        <v>90.29</v>
      </c>
      <c r="F85" s="75">
        <f t="shared" si="6"/>
        <v>0.53000000000000114</v>
      </c>
      <c r="G85" s="75">
        <f t="shared" si="7"/>
        <v>0.33116237995363412</v>
      </c>
      <c r="H85" s="75">
        <f>VLOOKUP($A85,'Data Vlaue (Cr)'!$C:$FB,99)</f>
        <v>2336</v>
      </c>
      <c r="I85" s="75">
        <f>VLOOKUP($A85,'Data Vlaue (Cr)'!$C:$FB,100)</f>
        <v>3124</v>
      </c>
      <c r="J85" s="75">
        <f t="shared" si="8"/>
        <v>-788</v>
      </c>
      <c r="K85" s="75">
        <f t="shared" si="9"/>
        <v>-33.732876712328768</v>
      </c>
      <c r="L85" s="75">
        <f>VLOOKUP($A85,'Data Vlaue (Cr)'!$C:$FB,67)</f>
        <v>1892</v>
      </c>
      <c r="M85" s="75">
        <f>VLOOKUP($A85,'Data Vlaue (Cr)'!$C:$FB,68)</f>
        <v>2311</v>
      </c>
      <c r="N85" s="75">
        <f t="shared" si="10"/>
        <v>-419</v>
      </c>
      <c r="O85" s="75">
        <f t="shared" si="11"/>
        <v>-22.145877378435518</v>
      </c>
      <c r="P85" s="75">
        <f>VLOOKUP($A85,'Data Vlaue (Cr)'!$C:$FB,119)</f>
        <v>0.5</v>
      </c>
      <c r="Q85" s="75">
        <f>VLOOKUP($A85,'Data Vlaue (Cr)'!$C:$FB,122)*100</f>
        <v>11.110000000000001</v>
      </c>
      <c r="R85" s="75">
        <f>VLOOKUP($A85,'Data Vlaue (Cr)'!$C:$FB,125)</f>
        <v>1.03</v>
      </c>
      <c r="S85" s="75">
        <f>VLOOKUP($A85,'Data Vlaue (Cr)'!$C:$FB,128)*100</f>
        <v>157.5</v>
      </c>
    </row>
    <row r="86" spans="1:19" x14ac:dyDescent="0.25">
      <c r="A86" s="96" t="str">
        <f>'Data Vlaue (Cr)'!C77</f>
        <v>GODREJCP</v>
      </c>
      <c r="B86" s="75">
        <f>VLOOKUP($A86,'Data Vlaue (Cr)'!$C:$FB,2)</f>
        <v>500</v>
      </c>
      <c r="C86" s="75">
        <f>VLOOKUP($A86,'Data Vlaue (Cr)'!$C:$FB,8)</f>
        <v>1259</v>
      </c>
      <c r="D86" s="75">
        <f>VLOOKUP($A86,'Data Vlaue (Cr)'!$C:$FB,4)</f>
        <v>1259.9000000000001</v>
      </c>
      <c r="E86" s="75">
        <f>VLOOKUP($A86,'Data Vlaue (Cr)'!$C:$FB,5)</f>
        <v>1223.2</v>
      </c>
      <c r="F86" s="75">
        <f t="shared" si="6"/>
        <v>0.90000000000009095</v>
      </c>
      <c r="G86" s="75">
        <f t="shared" si="7"/>
        <v>2.9129295975871132</v>
      </c>
      <c r="H86" s="75">
        <f>VLOOKUP($A86,'Data Vlaue (Cr)'!$C:$FB,99)</f>
        <v>1294</v>
      </c>
      <c r="I86" s="75">
        <f>VLOOKUP($A86,'Data Vlaue (Cr)'!$C:$FB,100)</f>
        <v>1950</v>
      </c>
      <c r="J86" s="75">
        <f t="shared" si="8"/>
        <v>-656</v>
      </c>
      <c r="K86" s="75">
        <f t="shared" si="9"/>
        <v>-50.695517774343124</v>
      </c>
      <c r="L86" s="75">
        <f>VLOOKUP($A86,'Data Vlaue (Cr)'!$C:$FB,67)</f>
        <v>1854</v>
      </c>
      <c r="M86" s="75">
        <f>VLOOKUP($A86,'Data Vlaue (Cr)'!$C:$FB,68)</f>
        <v>1010</v>
      </c>
      <c r="N86" s="75">
        <f t="shared" si="10"/>
        <v>844</v>
      </c>
      <c r="O86" s="75">
        <f t="shared" si="11"/>
        <v>45.523193096008626</v>
      </c>
      <c r="P86" s="75">
        <f>VLOOKUP($A86,'Data Vlaue (Cr)'!$C:$FB,119)</f>
        <v>0.57999999999999996</v>
      </c>
      <c r="Q86" s="75">
        <f>VLOOKUP($A86,'Data Vlaue (Cr)'!$C:$FB,122)*100</f>
        <v>-13.43</v>
      </c>
      <c r="R86" s="75">
        <f>VLOOKUP($A86,'Data Vlaue (Cr)'!$C:$FB,125)</f>
        <v>0.2</v>
      </c>
      <c r="S86" s="75">
        <f>VLOOKUP($A86,'Data Vlaue (Cr)'!$C:$FB,128)*100</f>
        <v>-48.72</v>
      </c>
    </row>
    <row r="87" spans="1:19" x14ac:dyDescent="0.25">
      <c r="A87" s="96" t="str">
        <f>'Data Vlaue (Cr)'!C78</f>
        <v>GODREJPROP</v>
      </c>
      <c r="B87" s="75">
        <f>VLOOKUP($A87,'Data Vlaue (Cr)'!$C:$FB,2)</f>
        <v>275</v>
      </c>
      <c r="C87" s="75">
        <f>VLOOKUP($A87,'Data Vlaue (Cr)'!$C:$FB,8)</f>
        <v>2102.9</v>
      </c>
      <c r="D87" s="75">
        <f>VLOOKUP($A87,'Data Vlaue (Cr)'!$C:$FB,4)</f>
        <v>2109.3000000000002</v>
      </c>
      <c r="E87" s="75">
        <f>VLOOKUP($A87,'Data Vlaue (Cr)'!$C:$FB,5)</f>
        <v>2142.3000000000002</v>
      </c>
      <c r="F87" s="75">
        <f t="shared" si="6"/>
        <v>6.4000000000000909</v>
      </c>
      <c r="G87" s="75">
        <f t="shared" si="7"/>
        <v>-1.5645000711136396</v>
      </c>
      <c r="H87" s="75">
        <f>VLOOKUP($A87,'Data Vlaue (Cr)'!$C:$FB,99)</f>
        <v>1876</v>
      </c>
      <c r="I87" s="75">
        <f>VLOOKUP($A87,'Data Vlaue (Cr)'!$C:$FB,100)</f>
        <v>2554</v>
      </c>
      <c r="J87" s="75">
        <f t="shared" si="8"/>
        <v>-678</v>
      </c>
      <c r="K87" s="75">
        <f t="shared" si="9"/>
        <v>-36.140724946695094</v>
      </c>
      <c r="L87" s="75">
        <f>VLOOKUP($A87,'Data Vlaue (Cr)'!$C:$FB,67)</f>
        <v>1628</v>
      </c>
      <c r="M87" s="75">
        <f>VLOOKUP($A87,'Data Vlaue (Cr)'!$C:$FB,68)</f>
        <v>1544</v>
      </c>
      <c r="N87" s="75">
        <f t="shared" si="10"/>
        <v>84</v>
      </c>
      <c r="O87" s="75">
        <f t="shared" si="11"/>
        <v>5.1597051597051591</v>
      </c>
      <c r="P87" s="75">
        <f>VLOOKUP($A87,'Data Vlaue (Cr)'!$C:$FB,119)</f>
        <v>0.93</v>
      </c>
      <c r="Q87" s="75">
        <f>VLOOKUP($A87,'Data Vlaue (Cr)'!$C:$FB,122)*100</f>
        <v>78.849999999999994</v>
      </c>
      <c r="R87" s="75">
        <f>VLOOKUP($A87,'Data Vlaue (Cr)'!$C:$FB,125)</f>
        <v>0.53</v>
      </c>
      <c r="S87" s="75">
        <f>VLOOKUP($A87,'Data Vlaue (Cr)'!$C:$FB,128)*100</f>
        <v>1.92</v>
      </c>
    </row>
    <row r="88" spans="1:19" x14ac:dyDescent="0.25">
      <c r="A88" s="96" t="str">
        <f>'Data Vlaue (Cr)'!C79</f>
        <v>GRANULES</v>
      </c>
      <c r="B88" s="75">
        <f>VLOOKUP($A88,'Data Vlaue (Cr)'!$C:$FB,2)</f>
        <v>1075</v>
      </c>
      <c r="C88" s="75">
        <f>VLOOKUP($A88,'Data Vlaue (Cr)'!$C:$FB,8)</f>
        <v>474.9</v>
      </c>
      <c r="D88" s="75">
        <f>VLOOKUP($A88,'Data Vlaue (Cr)'!$C:$FB,4)</f>
        <v>476.8</v>
      </c>
      <c r="E88" s="75">
        <f>VLOOKUP($A88,'Data Vlaue (Cr)'!$C:$FB,5)</f>
        <v>494.1</v>
      </c>
      <c r="F88" s="75">
        <f t="shared" si="6"/>
        <v>1.9000000000000341</v>
      </c>
      <c r="G88" s="75">
        <f t="shared" si="7"/>
        <v>-3.6283557046979888</v>
      </c>
      <c r="H88" s="75">
        <f>VLOOKUP($A88,'Data Vlaue (Cr)'!$C:$FB,99)</f>
        <v>711</v>
      </c>
      <c r="I88" s="75">
        <f>VLOOKUP($A88,'Data Vlaue (Cr)'!$C:$FB,100)</f>
        <v>985</v>
      </c>
      <c r="J88" s="75">
        <f t="shared" si="8"/>
        <v>-274</v>
      </c>
      <c r="K88" s="75">
        <f t="shared" si="9"/>
        <v>-38.537271448663851</v>
      </c>
      <c r="L88" s="75">
        <f>VLOOKUP($A88,'Data Vlaue (Cr)'!$C:$FB,67)</f>
        <v>823</v>
      </c>
      <c r="M88" s="75">
        <f>VLOOKUP($A88,'Data Vlaue (Cr)'!$C:$FB,68)</f>
        <v>763</v>
      </c>
      <c r="N88" s="75">
        <f t="shared" si="10"/>
        <v>60</v>
      </c>
      <c r="O88" s="75">
        <f t="shared" si="11"/>
        <v>7.2904009720534626</v>
      </c>
      <c r="P88" s="75">
        <f>VLOOKUP($A88,'Data Vlaue (Cr)'!$C:$FB,119)</f>
        <v>0.67</v>
      </c>
      <c r="Q88" s="75">
        <f>VLOOKUP($A88,'Data Vlaue (Cr)'!$C:$FB,122)*100</f>
        <v>15.52</v>
      </c>
      <c r="R88" s="75">
        <f>VLOOKUP($A88,'Data Vlaue (Cr)'!$C:$FB,125)</f>
        <v>0.76</v>
      </c>
      <c r="S88" s="75">
        <f>VLOOKUP($A88,'Data Vlaue (Cr)'!$C:$FB,128)*100</f>
        <v>130.29999999999998</v>
      </c>
    </row>
    <row r="89" spans="1:19" x14ac:dyDescent="0.25">
      <c r="A89" s="96" t="str">
        <f>'Data Vlaue (Cr)'!C80</f>
        <v>GRASIM</v>
      </c>
      <c r="B89" s="75">
        <f>VLOOKUP($A89,'Data Vlaue (Cr)'!$C:$FB,2)</f>
        <v>250</v>
      </c>
      <c r="C89" s="75">
        <f>VLOOKUP($A89,'Data Vlaue (Cr)'!$C:$FB,8)</f>
        <v>2746.4</v>
      </c>
      <c r="D89" s="75">
        <f>VLOOKUP($A89,'Data Vlaue (Cr)'!$C:$FB,4)</f>
        <v>2752.8</v>
      </c>
      <c r="E89" s="75">
        <f>VLOOKUP($A89,'Data Vlaue (Cr)'!$C:$FB,5)</f>
        <v>2766.3</v>
      </c>
      <c r="F89" s="75">
        <f t="shared" si="6"/>
        <v>6.4000000000000909</v>
      </c>
      <c r="G89" s="75">
        <f t="shared" si="7"/>
        <v>-0.49040976460331293</v>
      </c>
      <c r="H89" s="75">
        <f>VLOOKUP($A89,'Data Vlaue (Cr)'!$C:$FB,99)</f>
        <v>3810</v>
      </c>
      <c r="I89" s="75">
        <f>VLOOKUP($A89,'Data Vlaue (Cr)'!$C:$FB,100)</f>
        <v>4384</v>
      </c>
      <c r="J89" s="75">
        <f t="shared" si="8"/>
        <v>-574</v>
      </c>
      <c r="K89" s="75">
        <f t="shared" si="9"/>
        <v>-15.065616797900264</v>
      </c>
      <c r="L89" s="75">
        <f>VLOOKUP($A89,'Data Vlaue (Cr)'!$C:$FB,67)</f>
        <v>1731</v>
      </c>
      <c r="M89" s="75">
        <f>VLOOKUP($A89,'Data Vlaue (Cr)'!$C:$FB,68)</f>
        <v>3559</v>
      </c>
      <c r="N89" s="75">
        <f t="shared" si="10"/>
        <v>-1828</v>
      </c>
      <c r="O89" s="75">
        <f t="shared" si="11"/>
        <v>-105.60369728480647</v>
      </c>
      <c r="P89" s="75">
        <f>VLOOKUP($A89,'Data Vlaue (Cr)'!$C:$FB,119)</f>
        <v>0.77</v>
      </c>
      <c r="Q89" s="75">
        <f>VLOOKUP($A89,'Data Vlaue (Cr)'!$C:$FB,122)*100</f>
        <v>48.08</v>
      </c>
      <c r="R89" s="75">
        <f>VLOOKUP($A89,'Data Vlaue (Cr)'!$C:$FB,125)</f>
        <v>0.47</v>
      </c>
      <c r="S89" s="75">
        <f>VLOOKUP($A89,'Data Vlaue (Cr)'!$C:$FB,128)*100</f>
        <v>113.64000000000001</v>
      </c>
    </row>
    <row r="90" spans="1:19" x14ac:dyDescent="0.25">
      <c r="A90" s="96" t="str">
        <f>'Data Vlaue (Cr)'!C81</f>
        <v>HAL</v>
      </c>
      <c r="B90" s="75">
        <f>VLOOKUP($A90,'Data Vlaue (Cr)'!$C:$FB,2)</f>
        <v>150</v>
      </c>
      <c r="C90" s="75">
        <f>VLOOKUP($A90,'Data Vlaue (Cr)'!$C:$FB,8)</f>
        <v>4533.8999999999996</v>
      </c>
      <c r="D90" s="75">
        <f>VLOOKUP($A90,'Data Vlaue (Cr)'!$C:$FB,4)</f>
        <v>4536.5</v>
      </c>
      <c r="E90" s="75">
        <f>VLOOKUP($A90,'Data Vlaue (Cr)'!$C:$FB,5)</f>
        <v>4548.3</v>
      </c>
      <c r="F90" s="75">
        <f t="shared" si="6"/>
        <v>2.6000000000003638</v>
      </c>
      <c r="G90" s="75">
        <f t="shared" si="7"/>
        <v>-0.26011242147030045</v>
      </c>
      <c r="H90" s="75">
        <f>VLOOKUP($A90,'Data Vlaue (Cr)'!$C:$FB,99)</f>
        <v>6127</v>
      </c>
      <c r="I90" s="75">
        <f>VLOOKUP($A90,'Data Vlaue (Cr)'!$C:$FB,100)</f>
        <v>9048</v>
      </c>
      <c r="J90" s="75">
        <f t="shared" si="8"/>
        <v>-2921</v>
      </c>
      <c r="K90" s="75">
        <f t="shared" si="9"/>
        <v>-47.674228823241386</v>
      </c>
      <c r="L90" s="75">
        <f>VLOOKUP($A90,'Data Vlaue (Cr)'!$C:$FB,67)</f>
        <v>9706</v>
      </c>
      <c r="M90" s="75">
        <f>VLOOKUP($A90,'Data Vlaue (Cr)'!$C:$FB,68)</f>
        <v>8115</v>
      </c>
      <c r="N90" s="75">
        <f t="shared" si="10"/>
        <v>1591</v>
      </c>
      <c r="O90" s="75">
        <f t="shared" si="11"/>
        <v>16.391922522151248</v>
      </c>
      <c r="P90" s="75">
        <f>VLOOKUP($A90,'Data Vlaue (Cr)'!$C:$FB,119)</f>
        <v>0.86</v>
      </c>
      <c r="Q90" s="75">
        <f>VLOOKUP($A90,'Data Vlaue (Cr)'!$C:$FB,122)*100</f>
        <v>50.88</v>
      </c>
      <c r="R90" s="75">
        <f>VLOOKUP($A90,'Data Vlaue (Cr)'!$C:$FB,125)</f>
        <v>0.44</v>
      </c>
      <c r="S90" s="75">
        <f>VLOOKUP($A90,'Data Vlaue (Cr)'!$C:$FB,128)*100</f>
        <v>41.94</v>
      </c>
    </row>
    <row r="91" spans="1:19" x14ac:dyDescent="0.25">
      <c r="A91" s="96" t="str">
        <f>'Data Vlaue (Cr)'!C82</f>
        <v>HAVELLS</v>
      </c>
      <c r="B91" s="75">
        <f>VLOOKUP($A91,'Data Vlaue (Cr)'!$C:$FB,2)</f>
        <v>500</v>
      </c>
      <c r="C91" s="75">
        <f>VLOOKUP($A91,'Data Vlaue (Cr)'!$C:$FB,8)</f>
        <v>1500.6</v>
      </c>
      <c r="D91" s="75">
        <f>VLOOKUP($A91,'Data Vlaue (Cr)'!$C:$FB,4)</f>
        <v>1509.4</v>
      </c>
      <c r="E91" s="75">
        <f>VLOOKUP($A91,'Data Vlaue (Cr)'!$C:$FB,5)</f>
        <v>1527.8</v>
      </c>
      <c r="F91" s="75">
        <f t="shared" si="6"/>
        <v>8.8000000000001819</v>
      </c>
      <c r="G91" s="75">
        <f t="shared" si="7"/>
        <v>-1.2190274281171234</v>
      </c>
      <c r="H91" s="75">
        <f>VLOOKUP($A91,'Data Vlaue (Cr)'!$C:$FB,99)</f>
        <v>1571</v>
      </c>
      <c r="I91" s="75">
        <f>VLOOKUP($A91,'Data Vlaue (Cr)'!$C:$FB,100)</f>
        <v>2124</v>
      </c>
      <c r="J91" s="75">
        <f t="shared" si="8"/>
        <v>-553</v>
      </c>
      <c r="K91" s="75">
        <f t="shared" si="9"/>
        <v>-35.200509229789944</v>
      </c>
      <c r="L91" s="75">
        <f>VLOOKUP($A91,'Data Vlaue (Cr)'!$C:$FB,67)</f>
        <v>1139</v>
      </c>
      <c r="M91" s="75">
        <f>VLOOKUP($A91,'Data Vlaue (Cr)'!$C:$FB,68)</f>
        <v>1304</v>
      </c>
      <c r="N91" s="75">
        <f t="shared" si="10"/>
        <v>-165</v>
      </c>
      <c r="O91" s="75">
        <f t="shared" si="11"/>
        <v>-14.486391571553995</v>
      </c>
      <c r="P91" s="75">
        <f>VLOOKUP($A91,'Data Vlaue (Cr)'!$C:$FB,119)</f>
        <v>0.83</v>
      </c>
      <c r="Q91" s="75">
        <f>VLOOKUP($A91,'Data Vlaue (Cr)'!$C:$FB,122)*100</f>
        <v>-3.49</v>
      </c>
      <c r="R91" s="75">
        <f>VLOOKUP($A91,'Data Vlaue (Cr)'!$C:$FB,125)</f>
        <v>0.56999999999999995</v>
      </c>
      <c r="S91" s="75">
        <f>VLOOKUP($A91,'Data Vlaue (Cr)'!$C:$FB,128)*100</f>
        <v>3.64</v>
      </c>
    </row>
    <row r="92" spans="1:19" x14ac:dyDescent="0.25">
      <c r="A92" s="96" t="str">
        <f>'Data Vlaue (Cr)'!C83</f>
        <v>HCLTECH</v>
      </c>
      <c r="B92" s="75">
        <f>VLOOKUP($A92,'Data Vlaue (Cr)'!$C:$FB,2)</f>
        <v>350</v>
      </c>
      <c r="C92" s="75">
        <f>VLOOKUP($A92,'Data Vlaue (Cr)'!$C:$FB,8)</f>
        <v>1467.9</v>
      </c>
      <c r="D92" s="75">
        <f>VLOOKUP($A92,'Data Vlaue (Cr)'!$C:$FB,4)</f>
        <v>1476.2</v>
      </c>
      <c r="E92" s="75">
        <f>VLOOKUP($A92,'Data Vlaue (Cr)'!$C:$FB,5)</f>
        <v>1485</v>
      </c>
      <c r="F92" s="75">
        <f t="shared" si="6"/>
        <v>8.2999999999999545</v>
      </c>
      <c r="G92" s="75">
        <f t="shared" si="7"/>
        <v>-0.59612518628911759</v>
      </c>
      <c r="H92" s="75">
        <f>VLOOKUP($A92,'Data Vlaue (Cr)'!$C:$FB,99)</f>
        <v>3878</v>
      </c>
      <c r="I92" s="75">
        <f>VLOOKUP($A92,'Data Vlaue (Cr)'!$C:$FB,100)</f>
        <v>5855</v>
      </c>
      <c r="J92" s="75">
        <f t="shared" si="8"/>
        <v>-1977</v>
      </c>
      <c r="K92" s="75">
        <f t="shared" si="9"/>
        <v>-50.979886539453325</v>
      </c>
      <c r="L92" s="75">
        <f>VLOOKUP($A92,'Data Vlaue (Cr)'!$C:$FB,67)</f>
        <v>2658</v>
      </c>
      <c r="M92" s="75">
        <f>VLOOKUP($A92,'Data Vlaue (Cr)'!$C:$FB,68)</f>
        <v>2591</v>
      </c>
      <c r="N92" s="75">
        <f t="shared" si="10"/>
        <v>67</v>
      </c>
      <c r="O92" s="75">
        <f t="shared" si="11"/>
        <v>2.5206922498118884</v>
      </c>
      <c r="P92" s="75">
        <f>VLOOKUP($A92,'Data Vlaue (Cr)'!$C:$FB,119)</f>
        <v>0.67</v>
      </c>
      <c r="Q92" s="75">
        <f>VLOOKUP($A92,'Data Vlaue (Cr)'!$C:$FB,122)*100</f>
        <v>63.41</v>
      </c>
      <c r="R92" s="75">
        <f>VLOOKUP($A92,'Data Vlaue (Cr)'!$C:$FB,125)</f>
        <v>0.62</v>
      </c>
      <c r="S92" s="75">
        <f>VLOOKUP($A92,'Data Vlaue (Cr)'!$C:$FB,128)*100</f>
        <v>34.78</v>
      </c>
    </row>
    <row r="93" spans="1:19" x14ac:dyDescent="0.25">
      <c r="A93" s="96" t="str">
        <f>'Data Vlaue (Cr)'!C84</f>
        <v>HDFCAMC</v>
      </c>
      <c r="B93" s="75">
        <f>VLOOKUP($A93,'Data Vlaue (Cr)'!$C:$FB,2)</f>
        <v>150</v>
      </c>
      <c r="C93" s="75">
        <f>VLOOKUP($A93,'Data Vlaue (Cr)'!$C:$FB,8)</f>
        <v>5650</v>
      </c>
      <c r="D93" s="75">
        <f>VLOOKUP($A93,'Data Vlaue (Cr)'!$C:$FB,4)</f>
        <v>5637.5</v>
      </c>
      <c r="E93" s="75">
        <f>VLOOKUP($A93,'Data Vlaue (Cr)'!$C:$FB,5)</f>
        <v>5646.5</v>
      </c>
      <c r="F93" s="75">
        <f t="shared" si="6"/>
        <v>-12.5</v>
      </c>
      <c r="G93" s="75">
        <f t="shared" si="7"/>
        <v>-0.15964523281596452</v>
      </c>
      <c r="H93" s="75">
        <f>VLOOKUP($A93,'Data Vlaue (Cr)'!$C:$FB,99)</f>
        <v>2046</v>
      </c>
      <c r="I93" s="75">
        <f>VLOOKUP($A93,'Data Vlaue (Cr)'!$C:$FB,100)</f>
        <v>3024</v>
      </c>
      <c r="J93" s="75">
        <f t="shared" si="8"/>
        <v>-978</v>
      </c>
      <c r="K93" s="75">
        <f t="shared" si="9"/>
        <v>-47.800586510263933</v>
      </c>
      <c r="L93" s="75">
        <f>VLOOKUP($A93,'Data Vlaue (Cr)'!$C:$FB,67)</f>
        <v>2273</v>
      </c>
      <c r="M93" s="75">
        <f>VLOOKUP($A93,'Data Vlaue (Cr)'!$C:$FB,68)</f>
        <v>3216</v>
      </c>
      <c r="N93" s="75">
        <f t="shared" si="10"/>
        <v>-943</v>
      </c>
      <c r="O93" s="75">
        <f t="shared" si="11"/>
        <v>-41.487021557413115</v>
      </c>
      <c r="P93" s="75">
        <f>VLOOKUP($A93,'Data Vlaue (Cr)'!$C:$FB,119)</f>
        <v>0.59</v>
      </c>
      <c r="Q93" s="75">
        <f>VLOOKUP($A93,'Data Vlaue (Cr)'!$C:$FB,122)*100</f>
        <v>-19.18</v>
      </c>
      <c r="R93" s="75">
        <f>VLOOKUP($A93,'Data Vlaue (Cr)'!$C:$FB,125)</f>
        <v>0.68</v>
      </c>
      <c r="S93" s="75">
        <f>VLOOKUP($A93,'Data Vlaue (Cr)'!$C:$FB,128)*100</f>
        <v>30.769999999999996</v>
      </c>
    </row>
    <row r="94" spans="1:19" x14ac:dyDescent="0.25">
      <c r="A94" s="96" t="str">
        <f>'Data Vlaue (Cr)'!C85</f>
        <v>HDFCBANK</v>
      </c>
      <c r="B94" s="75">
        <f>VLOOKUP($A94,'Data Vlaue (Cr)'!$C:$FB,2)</f>
        <v>550</v>
      </c>
      <c r="C94" s="75">
        <f>VLOOKUP($A94,'Data Vlaue (Cr)'!$C:$FB,8)</f>
        <v>2018.2</v>
      </c>
      <c r="D94" s="75">
        <f>VLOOKUP($A94,'Data Vlaue (Cr)'!$C:$FB,4)</f>
        <v>2028.7</v>
      </c>
      <c r="E94" s="75">
        <f>VLOOKUP($A94,'Data Vlaue (Cr)'!$C:$FB,5)</f>
        <v>2034.4</v>
      </c>
      <c r="F94" s="75">
        <f t="shared" si="6"/>
        <v>10.5</v>
      </c>
      <c r="G94" s="75">
        <f t="shared" si="7"/>
        <v>-0.28096810765515084</v>
      </c>
      <c r="H94" s="75">
        <f>VLOOKUP($A94,'Data Vlaue (Cr)'!$C:$FB,99)</f>
        <v>24975</v>
      </c>
      <c r="I94" s="75">
        <f>VLOOKUP($A94,'Data Vlaue (Cr)'!$C:$FB,100)</f>
        <v>32257</v>
      </c>
      <c r="J94" s="75">
        <f t="shared" si="8"/>
        <v>-7282</v>
      </c>
      <c r="K94" s="75">
        <f t="shared" si="9"/>
        <v>-29.157157157157158</v>
      </c>
      <c r="L94" s="75">
        <f>VLOOKUP($A94,'Data Vlaue (Cr)'!$C:$FB,67)</f>
        <v>22442</v>
      </c>
      <c r="M94" s="75">
        <f>VLOOKUP($A94,'Data Vlaue (Cr)'!$C:$FB,68)</f>
        <v>25001</v>
      </c>
      <c r="N94" s="75">
        <f t="shared" si="10"/>
        <v>-2559</v>
      </c>
      <c r="O94" s="75">
        <f t="shared" si="11"/>
        <v>-11.402727029676498</v>
      </c>
      <c r="P94" s="75">
        <f>VLOOKUP($A94,'Data Vlaue (Cr)'!$C:$FB,119)</f>
        <v>1.26</v>
      </c>
      <c r="Q94" s="75">
        <f>VLOOKUP($A94,'Data Vlaue (Cr)'!$C:$FB,122)*100</f>
        <v>61.539999999999992</v>
      </c>
      <c r="R94" s="75">
        <f>VLOOKUP($A94,'Data Vlaue (Cr)'!$C:$FB,125)</f>
        <v>0.99</v>
      </c>
      <c r="S94" s="75">
        <f>VLOOKUP($A94,'Data Vlaue (Cr)'!$C:$FB,128)*100</f>
        <v>22.220000000000002</v>
      </c>
    </row>
    <row r="95" spans="1:19" x14ac:dyDescent="0.25">
      <c r="A95" s="96" t="str">
        <f>'Data Vlaue (Cr)'!C86</f>
        <v>HDFCLIFE</v>
      </c>
      <c r="B95" s="75">
        <f>VLOOKUP($A95,'Data Vlaue (Cr)'!$C:$FB,2)</f>
        <v>1100</v>
      </c>
      <c r="C95" s="75">
        <f>VLOOKUP($A95,'Data Vlaue (Cr)'!$C:$FB,8)</f>
        <v>755.5</v>
      </c>
      <c r="D95" s="75">
        <f>VLOOKUP($A95,'Data Vlaue (Cr)'!$C:$FB,4)</f>
        <v>760</v>
      </c>
      <c r="E95" s="75">
        <f>VLOOKUP($A95,'Data Vlaue (Cr)'!$C:$FB,5)</f>
        <v>761.7</v>
      </c>
      <c r="F95" s="75">
        <f t="shared" si="6"/>
        <v>4.5</v>
      </c>
      <c r="G95" s="75">
        <f t="shared" si="7"/>
        <v>-0.22368421052632176</v>
      </c>
      <c r="H95" s="75">
        <f>VLOOKUP($A95,'Data Vlaue (Cr)'!$C:$FB,99)</f>
        <v>2624</v>
      </c>
      <c r="I95" s="75">
        <f>VLOOKUP($A95,'Data Vlaue (Cr)'!$C:$FB,100)</f>
        <v>4181</v>
      </c>
      <c r="J95" s="75">
        <f t="shared" si="8"/>
        <v>-1557</v>
      </c>
      <c r="K95" s="75">
        <f t="shared" si="9"/>
        <v>-59.336890243902438</v>
      </c>
      <c r="L95" s="75">
        <f>VLOOKUP($A95,'Data Vlaue (Cr)'!$C:$FB,67)</f>
        <v>2135</v>
      </c>
      <c r="M95" s="75">
        <f>VLOOKUP($A95,'Data Vlaue (Cr)'!$C:$FB,68)</f>
        <v>2629</v>
      </c>
      <c r="N95" s="75">
        <f t="shared" si="10"/>
        <v>-494</v>
      </c>
      <c r="O95" s="75">
        <f t="shared" si="11"/>
        <v>-23.138173302107727</v>
      </c>
      <c r="P95" s="75">
        <f>VLOOKUP($A95,'Data Vlaue (Cr)'!$C:$FB,119)</f>
        <v>0.82</v>
      </c>
      <c r="Q95" s="75">
        <f>VLOOKUP($A95,'Data Vlaue (Cr)'!$C:$FB,122)*100</f>
        <v>60.78</v>
      </c>
      <c r="R95" s="75">
        <f>VLOOKUP($A95,'Data Vlaue (Cr)'!$C:$FB,125)</f>
        <v>0.84</v>
      </c>
      <c r="S95" s="75">
        <f>VLOOKUP($A95,'Data Vlaue (Cr)'!$C:$FB,128)*100</f>
        <v>68</v>
      </c>
    </row>
    <row r="96" spans="1:19" x14ac:dyDescent="0.25">
      <c r="A96" s="96" t="str">
        <f>'Data Vlaue (Cr)'!C87</f>
        <v>HEROMOTOCO</v>
      </c>
      <c r="B96" s="75">
        <f>VLOOKUP($A96,'Data Vlaue (Cr)'!$C:$FB,2)</f>
        <v>150</v>
      </c>
      <c r="C96" s="75">
        <f>VLOOKUP($A96,'Data Vlaue (Cr)'!$C:$FB,8)</f>
        <v>4260.7</v>
      </c>
      <c r="D96" s="75">
        <f>VLOOKUP($A96,'Data Vlaue (Cr)'!$C:$FB,4)</f>
        <v>4225</v>
      </c>
      <c r="E96" s="75">
        <f>VLOOKUP($A96,'Data Vlaue (Cr)'!$C:$FB,5)</f>
        <v>4221.2</v>
      </c>
      <c r="F96" s="75">
        <f t="shared" si="6"/>
        <v>-35.699999999999818</v>
      </c>
      <c r="G96" s="75">
        <f t="shared" si="7"/>
        <v>8.9940828402371165E-2</v>
      </c>
      <c r="H96" s="75">
        <f>VLOOKUP($A96,'Data Vlaue (Cr)'!$C:$FB,99)</f>
        <v>3575</v>
      </c>
      <c r="I96" s="75">
        <f>VLOOKUP($A96,'Data Vlaue (Cr)'!$C:$FB,100)</f>
        <v>5388</v>
      </c>
      <c r="J96" s="75">
        <f t="shared" si="8"/>
        <v>-1813</v>
      </c>
      <c r="K96" s="75">
        <f t="shared" si="9"/>
        <v>-50.713286713286706</v>
      </c>
      <c r="L96" s="75">
        <f>VLOOKUP($A96,'Data Vlaue (Cr)'!$C:$FB,67)</f>
        <v>2864</v>
      </c>
      <c r="M96" s="75">
        <f>VLOOKUP($A96,'Data Vlaue (Cr)'!$C:$FB,68)</f>
        <v>5884</v>
      </c>
      <c r="N96" s="75">
        <f t="shared" si="10"/>
        <v>-3020</v>
      </c>
      <c r="O96" s="75">
        <f t="shared" si="11"/>
        <v>-105.44692737430168</v>
      </c>
      <c r="P96" s="75">
        <f>VLOOKUP($A96,'Data Vlaue (Cr)'!$C:$FB,119)</f>
        <v>0.68</v>
      </c>
      <c r="Q96" s="75">
        <f>VLOOKUP($A96,'Data Vlaue (Cr)'!$C:$FB,122)*100</f>
        <v>17.239999999999998</v>
      </c>
      <c r="R96" s="75">
        <f>VLOOKUP($A96,'Data Vlaue (Cr)'!$C:$FB,125)</f>
        <v>0.45</v>
      </c>
      <c r="S96" s="75">
        <f>VLOOKUP($A96,'Data Vlaue (Cr)'!$C:$FB,128)*100</f>
        <v>4.6500000000000004</v>
      </c>
    </row>
    <row r="97" spans="1:19" x14ac:dyDescent="0.25">
      <c r="A97" s="96" t="str">
        <f>'Data Vlaue (Cr)'!C88</f>
        <v>HFCL</v>
      </c>
      <c r="B97" s="75">
        <f>VLOOKUP($A97,'Data Vlaue (Cr)'!$C:$FB,2)</f>
        <v>6450</v>
      </c>
      <c r="C97" s="75">
        <f>VLOOKUP($A97,'Data Vlaue (Cr)'!$C:$FB,8)</f>
        <v>75.569999999999993</v>
      </c>
      <c r="D97" s="75">
        <f>VLOOKUP($A97,'Data Vlaue (Cr)'!$C:$FB,4)</f>
        <v>76.09</v>
      </c>
      <c r="E97" s="75">
        <f>VLOOKUP($A97,'Data Vlaue (Cr)'!$C:$FB,5)</f>
        <v>77.430000000000007</v>
      </c>
      <c r="F97" s="75">
        <f t="shared" si="6"/>
        <v>0.52000000000001023</v>
      </c>
      <c r="G97" s="75">
        <f t="shared" si="7"/>
        <v>-1.7610724142462917</v>
      </c>
      <c r="H97" s="75">
        <f>VLOOKUP($A97,'Data Vlaue (Cr)'!$C:$FB,99)</f>
        <v>901</v>
      </c>
      <c r="I97" s="75">
        <f>VLOOKUP($A97,'Data Vlaue (Cr)'!$C:$FB,100)</f>
        <v>1170</v>
      </c>
      <c r="J97" s="75">
        <f t="shared" si="8"/>
        <v>-269</v>
      </c>
      <c r="K97" s="75">
        <f t="shared" si="9"/>
        <v>-29.855715871254162</v>
      </c>
      <c r="L97" s="75">
        <f>VLOOKUP($A97,'Data Vlaue (Cr)'!$C:$FB,67)</f>
        <v>670</v>
      </c>
      <c r="M97" s="75">
        <f>VLOOKUP($A97,'Data Vlaue (Cr)'!$C:$FB,68)</f>
        <v>469</v>
      </c>
      <c r="N97" s="75">
        <f t="shared" si="10"/>
        <v>201</v>
      </c>
      <c r="O97" s="75">
        <f t="shared" si="11"/>
        <v>30</v>
      </c>
      <c r="P97" s="75">
        <f>VLOOKUP($A97,'Data Vlaue (Cr)'!$C:$FB,119)</f>
        <v>0.6</v>
      </c>
      <c r="Q97" s="75">
        <f>VLOOKUP($A97,'Data Vlaue (Cr)'!$C:$FB,122)*100</f>
        <v>7.1400000000000006</v>
      </c>
      <c r="R97" s="75">
        <f>VLOOKUP($A97,'Data Vlaue (Cr)'!$C:$FB,125)</f>
        <v>0.62</v>
      </c>
      <c r="S97" s="75">
        <f>VLOOKUP($A97,'Data Vlaue (Cr)'!$C:$FB,128)*100</f>
        <v>-36.08</v>
      </c>
    </row>
    <row r="98" spans="1:19" x14ac:dyDescent="0.25">
      <c r="A98" s="96" t="str">
        <f>'Data Vlaue (Cr)'!C89</f>
        <v>HINDALCO</v>
      </c>
      <c r="B98" s="75">
        <f>VLOOKUP($A98,'Data Vlaue (Cr)'!$C:$FB,2)</f>
        <v>1400</v>
      </c>
      <c r="C98" s="75">
        <f>VLOOKUP($A98,'Data Vlaue (Cr)'!$C:$FB,8)</f>
        <v>683.05</v>
      </c>
      <c r="D98" s="75">
        <f>VLOOKUP($A98,'Data Vlaue (Cr)'!$C:$FB,4)</f>
        <v>680.2</v>
      </c>
      <c r="E98" s="75">
        <f>VLOOKUP($A98,'Data Vlaue (Cr)'!$C:$FB,5)</f>
        <v>687.4</v>
      </c>
      <c r="F98" s="75">
        <f t="shared" si="6"/>
        <v>-2.8499999999999091</v>
      </c>
      <c r="G98" s="75">
        <f t="shared" si="7"/>
        <v>-1.058512202293433</v>
      </c>
      <c r="H98" s="75">
        <f>VLOOKUP($A98,'Data Vlaue (Cr)'!$C:$FB,99)</f>
        <v>3680</v>
      </c>
      <c r="I98" s="75">
        <f>VLOOKUP($A98,'Data Vlaue (Cr)'!$C:$FB,100)</f>
        <v>4970</v>
      </c>
      <c r="J98" s="75">
        <f t="shared" si="8"/>
        <v>-1290</v>
      </c>
      <c r="K98" s="75">
        <f t="shared" si="9"/>
        <v>-35.054347826086953</v>
      </c>
      <c r="L98" s="75">
        <f>VLOOKUP($A98,'Data Vlaue (Cr)'!$C:$FB,67)</f>
        <v>2819</v>
      </c>
      <c r="M98" s="75">
        <f>VLOOKUP($A98,'Data Vlaue (Cr)'!$C:$FB,68)</f>
        <v>3366</v>
      </c>
      <c r="N98" s="75">
        <f t="shared" si="10"/>
        <v>-547</v>
      </c>
      <c r="O98" s="75">
        <f t="shared" si="11"/>
        <v>-19.404043987229514</v>
      </c>
      <c r="P98" s="75">
        <f>VLOOKUP($A98,'Data Vlaue (Cr)'!$C:$FB,119)</f>
        <v>0.86</v>
      </c>
      <c r="Q98" s="75">
        <f>VLOOKUP($A98,'Data Vlaue (Cr)'!$C:$FB,122)*100</f>
        <v>48.28</v>
      </c>
      <c r="R98" s="75">
        <f>VLOOKUP($A98,'Data Vlaue (Cr)'!$C:$FB,125)</f>
        <v>1.01</v>
      </c>
      <c r="S98" s="75">
        <f>VLOOKUP($A98,'Data Vlaue (Cr)'!$C:$FB,128)*100</f>
        <v>48.53</v>
      </c>
    </row>
    <row r="99" spans="1:19" x14ac:dyDescent="0.25">
      <c r="A99" s="96" t="str">
        <f>'Data Vlaue (Cr)'!C90</f>
        <v>HINDCOPPER</v>
      </c>
      <c r="B99" s="75">
        <f>VLOOKUP($A99,'Data Vlaue (Cr)'!$C:$FB,2)</f>
        <v>2650</v>
      </c>
      <c r="C99" s="75">
        <f>VLOOKUP($A99,'Data Vlaue (Cr)'!$C:$FB,8)</f>
        <v>243.35</v>
      </c>
      <c r="D99" s="75">
        <f>VLOOKUP($A99,'Data Vlaue (Cr)'!$C:$FB,4)</f>
        <v>0</v>
      </c>
      <c r="E99" s="75">
        <f>VLOOKUP($A99,'Data Vlaue (Cr)'!$C:$FB,5)</f>
        <v>0</v>
      </c>
      <c r="F99" s="75">
        <f t="shared" si="6"/>
        <v>-243.35</v>
      </c>
      <c r="G99" s="75" t="e">
        <f t="shared" si="7"/>
        <v>#DIV/0!</v>
      </c>
      <c r="H99" s="75">
        <f>VLOOKUP($A99,'Data Vlaue (Cr)'!$C:$FB,99)</f>
        <v>0</v>
      </c>
      <c r="I99" s="75">
        <f>VLOOKUP($A99,'Data Vlaue (Cr)'!$C:$FB,100)</f>
        <v>0</v>
      </c>
      <c r="J99" s="75">
        <f t="shared" si="8"/>
        <v>0</v>
      </c>
      <c r="K99" s="75" t="e">
        <f t="shared" si="9"/>
        <v>#DIV/0!</v>
      </c>
      <c r="L99" s="75">
        <f>VLOOKUP($A99,'Data Vlaue (Cr)'!$C:$FB,67)</f>
        <v>0</v>
      </c>
      <c r="M99" s="75">
        <f>VLOOKUP($A99,'Data Vlaue (Cr)'!$C:$FB,68)</f>
        <v>0</v>
      </c>
      <c r="N99" s="75">
        <f t="shared" si="10"/>
        <v>0</v>
      </c>
      <c r="O99" s="75" t="e">
        <f t="shared" si="11"/>
        <v>#DIV/0!</v>
      </c>
      <c r="P99" s="75">
        <f>VLOOKUP($A99,'Data Vlaue (Cr)'!$C:$FB,119)</f>
        <v>0.42</v>
      </c>
      <c r="Q99" s="75">
        <f>VLOOKUP($A99,'Data Vlaue (Cr)'!$C:$FB,122)*100</f>
        <v>-17.649999999999999</v>
      </c>
      <c r="R99" s="75">
        <f>VLOOKUP($A99,'Data Vlaue (Cr)'!$C:$FB,125)</f>
        <v>1.1000000000000001</v>
      </c>
      <c r="S99" s="75">
        <f>VLOOKUP($A99,'Data Vlaue (Cr)'!$C:$FB,128)*100</f>
        <v>115.69</v>
      </c>
    </row>
    <row r="100" spans="1:19" x14ac:dyDescent="0.25">
      <c r="A100" s="96" t="str">
        <f>'Data Vlaue (Cr)'!C91</f>
        <v>HINDPETRO</v>
      </c>
      <c r="B100" s="75">
        <f>VLOOKUP($A100,'Data Vlaue (Cr)'!$C:$FB,2)</f>
        <v>2025</v>
      </c>
      <c r="C100" s="75">
        <f>VLOOKUP($A100,'Data Vlaue (Cr)'!$C:$FB,8)</f>
        <v>418.45</v>
      </c>
      <c r="D100" s="75">
        <f>VLOOKUP($A100,'Data Vlaue (Cr)'!$C:$FB,4)</f>
        <v>418.45</v>
      </c>
      <c r="E100" s="75">
        <f>VLOOKUP($A100,'Data Vlaue (Cr)'!$C:$FB,5)</f>
        <v>428.75</v>
      </c>
      <c r="F100" s="75">
        <f t="shared" si="6"/>
        <v>0</v>
      </c>
      <c r="G100" s="75">
        <f t="shared" si="7"/>
        <v>-2.4614649300991784</v>
      </c>
      <c r="H100" s="75">
        <f>VLOOKUP($A100,'Data Vlaue (Cr)'!$C:$FB,99)</f>
        <v>2671</v>
      </c>
      <c r="I100" s="75">
        <f>VLOOKUP($A100,'Data Vlaue (Cr)'!$C:$FB,100)</f>
        <v>3777</v>
      </c>
      <c r="J100" s="75">
        <f t="shared" si="8"/>
        <v>-1106</v>
      </c>
      <c r="K100" s="75">
        <f t="shared" si="9"/>
        <v>-41.407712467240728</v>
      </c>
      <c r="L100" s="75">
        <f>VLOOKUP($A100,'Data Vlaue (Cr)'!$C:$FB,67)</f>
        <v>2973</v>
      </c>
      <c r="M100" s="75">
        <f>VLOOKUP($A100,'Data Vlaue (Cr)'!$C:$FB,68)</f>
        <v>5661</v>
      </c>
      <c r="N100" s="75">
        <f t="shared" si="10"/>
        <v>-2688</v>
      </c>
      <c r="O100" s="75">
        <f t="shared" si="11"/>
        <v>-90.413723511604445</v>
      </c>
      <c r="P100" s="75">
        <f>VLOOKUP($A100,'Data Vlaue (Cr)'!$C:$FB,119)</f>
        <v>0.96</v>
      </c>
      <c r="Q100" s="75">
        <f>VLOOKUP($A100,'Data Vlaue (Cr)'!$C:$FB,122)*100</f>
        <v>41.18</v>
      </c>
      <c r="R100" s="75">
        <f>VLOOKUP($A100,'Data Vlaue (Cr)'!$C:$FB,125)</f>
        <v>0.56999999999999995</v>
      </c>
      <c r="S100" s="75">
        <f>VLOOKUP($A100,'Data Vlaue (Cr)'!$C:$FB,128)*100</f>
        <v>23.91</v>
      </c>
    </row>
    <row r="101" spans="1:19" x14ac:dyDescent="0.25">
      <c r="A101" s="96" t="str">
        <f>'Data Vlaue (Cr)'!C92</f>
        <v>HINDUNILVR</v>
      </c>
      <c r="B101" s="75">
        <f>VLOOKUP($A101,'Data Vlaue (Cr)'!$C:$FB,2)</f>
        <v>300</v>
      </c>
      <c r="C101" s="75">
        <f>VLOOKUP($A101,'Data Vlaue (Cr)'!$C:$FB,8)</f>
        <v>2521.1999999999998</v>
      </c>
      <c r="D101" s="75">
        <f>VLOOKUP($A101,'Data Vlaue (Cr)'!$C:$FB,4)</f>
        <v>2532.5</v>
      </c>
      <c r="E101" s="75">
        <f>VLOOKUP($A101,'Data Vlaue (Cr)'!$C:$FB,5)</f>
        <v>2450.8000000000002</v>
      </c>
      <c r="F101" s="75">
        <f t="shared" si="6"/>
        <v>11.300000000000182</v>
      </c>
      <c r="G101" s="75">
        <f t="shared" si="7"/>
        <v>3.2260612043435271</v>
      </c>
      <c r="H101" s="75">
        <f>VLOOKUP($A101,'Data Vlaue (Cr)'!$C:$FB,99)</f>
        <v>5574</v>
      </c>
      <c r="I101" s="75">
        <f>VLOOKUP($A101,'Data Vlaue (Cr)'!$C:$FB,100)</f>
        <v>8459</v>
      </c>
      <c r="J101" s="75">
        <f t="shared" si="8"/>
        <v>-2885</v>
      </c>
      <c r="K101" s="75">
        <f t="shared" si="9"/>
        <v>-51.758162899174742</v>
      </c>
      <c r="L101" s="75">
        <f>VLOOKUP($A101,'Data Vlaue (Cr)'!$C:$FB,67)</f>
        <v>28032</v>
      </c>
      <c r="M101" s="75">
        <f>VLOOKUP($A101,'Data Vlaue (Cr)'!$C:$FB,68)</f>
        <v>10687</v>
      </c>
      <c r="N101" s="75">
        <f t="shared" si="10"/>
        <v>17345</v>
      </c>
      <c r="O101" s="75">
        <f t="shared" si="11"/>
        <v>61.875713470319639</v>
      </c>
      <c r="P101" s="75">
        <f>VLOOKUP($A101,'Data Vlaue (Cr)'!$C:$FB,119)</f>
        <v>0.94</v>
      </c>
      <c r="Q101" s="75">
        <f>VLOOKUP($A101,'Data Vlaue (Cr)'!$C:$FB,122)*100</f>
        <v>36.230000000000004</v>
      </c>
      <c r="R101" s="75">
        <f>VLOOKUP($A101,'Data Vlaue (Cr)'!$C:$FB,125)</f>
        <v>0.44</v>
      </c>
      <c r="S101" s="75">
        <f>VLOOKUP($A101,'Data Vlaue (Cr)'!$C:$FB,128)*100</f>
        <v>-37.14</v>
      </c>
    </row>
    <row r="102" spans="1:19" x14ac:dyDescent="0.25">
      <c r="A102" s="96" t="str">
        <f>'Data Vlaue (Cr)'!C93</f>
        <v>HINDZINC</v>
      </c>
      <c r="B102" s="75">
        <f>VLOOKUP($A102,'Data Vlaue (Cr)'!$C:$FB,2)</f>
        <v>1225</v>
      </c>
      <c r="C102" s="75">
        <f>VLOOKUP($A102,'Data Vlaue (Cr)'!$C:$FB,8)</f>
        <v>424.05</v>
      </c>
      <c r="D102" s="75">
        <f>VLOOKUP($A102,'Data Vlaue (Cr)'!$C:$FB,4)</f>
        <v>426.7</v>
      </c>
      <c r="E102" s="75">
        <f>VLOOKUP($A102,'Data Vlaue (Cr)'!$C:$FB,5)</f>
        <v>434.7</v>
      </c>
      <c r="F102" s="75">
        <f t="shared" si="6"/>
        <v>2.6499999999999773</v>
      </c>
      <c r="G102" s="75">
        <f t="shared" si="7"/>
        <v>-1.8748535270681976</v>
      </c>
      <c r="H102" s="75">
        <f>VLOOKUP($A102,'Data Vlaue (Cr)'!$C:$FB,99)</f>
        <v>1784</v>
      </c>
      <c r="I102" s="75">
        <f>VLOOKUP($A102,'Data Vlaue (Cr)'!$C:$FB,100)</f>
        <v>2693</v>
      </c>
      <c r="J102" s="75">
        <f t="shared" si="8"/>
        <v>-909</v>
      </c>
      <c r="K102" s="75">
        <f t="shared" si="9"/>
        <v>-50.952914798206287</v>
      </c>
      <c r="L102" s="75">
        <f>VLOOKUP($A102,'Data Vlaue (Cr)'!$C:$FB,67)</f>
        <v>1488</v>
      </c>
      <c r="M102" s="75">
        <f>VLOOKUP($A102,'Data Vlaue (Cr)'!$C:$FB,68)</f>
        <v>1211</v>
      </c>
      <c r="N102" s="75">
        <f t="shared" si="10"/>
        <v>277</v>
      </c>
      <c r="O102" s="75">
        <f t="shared" si="11"/>
        <v>18.615591397849464</v>
      </c>
      <c r="P102" s="75">
        <f>VLOOKUP($A102,'Data Vlaue (Cr)'!$C:$FB,119)</f>
        <v>0.7</v>
      </c>
      <c r="Q102" s="75">
        <f>VLOOKUP($A102,'Data Vlaue (Cr)'!$C:$FB,122)*100</f>
        <v>11.110000000000001</v>
      </c>
      <c r="R102" s="75">
        <f>VLOOKUP($A102,'Data Vlaue (Cr)'!$C:$FB,125)</f>
        <v>0.77</v>
      </c>
      <c r="S102" s="75">
        <f>VLOOKUP($A102,'Data Vlaue (Cr)'!$C:$FB,128)*100</f>
        <v>57.14</v>
      </c>
    </row>
    <row r="103" spans="1:19" x14ac:dyDescent="0.25">
      <c r="A103" s="96" t="str">
        <f>'Data Vlaue (Cr)'!C94</f>
        <v>HUDCO</v>
      </c>
      <c r="B103" s="75">
        <f>VLOOKUP($A103,'Data Vlaue (Cr)'!$C:$FB,2)</f>
        <v>2775</v>
      </c>
      <c r="C103" s="75">
        <f>VLOOKUP($A103,'Data Vlaue (Cr)'!$C:$FB,8)</f>
        <v>212.27</v>
      </c>
      <c r="D103" s="75">
        <f>VLOOKUP($A103,'Data Vlaue (Cr)'!$C:$FB,4)</f>
        <v>212.15</v>
      </c>
      <c r="E103" s="75">
        <f>VLOOKUP($A103,'Data Vlaue (Cr)'!$C:$FB,5)</f>
        <v>216.96</v>
      </c>
      <c r="F103" s="75">
        <f t="shared" si="6"/>
        <v>-0.12000000000000455</v>
      </c>
      <c r="G103" s="75">
        <f t="shared" si="7"/>
        <v>-2.2672637284939912</v>
      </c>
      <c r="H103" s="75">
        <f>VLOOKUP($A103,'Data Vlaue (Cr)'!$C:$FB,99)</f>
        <v>893</v>
      </c>
      <c r="I103" s="75">
        <f>VLOOKUP($A103,'Data Vlaue (Cr)'!$C:$FB,100)</f>
        <v>1297</v>
      </c>
      <c r="J103" s="75">
        <f t="shared" si="8"/>
        <v>-404</v>
      </c>
      <c r="K103" s="75">
        <f t="shared" si="9"/>
        <v>-45.240761478163492</v>
      </c>
      <c r="L103" s="75">
        <f>VLOOKUP($A103,'Data Vlaue (Cr)'!$C:$FB,67)</f>
        <v>1014</v>
      </c>
      <c r="M103" s="75">
        <f>VLOOKUP($A103,'Data Vlaue (Cr)'!$C:$FB,68)</f>
        <v>980</v>
      </c>
      <c r="N103" s="75">
        <f t="shared" si="10"/>
        <v>34</v>
      </c>
      <c r="O103" s="75">
        <f t="shared" si="11"/>
        <v>3.3530571992110452</v>
      </c>
      <c r="P103" s="75">
        <f>VLOOKUP($A103,'Data Vlaue (Cr)'!$C:$FB,119)</f>
        <v>0.81</v>
      </c>
      <c r="Q103" s="75">
        <f>VLOOKUP($A103,'Data Vlaue (Cr)'!$C:$FB,122)*100</f>
        <v>32.79</v>
      </c>
      <c r="R103" s="75">
        <f>VLOOKUP($A103,'Data Vlaue (Cr)'!$C:$FB,125)</f>
        <v>0.55000000000000004</v>
      </c>
      <c r="S103" s="75">
        <f>VLOOKUP($A103,'Data Vlaue (Cr)'!$C:$FB,128)*100</f>
        <v>-12.7</v>
      </c>
    </row>
    <row r="104" spans="1:19" x14ac:dyDescent="0.25">
      <c r="A104" s="96" t="str">
        <f>'Data Vlaue (Cr)'!C95</f>
        <v>ICICIBANK</v>
      </c>
      <c r="B104" s="75">
        <f>VLOOKUP($A104,'Data Vlaue (Cr)'!$C:$FB,2)</f>
        <v>700</v>
      </c>
      <c r="C104" s="75">
        <f>VLOOKUP($A104,'Data Vlaue (Cr)'!$C:$FB,8)</f>
        <v>1481.4</v>
      </c>
      <c r="D104" s="75">
        <f>VLOOKUP($A104,'Data Vlaue (Cr)'!$C:$FB,4)</f>
        <v>1477.4</v>
      </c>
      <c r="E104" s="75">
        <f>VLOOKUP($A104,'Data Vlaue (Cr)'!$C:$FB,5)</f>
        <v>1477.6</v>
      </c>
      <c r="F104" s="75">
        <f t="shared" si="6"/>
        <v>-4</v>
      </c>
      <c r="G104" s="75">
        <f t="shared" si="7"/>
        <v>-1.3537295248397056E-2</v>
      </c>
      <c r="H104" s="75">
        <f>VLOOKUP($A104,'Data Vlaue (Cr)'!$C:$FB,99)</f>
        <v>15985</v>
      </c>
      <c r="I104" s="75">
        <f>VLOOKUP($A104,'Data Vlaue (Cr)'!$C:$FB,100)</f>
        <v>20291</v>
      </c>
      <c r="J104" s="75">
        <f t="shared" si="8"/>
        <v>-4306</v>
      </c>
      <c r="K104" s="75">
        <f t="shared" si="9"/>
        <v>-26.937754144510478</v>
      </c>
      <c r="L104" s="75">
        <f>VLOOKUP($A104,'Data Vlaue (Cr)'!$C:$FB,67)</f>
        <v>14638</v>
      </c>
      <c r="M104" s="75">
        <f>VLOOKUP($A104,'Data Vlaue (Cr)'!$C:$FB,68)</f>
        <v>12879</v>
      </c>
      <c r="N104" s="75">
        <f t="shared" si="10"/>
        <v>1759</v>
      </c>
      <c r="O104" s="75">
        <f t="shared" si="11"/>
        <v>12.016668943844788</v>
      </c>
      <c r="P104" s="75">
        <f>VLOOKUP($A104,'Data Vlaue (Cr)'!$C:$FB,119)</f>
        <v>1.01</v>
      </c>
      <c r="Q104" s="75">
        <f>VLOOKUP($A104,'Data Vlaue (Cr)'!$C:$FB,122)*100</f>
        <v>5.21</v>
      </c>
      <c r="R104" s="75">
        <f>VLOOKUP($A104,'Data Vlaue (Cr)'!$C:$FB,125)</f>
        <v>0.91</v>
      </c>
      <c r="S104" s="75">
        <f>VLOOKUP($A104,'Data Vlaue (Cr)'!$C:$FB,128)*100</f>
        <v>9.64</v>
      </c>
    </row>
    <row r="105" spans="1:19" x14ac:dyDescent="0.25">
      <c r="A105" s="96" t="str">
        <f>'Data Vlaue (Cr)'!C96</f>
        <v>ICICIGI</v>
      </c>
      <c r="B105" s="75">
        <f>VLOOKUP($A105,'Data Vlaue (Cr)'!$C:$FB,2)</f>
        <v>325</v>
      </c>
      <c r="C105" s="75">
        <f>VLOOKUP($A105,'Data Vlaue (Cr)'!$C:$FB,8)</f>
        <v>1927</v>
      </c>
      <c r="D105" s="75">
        <f>VLOOKUP($A105,'Data Vlaue (Cr)'!$C:$FB,4)</f>
        <v>1938.2</v>
      </c>
      <c r="E105" s="75">
        <f>VLOOKUP($A105,'Data Vlaue (Cr)'!$C:$FB,5)</f>
        <v>1926</v>
      </c>
      <c r="F105" s="75">
        <f t="shared" si="6"/>
        <v>11.200000000000045</v>
      </c>
      <c r="G105" s="75">
        <f t="shared" si="7"/>
        <v>0.62945000515942862</v>
      </c>
      <c r="H105" s="75">
        <f>VLOOKUP($A105,'Data Vlaue (Cr)'!$C:$FB,99)</f>
        <v>1066</v>
      </c>
      <c r="I105" s="75">
        <f>VLOOKUP($A105,'Data Vlaue (Cr)'!$C:$FB,100)</f>
        <v>1571</v>
      </c>
      <c r="J105" s="75">
        <f t="shared" si="8"/>
        <v>-505</v>
      </c>
      <c r="K105" s="75">
        <f t="shared" si="9"/>
        <v>-47.373358348968104</v>
      </c>
      <c r="L105" s="75">
        <f>VLOOKUP($A105,'Data Vlaue (Cr)'!$C:$FB,67)</f>
        <v>788</v>
      </c>
      <c r="M105" s="75">
        <f>VLOOKUP($A105,'Data Vlaue (Cr)'!$C:$FB,68)</f>
        <v>732</v>
      </c>
      <c r="N105" s="75">
        <f t="shared" si="10"/>
        <v>56</v>
      </c>
      <c r="O105" s="75">
        <f t="shared" si="11"/>
        <v>7.1065989847715745</v>
      </c>
      <c r="P105" s="75">
        <f>VLOOKUP($A105,'Data Vlaue (Cr)'!$C:$FB,119)</f>
        <v>0.94</v>
      </c>
      <c r="Q105" s="75">
        <f>VLOOKUP($A105,'Data Vlaue (Cr)'!$C:$FB,122)*100</f>
        <v>104.35000000000001</v>
      </c>
      <c r="R105" s="75">
        <f>VLOOKUP($A105,'Data Vlaue (Cr)'!$C:$FB,125)</f>
        <v>0.54</v>
      </c>
      <c r="S105" s="75">
        <f>VLOOKUP($A105,'Data Vlaue (Cr)'!$C:$FB,128)*100</f>
        <v>80</v>
      </c>
    </row>
    <row r="106" spans="1:19" x14ac:dyDescent="0.25">
      <c r="A106" s="96" t="str">
        <f>'Data Vlaue (Cr)'!C97</f>
        <v>ICICIPRULI</v>
      </c>
      <c r="B106" s="75">
        <f>VLOOKUP($A106,'Data Vlaue (Cr)'!$C:$FB,2)</f>
        <v>925</v>
      </c>
      <c r="C106" s="75">
        <f>VLOOKUP($A106,'Data Vlaue (Cr)'!$C:$FB,8)</f>
        <v>615.95000000000005</v>
      </c>
      <c r="D106" s="75">
        <f>VLOOKUP($A106,'Data Vlaue (Cr)'!$C:$FB,4)</f>
        <v>618.29999999999995</v>
      </c>
      <c r="E106" s="75">
        <f>VLOOKUP($A106,'Data Vlaue (Cr)'!$C:$FB,5)</f>
        <v>622.5</v>
      </c>
      <c r="F106" s="75">
        <f t="shared" si="6"/>
        <v>2.3499999999999091</v>
      </c>
      <c r="G106" s="75">
        <f t="shared" si="7"/>
        <v>-0.67928190198933291</v>
      </c>
      <c r="H106" s="75">
        <f>VLOOKUP($A106,'Data Vlaue (Cr)'!$C:$FB,99)</f>
        <v>976</v>
      </c>
      <c r="I106" s="75">
        <f>VLOOKUP($A106,'Data Vlaue (Cr)'!$C:$FB,100)</f>
        <v>1563</v>
      </c>
      <c r="J106" s="75">
        <f t="shared" si="8"/>
        <v>-587</v>
      </c>
      <c r="K106" s="75">
        <f t="shared" si="9"/>
        <v>-60.143442622950815</v>
      </c>
      <c r="L106" s="75">
        <f>VLOOKUP($A106,'Data Vlaue (Cr)'!$C:$FB,67)</f>
        <v>470</v>
      </c>
      <c r="M106" s="75">
        <f>VLOOKUP($A106,'Data Vlaue (Cr)'!$C:$FB,68)</f>
        <v>802</v>
      </c>
      <c r="N106" s="75">
        <f t="shared" si="10"/>
        <v>-332</v>
      </c>
      <c r="O106" s="75">
        <f t="shared" si="11"/>
        <v>-70.638297872340431</v>
      </c>
      <c r="P106" s="75">
        <f>VLOOKUP($A106,'Data Vlaue (Cr)'!$C:$FB,119)</f>
        <v>0.84</v>
      </c>
      <c r="Q106" s="75">
        <f>VLOOKUP($A106,'Data Vlaue (Cr)'!$C:$FB,122)*100</f>
        <v>104.88</v>
      </c>
      <c r="R106" s="75">
        <f>VLOOKUP($A106,'Data Vlaue (Cr)'!$C:$FB,125)</f>
        <v>0.45</v>
      </c>
      <c r="S106" s="75">
        <f>VLOOKUP($A106,'Data Vlaue (Cr)'!$C:$FB,128)*100</f>
        <v>18.420000000000002</v>
      </c>
    </row>
    <row r="107" spans="1:19" x14ac:dyDescent="0.25">
      <c r="A107" s="96" t="str">
        <f>'Data Vlaue (Cr)'!C98</f>
        <v>IDEA</v>
      </c>
      <c r="B107" s="75">
        <f>VLOOKUP($A107,'Data Vlaue (Cr)'!$C:$FB,2)</f>
        <v>71475</v>
      </c>
      <c r="C107" s="75">
        <f>VLOOKUP($A107,'Data Vlaue (Cr)'!$C:$FB,8)</f>
        <v>6.91</v>
      </c>
      <c r="D107" s="75">
        <f>VLOOKUP($A107,'Data Vlaue (Cr)'!$C:$FB,4)</f>
        <v>6.93</v>
      </c>
      <c r="E107" s="75">
        <f>VLOOKUP($A107,'Data Vlaue (Cr)'!$C:$FB,5)</f>
        <v>7.05</v>
      </c>
      <c r="F107" s="75">
        <f t="shared" si="6"/>
        <v>1.9999999999999574E-2</v>
      </c>
      <c r="G107" s="75">
        <f t="shared" si="7"/>
        <v>-1.7316017316017334</v>
      </c>
      <c r="H107" s="75">
        <f>VLOOKUP($A107,'Data Vlaue (Cr)'!$C:$FB,99)</f>
        <v>4422</v>
      </c>
      <c r="I107" s="75">
        <f>VLOOKUP($A107,'Data Vlaue (Cr)'!$C:$FB,100)</f>
        <v>5528</v>
      </c>
      <c r="J107" s="75">
        <f t="shared" si="8"/>
        <v>-1106</v>
      </c>
      <c r="K107" s="75">
        <f t="shared" si="9"/>
        <v>-25.011307100859341</v>
      </c>
      <c r="L107" s="75">
        <f>VLOOKUP($A107,'Data Vlaue (Cr)'!$C:$FB,67)</f>
        <v>1984</v>
      </c>
      <c r="M107" s="75">
        <f>VLOOKUP($A107,'Data Vlaue (Cr)'!$C:$FB,68)</f>
        <v>2662</v>
      </c>
      <c r="N107" s="75">
        <f t="shared" si="10"/>
        <v>-678</v>
      </c>
      <c r="O107" s="75">
        <f t="shared" si="11"/>
        <v>-34.173387096774192</v>
      </c>
      <c r="P107" s="75">
        <f>VLOOKUP($A107,'Data Vlaue (Cr)'!$C:$FB,119)</f>
        <v>0.85</v>
      </c>
      <c r="Q107" s="75">
        <f>VLOOKUP($A107,'Data Vlaue (Cr)'!$C:$FB,122)*100</f>
        <v>46.550000000000004</v>
      </c>
      <c r="R107" s="75">
        <f>VLOOKUP($A107,'Data Vlaue (Cr)'!$C:$FB,125)</f>
        <v>1.73</v>
      </c>
      <c r="S107" s="75">
        <f>VLOOKUP($A107,'Data Vlaue (Cr)'!$C:$FB,128)*100</f>
        <v>232.69000000000003</v>
      </c>
    </row>
    <row r="108" spans="1:19" x14ac:dyDescent="0.25">
      <c r="A108" s="96" t="str">
        <f>'Data Vlaue (Cr)'!C99</f>
        <v>IDFCFIRSTB</v>
      </c>
      <c r="B108" s="75">
        <f>VLOOKUP($A108,'Data Vlaue (Cr)'!$C:$FB,2)</f>
        <v>9275</v>
      </c>
      <c r="C108" s="75">
        <f>VLOOKUP($A108,'Data Vlaue (Cr)'!$C:$FB,8)</f>
        <v>68.760000000000005</v>
      </c>
      <c r="D108" s="75">
        <f>VLOOKUP($A108,'Data Vlaue (Cr)'!$C:$FB,4)</f>
        <v>69.150000000000006</v>
      </c>
      <c r="E108" s="75">
        <f>VLOOKUP($A108,'Data Vlaue (Cr)'!$C:$FB,5)</f>
        <v>69.67</v>
      </c>
      <c r="F108" s="75">
        <f t="shared" si="6"/>
        <v>0.39000000000000057</v>
      </c>
      <c r="G108" s="75">
        <f t="shared" si="7"/>
        <v>-0.75198843094721035</v>
      </c>
      <c r="H108" s="75">
        <f>VLOOKUP($A108,'Data Vlaue (Cr)'!$C:$FB,99)</f>
        <v>3346</v>
      </c>
      <c r="I108" s="75">
        <f>VLOOKUP($A108,'Data Vlaue (Cr)'!$C:$FB,100)</f>
        <v>4449</v>
      </c>
      <c r="J108" s="75">
        <f t="shared" si="8"/>
        <v>-1103</v>
      </c>
      <c r="K108" s="75">
        <f t="shared" si="9"/>
        <v>-32.964734010759116</v>
      </c>
      <c r="L108" s="75">
        <f>VLOOKUP($A108,'Data Vlaue (Cr)'!$C:$FB,67)</f>
        <v>1878</v>
      </c>
      <c r="M108" s="75">
        <f>VLOOKUP($A108,'Data Vlaue (Cr)'!$C:$FB,68)</f>
        <v>2230</v>
      </c>
      <c r="N108" s="75">
        <f t="shared" si="10"/>
        <v>-352</v>
      </c>
      <c r="O108" s="75">
        <f t="shared" si="11"/>
        <v>-18.743343982960596</v>
      </c>
      <c r="P108" s="75">
        <f>VLOOKUP($A108,'Data Vlaue (Cr)'!$C:$FB,119)</f>
        <v>0.74</v>
      </c>
      <c r="Q108" s="75">
        <f>VLOOKUP($A108,'Data Vlaue (Cr)'!$C:$FB,122)*100</f>
        <v>32.14</v>
      </c>
      <c r="R108" s="75">
        <f>VLOOKUP($A108,'Data Vlaue (Cr)'!$C:$FB,125)</f>
        <v>1.05</v>
      </c>
      <c r="S108" s="75">
        <f>VLOOKUP($A108,'Data Vlaue (Cr)'!$C:$FB,128)*100</f>
        <v>1.94</v>
      </c>
    </row>
    <row r="109" spans="1:19" x14ac:dyDescent="0.25">
      <c r="A109" s="96" t="str">
        <f>'Data Vlaue (Cr)'!C100</f>
        <v>IEX</v>
      </c>
      <c r="B109" s="75">
        <f>VLOOKUP($A109,'Data Vlaue (Cr)'!$C:$FB,2)</f>
        <v>3750</v>
      </c>
      <c r="C109" s="75">
        <f>VLOOKUP($A109,'Data Vlaue (Cr)'!$C:$FB,8)</f>
        <v>135.30000000000001</v>
      </c>
      <c r="D109" s="75">
        <f>VLOOKUP($A109,'Data Vlaue (Cr)'!$C:$FB,4)</f>
        <v>136.07</v>
      </c>
      <c r="E109" s="75">
        <f>VLOOKUP($A109,'Data Vlaue (Cr)'!$C:$FB,5)</f>
        <v>136.59</v>
      </c>
      <c r="F109" s="75">
        <f t="shared" si="6"/>
        <v>0.76999999999998181</v>
      </c>
      <c r="G109" s="75">
        <f t="shared" si="7"/>
        <v>-0.38215624311017143</v>
      </c>
      <c r="H109" s="75">
        <f>VLOOKUP($A109,'Data Vlaue (Cr)'!$C:$FB,99)</f>
        <v>1078</v>
      </c>
      <c r="I109" s="75">
        <f>VLOOKUP($A109,'Data Vlaue (Cr)'!$C:$FB,100)</f>
        <v>2254</v>
      </c>
      <c r="J109" s="75">
        <f t="shared" si="8"/>
        <v>-1176</v>
      </c>
      <c r="K109" s="75">
        <f t="shared" si="9"/>
        <v>-109.09090909090908</v>
      </c>
      <c r="L109" s="75">
        <f>VLOOKUP($A109,'Data Vlaue (Cr)'!$C:$FB,67)</f>
        <v>1810</v>
      </c>
      <c r="M109" s="75">
        <f>VLOOKUP($A109,'Data Vlaue (Cr)'!$C:$FB,68)</f>
        <v>1981</v>
      </c>
      <c r="N109" s="75">
        <f t="shared" si="10"/>
        <v>-171</v>
      </c>
      <c r="O109" s="75">
        <f t="shared" si="11"/>
        <v>-9.4475138121546962</v>
      </c>
      <c r="P109" s="75">
        <f>VLOOKUP($A109,'Data Vlaue (Cr)'!$C:$FB,119)</f>
        <v>0.81</v>
      </c>
      <c r="Q109" s="75">
        <f>VLOOKUP($A109,'Data Vlaue (Cr)'!$C:$FB,122)*100</f>
        <v>-31.36</v>
      </c>
      <c r="R109" s="75">
        <f>VLOOKUP($A109,'Data Vlaue (Cr)'!$C:$FB,125)</f>
        <v>0.54</v>
      </c>
      <c r="S109" s="75">
        <f>VLOOKUP($A109,'Data Vlaue (Cr)'!$C:$FB,128)*100</f>
        <v>-10</v>
      </c>
    </row>
    <row r="110" spans="1:19" x14ac:dyDescent="0.25">
      <c r="A110" s="96" t="str">
        <f>'Data Vlaue (Cr)'!C101</f>
        <v>IGL</v>
      </c>
      <c r="B110" s="75">
        <f>VLOOKUP($A110,'Data Vlaue (Cr)'!$C:$FB,2)</f>
        <v>2750</v>
      </c>
      <c r="C110" s="75">
        <f>VLOOKUP($A110,'Data Vlaue (Cr)'!$C:$FB,8)</f>
        <v>205.05</v>
      </c>
      <c r="D110" s="75">
        <f>VLOOKUP($A110,'Data Vlaue (Cr)'!$C:$FB,4)</f>
        <v>203.9</v>
      </c>
      <c r="E110" s="75">
        <f>VLOOKUP($A110,'Data Vlaue (Cr)'!$C:$FB,5)</f>
        <v>203.05</v>
      </c>
      <c r="F110" s="75">
        <f t="shared" si="6"/>
        <v>-1.1500000000000057</v>
      </c>
      <c r="G110" s="75">
        <f t="shared" si="7"/>
        <v>0.41687101520352837</v>
      </c>
      <c r="H110" s="75">
        <f>VLOOKUP($A110,'Data Vlaue (Cr)'!$C:$FB,99)</f>
        <v>535</v>
      </c>
      <c r="I110" s="75">
        <f>VLOOKUP($A110,'Data Vlaue (Cr)'!$C:$FB,100)</f>
        <v>949</v>
      </c>
      <c r="J110" s="75">
        <f t="shared" si="8"/>
        <v>-414</v>
      </c>
      <c r="K110" s="75">
        <f t="shared" si="9"/>
        <v>-77.383177570093451</v>
      </c>
      <c r="L110" s="75">
        <f>VLOOKUP($A110,'Data Vlaue (Cr)'!$C:$FB,67)</f>
        <v>1329</v>
      </c>
      <c r="M110" s="75">
        <f>VLOOKUP($A110,'Data Vlaue (Cr)'!$C:$FB,68)</f>
        <v>945</v>
      </c>
      <c r="N110" s="75">
        <f t="shared" si="10"/>
        <v>384</v>
      </c>
      <c r="O110" s="75">
        <f t="shared" si="11"/>
        <v>28.893905191873586</v>
      </c>
      <c r="P110" s="75">
        <f>VLOOKUP($A110,'Data Vlaue (Cr)'!$C:$FB,119)</f>
        <v>0.62</v>
      </c>
      <c r="Q110" s="75">
        <f>VLOOKUP($A110,'Data Vlaue (Cr)'!$C:$FB,122)*100</f>
        <v>6.9</v>
      </c>
      <c r="R110" s="75">
        <f>VLOOKUP($A110,'Data Vlaue (Cr)'!$C:$FB,125)</f>
        <v>0.51</v>
      </c>
      <c r="S110" s="75">
        <f>VLOOKUP($A110,'Data Vlaue (Cr)'!$C:$FB,128)*100</f>
        <v>-28.17</v>
      </c>
    </row>
    <row r="111" spans="1:19" x14ac:dyDescent="0.25">
      <c r="A111" s="96" t="str">
        <f>'Data Vlaue (Cr)'!C102</f>
        <v>IIFL</v>
      </c>
      <c r="B111" s="75">
        <f>VLOOKUP($A111,'Data Vlaue (Cr)'!$C:$FB,2)</f>
        <v>1650</v>
      </c>
      <c r="C111" s="75">
        <f>VLOOKUP($A111,'Data Vlaue (Cr)'!$C:$FB,8)</f>
        <v>477.95</v>
      </c>
      <c r="D111" s="75">
        <f>VLOOKUP($A111,'Data Vlaue (Cr)'!$C:$FB,4)</f>
        <v>478.7</v>
      </c>
      <c r="E111" s="75">
        <f>VLOOKUP($A111,'Data Vlaue (Cr)'!$C:$FB,5)</f>
        <v>506.25</v>
      </c>
      <c r="F111" s="75">
        <f t="shared" si="6"/>
        <v>0.75</v>
      </c>
      <c r="G111" s="75">
        <f t="shared" si="7"/>
        <v>-5.7551702527679156</v>
      </c>
      <c r="H111" s="75">
        <f>VLOOKUP($A111,'Data Vlaue (Cr)'!$C:$FB,99)</f>
        <v>803</v>
      </c>
      <c r="I111" s="75">
        <f>VLOOKUP($A111,'Data Vlaue (Cr)'!$C:$FB,100)</f>
        <v>1059</v>
      </c>
      <c r="J111" s="75">
        <f t="shared" si="8"/>
        <v>-256</v>
      </c>
      <c r="K111" s="75">
        <f t="shared" si="9"/>
        <v>-31.880448318804483</v>
      </c>
      <c r="L111" s="75">
        <f>VLOOKUP($A111,'Data Vlaue (Cr)'!$C:$FB,67)</f>
        <v>1441</v>
      </c>
      <c r="M111" s="75">
        <f>VLOOKUP($A111,'Data Vlaue (Cr)'!$C:$FB,68)</f>
        <v>880</v>
      </c>
      <c r="N111" s="75">
        <f t="shared" si="10"/>
        <v>561</v>
      </c>
      <c r="O111" s="75">
        <f t="shared" si="11"/>
        <v>38.931297709923662</v>
      </c>
      <c r="P111" s="75">
        <f>VLOOKUP($A111,'Data Vlaue (Cr)'!$C:$FB,119)</f>
        <v>0.61</v>
      </c>
      <c r="Q111" s="75">
        <f>VLOOKUP($A111,'Data Vlaue (Cr)'!$C:$FB,122)*100</f>
        <v>-26.51</v>
      </c>
      <c r="R111" s="75">
        <f>VLOOKUP($A111,'Data Vlaue (Cr)'!$C:$FB,125)</f>
        <v>0.89</v>
      </c>
      <c r="S111" s="75">
        <f>VLOOKUP($A111,'Data Vlaue (Cr)'!$C:$FB,128)*100</f>
        <v>23.61</v>
      </c>
    </row>
    <row r="112" spans="1:19" x14ac:dyDescent="0.25">
      <c r="A112" s="96" t="str">
        <f>'Data Vlaue (Cr)'!C103</f>
        <v>INDHOTEL</v>
      </c>
      <c r="B112" s="75">
        <f>VLOOKUP($A112,'Data Vlaue (Cr)'!$C:$FB,2)</f>
        <v>1000</v>
      </c>
      <c r="C112" s="75">
        <f>VLOOKUP($A112,'Data Vlaue (Cr)'!$C:$FB,8)</f>
        <v>740.75</v>
      </c>
      <c r="D112" s="75">
        <f>VLOOKUP($A112,'Data Vlaue (Cr)'!$C:$FB,4)</f>
        <v>743.2</v>
      </c>
      <c r="E112" s="75">
        <f>VLOOKUP($A112,'Data Vlaue (Cr)'!$C:$FB,5)</f>
        <v>748.05</v>
      </c>
      <c r="F112" s="75">
        <f t="shared" si="6"/>
        <v>2.4500000000000455</v>
      </c>
      <c r="G112" s="75">
        <f t="shared" si="7"/>
        <v>-0.65258342303550987</v>
      </c>
      <c r="H112" s="75">
        <f>VLOOKUP($A112,'Data Vlaue (Cr)'!$C:$FB,99)</f>
        <v>2545</v>
      </c>
      <c r="I112" s="75">
        <f>VLOOKUP($A112,'Data Vlaue (Cr)'!$C:$FB,100)</f>
        <v>3209</v>
      </c>
      <c r="J112" s="75">
        <f t="shared" si="8"/>
        <v>-664</v>
      </c>
      <c r="K112" s="75">
        <f t="shared" si="9"/>
        <v>-26.090373280943023</v>
      </c>
      <c r="L112" s="75">
        <f>VLOOKUP($A112,'Data Vlaue (Cr)'!$C:$FB,67)</f>
        <v>1820</v>
      </c>
      <c r="M112" s="75">
        <f>VLOOKUP($A112,'Data Vlaue (Cr)'!$C:$FB,68)</f>
        <v>1756</v>
      </c>
      <c r="N112" s="75">
        <f t="shared" si="10"/>
        <v>64</v>
      </c>
      <c r="O112" s="75">
        <f t="shared" si="11"/>
        <v>3.5164835164835164</v>
      </c>
      <c r="P112" s="75">
        <f>VLOOKUP($A112,'Data Vlaue (Cr)'!$C:$FB,119)</f>
        <v>0.79</v>
      </c>
      <c r="Q112" s="75">
        <f>VLOOKUP($A112,'Data Vlaue (Cr)'!$C:$FB,122)*100</f>
        <v>12.86</v>
      </c>
      <c r="R112" s="75">
        <f>VLOOKUP($A112,'Data Vlaue (Cr)'!$C:$FB,125)</f>
        <v>0.75</v>
      </c>
      <c r="S112" s="75">
        <f>VLOOKUP($A112,'Data Vlaue (Cr)'!$C:$FB,128)*100</f>
        <v>97.37</v>
      </c>
    </row>
    <row r="113" spans="1:19" x14ac:dyDescent="0.25">
      <c r="A113" s="96" t="str">
        <f>'Data Vlaue (Cr)'!C104</f>
        <v>INDIANB</v>
      </c>
      <c r="B113" s="75">
        <f>VLOOKUP($A113,'Data Vlaue (Cr)'!$C:$FB,2)</f>
        <v>1000</v>
      </c>
      <c r="C113" s="75">
        <f>VLOOKUP($A113,'Data Vlaue (Cr)'!$C:$FB,8)</f>
        <v>621.70000000000005</v>
      </c>
      <c r="D113" s="75">
        <f>VLOOKUP($A113,'Data Vlaue (Cr)'!$C:$FB,4)</f>
        <v>622.6</v>
      </c>
      <c r="E113" s="75">
        <f>VLOOKUP($A113,'Data Vlaue (Cr)'!$C:$FB,5)</f>
        <v>618.20000000000005</v>
      </c>
      <c r="F113" s="75">
        <f t="shared" si="6"/>
        <v>0.89999999999997726</v>
      </c>
      <c r="G113" s="75">
        <f t="shared" si="7"/>
        <v>0.70671378091872428</v>
      </c>
      <c r="H113" s="75">
        <f>VLOOKUP($A113,'Data Vlaue (Cr)'!$C:$FB,99)</f>
        <v>557</v>
      </c>
      <c r="I113" s="75">
        <f>VLOOKUP($A113,'Data Vlaue (Cr)'!$C:$FB,100)</f>
        <v>815</v>
      </c>
      <c r="J113" s="75">
        <f t="shared" si="8"/>
        <v>-258</v>
      </c>
      <c r="K113" s="75">
        <f t="shared" si="9"/>
        <v>-46.319569120287255</v>
      </c>
      <c r="L113" s="75">
        <f>VLOOKUP($A113,'Data Vlaue (Cr)'!$C:$FB,67)</f>
        <v>459</v>
      </c>
      <c r="M113" s="75">
        <f>VLOOKUP($A113,'Data Vlaue (Cr)'!$C:$FB,68)</f>
        <v>612</v>
      </c>
      <c r="N113" s="75">
        <f t="shared" si="10"/>
        <v>-153</v>
      </c>
      <c r="O113" s="75">
        <f t="shared" si="11"/>
        <v>-33.333333333333329</v>
      </c>
      <c r="P113" s="75">
        <f>VLOOKUP($A113,'Data Vlaue (Cr)'!$C:$FB,119)</f>
        <v>0.76</v>
      </c>
      <c r="Q113" s="75">
        <f>VLOOKUP($A113,'Data Vlaue (Cr)'!$C:$FB,122)*100</f>
        <v>10.14</v>
      </c>
      <c r="R113" s="75">
        <f>VLOOKUP($A113,'Data Vlaue (Cr)'!$C:$FB,125)</f>
        <v>0.64</v>
      </c>
      <c r="S113" s="75">
        <f>VLOOKUP($A113,'Data Vlaue (Cr)'!$C:$FB,128)*100</f>
        <v>33.33</v>
      </c>
    </row>
    <row r="114" spans="1:19" x14ac:dyDescent="0.25">
      <c r="A114" s="96" t="str">
        <f>'Data Vlaue (Cr)'!C105</f>
        <v>INDIAVIX</v>
      </c>
      <c r="B114" s="75">
        <f>VLOOKUP($A114,'Data Vlaue (Cr)'!$C:$FB,2)</f>
        <v>1</v>
      </c>
      <c r="C114" s="75">
        <f>VLOOKUP($A114,'Data Vlaue (Cr)'!$C:$FB,8)</f>
        <v>11.54</v>
      </c>
      <c r="D114" s="75">
        <f>VLOOKUP($A114,'Data Vlaue (Cr)'!$C:$FB,4)</f>
        <v>0</v>
      </c>
      <c r="E114" s="75">
        <f>VLOOKUP($A114,'Data Vlaue (Cr)'!$C:$FB,5)</f>
        <v>0</v>
      </c>
      <c r="F114" s="75">
        <f t="shared" si="6"/>
        <v>-11.54</v>
      </c>
      <c r="G114" s="75" t="e">
        <f t="shared" si="7"/>
        <v>#DIV/0!</v>
      </c>
      <c r="H114" s="75">
        <f>VLOOKUP($A114,'Data Vlaue (Cr)'!$C:$FB,99)</f>
        <v>0</v>
      </c>
      <c r="I114" s="75">
        <f>VLOOKUP($A114,'Data Vlaue (Cr)'!$C:$FB,100)</f>
        <v>0</v>
      </c>
      <c r="J114" s="75">
        <f t="shared" si="8"/>
        <v>0</v>
      </c>
      <c r="K114" s="75" t="e">
        <f t="shared" si="9"/>
        <v>#DIV/0!</v>
      </c>
      <c r="L114" s="75">
        <f>VLOOKUP($A114,'Data Vlaue (Cr)'!$C:$FB,67)</f>
        <v>0</v>
      </c>
      <c r="M114" s="75">
        <f>VLOOKUP($A114,'Data Vlaue (Cr)'!$C:$FB,68)</f>
        <v>0</v>
      </c>
      <c r="N114" s="75">
        <f t="shared" si="10"/>
        <v>0</v>
      </c>
      <c r="O114" s="75" t="e">
        <f t="shared" si="11"/>
        <v>#DIV/0!</v>
      </c>
      <c r="P114" s="75">
        <f>VLOOKUP($A114,'Data Vlaue (Cr)'!$C:$FB,119)</f>
        <v>0</v>
      </c>
      <c r="Q114" s="75">
        <f>VLOOKUP($A114,'Data Vlaue (Cr)'!$C:$FB,122)*100</f>
        <v>0</v>
      </c>
      <c r="R114" s="75">
        <f>VLOOKUP($A114,'Data Vlaue (Cr)'!$C:$FB,125)</f>
        <v>0</v>
      </c>
      <c r="S114" s="75">
        <f>VLOOKUP($A114,'Data Vlaue (Cr)'!$C:$FB,128)*100</f>
        <v>0</v>
      </c>
    </row>
    <row r="115" spans="1:19" x14ac:dyDescent="0.25">
      <c r="A115" s="96" t="str">
        <f>'Data Vlaue (Cr)'!C106</f>
        <v>INDIGO</v>
      </c>
      <c r="B115" s="75">
        <f>VLOOKUP($A115,'Data Vlaue (Cr)'!$C:$FB,2)</f>
        <v>150</v>
      </c>
      <c r="C115" s="75">
        <f>VLOOKUP($A115,'Data Vlaue (Cr)'!$C:$FB,8)</f>
        <v>5910.5</v>
      </c>
      <c r="D115" s="75">
        <f>VLOOKUP($A115,'Data Vlaue (Cr)'!$C:$FB,4)</f>
        <v>5880.5</v>
      </c>
      <c r="E115" s="75">
        <f>VLOOKUP($A115,'Data Vlaue (Cr)'!$C:$FB,5)</f>
        <v>5724.5</v>
      </c>
      <c r="F115" s="75">
        <f t="shared" si="6"/>
        <v>-30</v>
      </c>
      <c r="G115" s="75">
        <f t="shared" si="7"/>
        <v>2.6528356432276166</v>
      </c>
      <c r="H115" s="75">
        <f>VLOOKUP($A115,'Data Vlaue (Cr)'!$C:$FB,99)</f>
        <v>5331</v>
      </c>
      <c r="I115" s="75">
        <f>VLOOKUP($A115,'Data Vlaue (Cr)'!$C:$FB,100)</f>
        <v>8535</v>
      </c>
      <c r="J115" s="75">
        <f t="shared" si="8"/>
        <v>-3204</v>
      </c>
      <c r="K115" s="75">
        <f t="shared" si="9"/>
        <v>-60.101294316263363</v>
      </c>
      <c r="L115" s="75">
        <f>VLOOKUP($A115,'Data Vlaue (Cr)'!$C:$FB,67)</f>
        <v>16767</v>
      </c>
      <c r="M115" s="75">
        <f>VLOOKUP($A115,'Data Vlaue (Cr)'!$C:$FB,68)</f>
        <v>11299</v>
      </c>
      <c r="N115" s="75">
        <f t="shared" si="10"/>
        <v>5468</v>
      </c>
      <c r="O115" s="75">
        <f t="shared" si="11"/>
        <v>32.611677700244528</v>
      </c>
      <c r="P115" s="75">
        <f>VLOOKUP($A115,'Data Vlaue (Cr)'!$C:$FB,119)</f>
        <v>1.04</v>
      </c>
      <c r="Q115" s="75">
        <f>VLOOKUP($A115,'Data Vlaue (Cr)'!$C:$FB,122)*100</f>
        <v>4</v>
      </c>
      <c r="R115" s="75">
        <f>VLOOKUP($A115,'Data Vlaue (Cr)'!$C:$FB,125)</f>
        <v>1.02</v>
      </c>
      <c r="S115" s="75">
        <f>VLOOKUP($A115,'Data Vlaue (Cr)'!$C:$FB,128)*100</f>
        <v>24.39</v>
      </c>
    </row>
    <row r="116" spans="1:19" x14ac:dyDescent="0.25">
      <c r="A116" s="96" t="str">
        <f>'Data Vlaue (Cr)'!C107</f>
        <v>INDUSINDBK</v>
      </c>
      <c r="B116" s="75">
        <f>VLOOKUP($A116,'Data Vlaue (Cr)'!$C:$FB,2)</f>
        <v>700</v>
      </c>
      <c r="C116" s="75">
        <f>VLOOKUP($A116,'Data Vlaue (Cr)'!$C:$FB,8)</f>
        <v>798.9</v>
      </c>
      <c r="D116" s="75">
        <f>VLOOKUP($A116,'Data Vlaue (Cr)'!$C:$FB,4)</f>
        <v>803.7</v>
      </c>
      <c r="E116" s="75">
        <f>VLOOKUP($A116,'Data Vlaue (Cr)'!$C:$FB,5)</f>
        <v>806.75</v>
      </c>
      <c r="F116" s="75">
        <f t="shared" si="6"/>
        <v>4.8000000000000682</v>
      </c>
      <c r="G116" s="75">
        <f t="shared" si="7"/>
        <v>-0.37949483638172882</v>
      </c>
      <c r="H116" s="75">
        <f>VLOOKUP($A116,'Data Vlaue (Cr)'!$C:$FB,99)</f>
        <v>5051</v>
      </c>
      <c r="I116" s="75">
        <f>VLOOKUP($A116,'Data Vlaue (Cr)'!$C:$FB,100)</f>
        <v>6740</v>
      </c>
      <c r="J116" s="75">
        <f t="shared" si="8"/>
        <v>-1689</v>
      </c>
      <c r="K116" s="75">
        <f t="shared" si="9"/>
        <v>-33.438922985547414</v>
      </c>
      <c r="L116" s="75">
        <f>VLOOKUP($A116,'Data Vlaue (Cr)'!$C:$FB,67)</f>
        <v>4302</v>
      </c>
      <c r="M116" s="75">
        <f>VLOOKUP($A116,'Data Vlaue (Cr)'!$C:$FB,68)</f>
        <v>4966</v>
      </c>
      <c r="N116" s="75">
        <f t="shared" si="10"/>
        <v>-664</v>
      </c>
      <c r="O116" s="75">
        <f t="shared" si="11"/>
        <v>-15.434681543468153</v>
      </c>
      <c r="P116" s="75">
        <f>VLOOKUP($A116,'Data Vlaue (Cr)'!$C:$FB,119)</f>
        <v>0.86</v>
      </c>
      <c r="Q116" s="75">
        <f>VLOOKUP($A116,'Data Vlaue (Cr)'!$C:$FB,122)*100</f>
        <v>59.260000000000005</v>
      </c>
      <c r="R116" s="75">
        <f>VLOOKUP($A116,'Data Vlaue (Cr)'!$C:$FB,125)</f>
        <v>0.78</v>
      </c>
      <c r="S116" s="75">
        <f>VLOOKUP($A116,'Data Vlaue (Cr)'!$C:$FB,128)*100</f>
        <v>-2.5</v>
      </c>
    </row>
    <row r="117" spans="1:19" x14ac:dyDescent="0.25">
      <c r="A117" s="96" t="str">
        <f>'Data Vlaue (Cr)'!C108</f>
        <v>INDUSTOWER</v>
      </c>
      <c r="B117" s="75">
        <f>VLOOKUP($A117,'Data Vlaue (Cr)'!$C:$FB,2)</f>
        <v>1700</v>
      </c>
      <c r="C117" s="75">
        <f>VLOOKUP($A117,'Data Vlaue (Cr)'!$C:$FB,8)</f>
        <v>363</v>
      </c>
      <c r="D117" s="75">
        <f>VLOOKUP($A117,'Data Vlaue (Cr)'!$C:$FB,4)</f>
        <v>364.2</v>
      </c>
      <c r="E117" s="75">
        <f>VLOOKUP($A117,'Data Vlaue (Cr)'!$C:$FB,5)</f>
        <v>386.15</v>
      </c>
      <c r="F117" s="75">
        <f t="shared" si="6"/>
        <v>1.1999999999999886</v>
      </c>
      <c r="G117" s="75">
        <f t="shared" si="7"/>
        <v>-6.0269082921471693</v>
      </c>
      <c r="H117" s="75">
        <f>VLOOKUP($A117,'Data Vlaue (Cr)'!$C:$FB,99)</f>
        <v>2967</v>
      </c>
      <c r="I117" s="75">
        <f>VLOOKUP($A117,'Data Vlaue (Cr)'!$C:$FB,100)</f>
        <v>3279</v>
      </c>
      <c r="J117" s="75">
        <f t="shared" si="8"/>
        <v>-312</v>
      </c>
      <c r="K117" s="75">
        <f t="shared" si="9"/>
        <v>-10.51567239635996</v>
      </c>
      <c r="L117" s="75">
        <f>VLOOKUP($A117,'Data Vlaue (Cr)'!$C:$FB,67)</f>
        <v>4391</v>
      </c>
      <c r="M117" s="75">
        <f>VLOOKUP($A117,'Data Vlaue (Cr)'!$C:$FB,68)</f>
        <v>1854</v>
      </c>
      <c r="N117" s="75">
        <f t="shared" si="10"/>
        <v>2537</v>
      </c>
      <c r="O117" s="75">
        <f t="shared" si="11"/>
        <v>57.777271692097479</v>
      </c>
      <c r="P117" s="75">
        <f>VLOOKUP($A117,'Data Vlaue (Cr)'!$C:$FB,119)</f>
        <v>0.74</v>
      </c>
      <c r="Q117" s="75">
        <f>VLOOKUP($A117,'Data Vlaue (Cr)'!$C:$FB,122)*100</f>
        <v>10.45</v>
      </c>
      <c r="R117" s="75">
        <f>VLOOKUP($A117,'Data Vlaue (Cr)'!$C:$FB,125)</f>
        <v>0.82</v>
      </c>
      <c r="S117" s="75">
        <f>VLOOKUP($A117,'Data Vlaue (Cr)'!$C:$FB,128)*100</f>
        <v>30.159999999999997</v>
      </c>
    </row>
    <row r="118" spans="1:19" x14ac:dyDescent="0.25">
      <c r="A118" s="96" t="str">
        <f>'Data Vlaue (Cr)'!C109</f>
        <v>INFY</v>
      </c>
      <c r="B118" s="75">
        <f>VLOOKUP($A118,'Data Vlaue (Cr)'!$C:$FB,2)</f>
        <v>400</v>
      </c>
      <c r="C118" s="75">
        <f>VLOOKUP($A118,'Data Vlaue (Cr)'!$C:$FB,8)</f>
        <v>1509</v>
      </c>
      <c r="D118" s="75">
        <f>VLOOKUP($A118,'Data Vlaue (Cr)'!$C:$FB,4)</f>
        <v>1515</v>
      </c>
      <c r="E118" s="75">
        <f>VLOOKUP($A118,'Data Vlaue (Cr)'!$C:$FB,5)</f>
        <v>1525</v>
      </c>
      <c r="F118" s="75">
        <f t="shared" si="6"/>
        <v>6</v>
      </c>
      <c r="G118" s="75">
        <f t="shared" si="7"/>
        <v>-0.66006600660066006</v>
      </c>
      <c r="H118" s="75">
        <f>VLOOKUP($A118,'Data Vlaue (Cr)'!$C:$FB,99)</f>
        <v>13001</v>
      </c>
      <c r="I118" s="75">
        <f>VLOOKUP($A118,'Data Vlaue (Cr)'!$C:$FB,100)</f>
        <v>17733</v>
      </c>
      <c r="J118" s="75">
        <f t="shared" si="8"/>
        <v>-4732</v>
      </c>
      <c r="K118" s="75">
        <f t="shared" si="9"/>
        <v>-36.397200215368045</v>
      </c>
      <c r="L118" s="75">
        <f>VLOOKUP($A118,'Data Vlaue (Cr)'!$C:$FB,67)</f>
        <v>10752</v>
      </c>
      <c r="M118" s="75">
        <f>VLOOKUP($A118,'Data Vlaue (Cr)'!$C:$FB,68)</f>
        <v>9415</v>
      </c>
      <c r="N118" s="75">
        <f t="shared" si="10"/>
        <v>1337</v>
      </c>
      <c r="O118" s="75">
        <f t="shared" si="11"/>
        <v>12.434895833333332</v>
      </c>
      <c r="P118" s="75">
        <f>VLOOKUP($A118,'Data Vlaue (Cr)'!$C:$FB,119)</f>
        <v>0.62</v>
      </c>
      <c r="Q118" s="75">
        <f>VLOOKUP($A118,'Data Vlaue (Cr)'!$C:$FB,122)*100</f>
        <v>26.529999999999998</v>
      </c>
      <c r="R118" s="75">
        <f>VLOOKUP($A118,'Data Vlaue (Cr)'!$C:$FB,125)</f>
        <v>0.56999999999999995</v>
      </c>
      <c r="S118" s="75">
        <f>VLOOKUP($A118,'Data Vlaue (Cr)'!$C:$FB,128)*100</f>
        <v>11.76</v>
      </c>
    </row>
    <row r="119" spans="1:19" x14ac:dyDescent="0.25">
      <c r="A119" s="96" t="str">
        <f>'Data Vlaue (Cr)'!C110</f>
        <v>INOXWIND</v>
      </c>
      <c r="B119" s="75">
        <f>VLOOKUP($A119,'Data Vlaue (Cr)'!$C:$FB,2)</f>
        <v>3272</v>
      </c>
      <c r="C119" s="75">
        <f>VLOOKUP($A119,'Data Vlaue (Cr)'!$C:$FB,8)</f>
        <v>150.74</v>
      </c>
      <c r="D119" s="75">
        <f>VLOOKUP($A119,'Data Vlaue (Cr)'!$C:$FB,4)</f>
        <v>151.53</v>
      </c>
      <c r="E119" s="75">
        <f>VLOOKUP($A119,'Data Vlaue (Cr)'!$C:$FB,5)</f>
        <v>156.83000000000001</v>
      </c>
      <c r="F119" s="75">
        <f t="shared" si="6"/>
        <v>0.78999999999999204</v>
      </c>
      <c r="G119" s="75">
        <f t="shared" si="7"/>
        <v>-3.4976572295915074</v>
      </c>
      <c r="H119" s="75">
        <f>VLOOKUP($A119,'Data Vlaue (Cr)'!$C:$FB,99)</f>
        <v>528</v>
      </c>
      <c r="I119" s="75">
        <f>VLOOKUP($A119,'Data Vlaue (Cr)'!$C:$FB,100)</f>
        <v>982</v>
      </c>
      <c r="J119" s="75">
        <f t="shared" si="8"/>
        <v>-454</v>
      </c>
      <c r="K119" s="75">
        <f t="shared" si="9"/>
        <v>-85.984848484848484</v>
      </c>
      <c r="L119" s="75">
        <f>VLOOKUP($A119,'Data Vlaue (Cr)'!$C:$FB,67)</f>
        <v>629</v>
      </c>
      <c r="M119" s="75">
        <f>VLOOKUP($A119,'Data Vlaue (Cr)'!$C:$FB,68)</f>
        <v>356</v>
      </c>
      <c r="N119" s="75">
        <f t="shared" si="10"/>
        <v>273</v>
      </c>
      <c r="O119" s="75">
        <f t="shared" si="11"/>
        <v>43.402225755166931</v>
      </c>
      <c r="P119" s="75">
        <f>VLOOKUP($A119,'Data Vlaue (Cr)'!$C:$FB,119)</f>
        <v>0.56999999999999995</v>
      </c>
      <c r="Q119" s="75">
        <f>VLOOKUP($A119,'Data Vlaue (Cr)'!$C:$FB,122)*100</f>
        <v>21.279999999999998</v>
      </c>
      <c r="R119" s="75">
        <f>VLOOKUP($A119,'Data Vlaue (Cr)'!$C:$FB,125)</f>
        <v>0.95</v>
      </c>
      <c r="S119" s="75">
        <f>VLOOKUP($A119,'Data Vlaue (Cr)'!$C:$FB,128)*100</f>
        <v>3.26</v>
      </c>
    </row>
    <row r="120" spans="1:19" x14ac:dyDescent="0.25">
      <c r="A120" s="96" t="str">
        <f>'Data Vlaue (Cr)'!C111</f>
        <v>IOC</v>
      </c>
      <c r="B120" s="75">
        <f>VLOOKUP($A120,'Data Vlaue (Cr)'!$C:$FB,2)</f>
        <v>4875</v>
      </c>
      <c r="C120" s="75">
        <f>VLOOKUP($A120,'Data Vlaue (Cr)'!$C:$FB,8)</f>
        <v>145.62</v>
      </c>
      <c r="D120" s="75">
        <f>VLOOKUP($A120,'Data Vlaue (Cr)'!$C:$FB,4)</f>
        <v>146.04</v>
      </c>
      <c r="E120" s="75">
        <f>VLOOKUP($A120,'Data Vlaue (Cr)'!$C:$FB,5)</f>
        <v>149.51</v>
      </c>
      <c r="F120" s="75">
        <f t="shared" si="6"/>
        <v>0.41999999999998749</v>
      </c>
      <c r="G120" s="75">
        <f t="shared" si="7"/>
        <v>-2.3760613530539572</v>
      </c>
      <c r="H120" s="75">
        <f>VLOOKUP($A120,'Data Vlaue (Cr)'!$C:$FB,99)</f>
        <v>1866</v>
      </c>
      <c r="I120" s="75">
        <f>VLOOKUP($A120,'Data Vlaue (Cr)'!$C:$FB,100)</f>
        <v>3118</v>
      </c>
      <c r="J120" s="75">
        <f t="shared" si="8"/>
        <v>-1252</v>
      </c>
      <c r="K120" s="75">
        <f t="shared" si="9"/>
        <v>-67.095391211146833</v>
      </c>
      <c r="L120" s="75">
        <f>VLOOKUP($A120,'Data Vlaue (Cr)'!$C:$FB,67)</f>
        <v>2958</v>
      </c>
      <c r="M120" s="75">
        <f>VLOOKUP($A120,'Data Vlaue (Cr)'!$C:$FB,68)</f>
        <v>3278</v>
      </c>
      <c r="N120" s="75">
        <f t="shared" si="10"/>
        <v>-320</v>
      </c>
      <c r="O120" s="75">
        <f t="shared" si="11"/>
        <v>-10.818120351588911</v>
      </c>
      <c r="P120" s="75">
        <f>VLOOKUP($A120,'Data Vlaue (Cr)'!$C:$FB,119)</f>
        <v>0.77</v>
      </c>
      <c r="Q120" s="75">
        <f>VLOOKUP($A120,'Data Vlaue (Cr)'!$C:$FB,122)*100</f>
        <v>20.309999999999999</v>
      </c>
      <c r="R120" s="75">
        <f>VLOOKUP($A120,'Data Vlaue (Cr)'!$C:$FB,125)</f>
        <v>1.2</v>
      </c>
      <c r="S120" s="75">
        <f>VLOOKUP($A120,'Data Vlaue (Cr)'!$C:$FB,128)*100</f>
        <v>275</v>
      </c>
    </row>
    <row r="121" spans="1:19" x14ac:dyDescent="0.25">
      <c r="A121" s="96" t="str">
        <f>'Data Vlaue (Cr)'!C112</f>
        <v>IRB</v>
      </c>
      <c r="B121" s="75">
        <f>VLOOKUP($A121,'Data Vlaue (Cr)'!$C:$FB,2)</f>
        <v>11675</v>
      </c>
      <c r="C121" s="75">
        <f>VLOOKUP($A121,'Data Vlaue (Cr)'!$C:$FB,8)</f>
        <v>45.07</v>
      </c>
      <c r="D121" s="75">
        <f>VLOOKUP($A121,'Data Vlaue (Cr)'!$C:$FB,4)</f>
        <v>45.27</v>
      </c>
      <c r="E121" s="75">
        <f>VLOOKUP($A121,'Data Vlaue (Cr)'!$C:$FB,5)</f>
        <v>46.22</v>
      </c>
      <c r="F121" s="75">
        <f t="shared" si="6"/>
        <v>0.20000000000000284</v>
      </c>
      <c r="G121" s="75">
        <f t="shared" si="7"/>
        <v>-2.098519991164117</v>
      </c>
      <c r="H121" s="75">
        <f>VLOOKUP($A121,'Data Vlaue (Cr)'!$C:$FB,99)</f>
        <v>453</v>
      </c>
      <c r="I121" s="75">
        <f>VLOOKUP($A121,'Data Vlaue (Cr)'!$C:$FB,100)</f>
        <v>666</v>
      </c>
      <c r="J121" s="75">
        <f t="shared" si="8"/>
        <v>-213</v>
      </c>
      <c r="K121" s="75">
        <f t="shared" si="9"/>
        <v>-47.019867549668874</v>
      </c>
      <c r="L121" s="75">
        <f>VLOOKUP($A121,'Data Vlaue (Cr)'!$C:$FB,67)</f>
        <v>395</v>
      </c>
      <c r="M121" s="75">
        <f>VLOOKUP($A121,'Data Vlaue (Cr)'!$C:$FB,68)</f>
        <v>252</v>
      </c>
      <c r="N121" s="75">
        <f t="shared" si="10"/>
        <v>143</v>
      </c>
      <c r="O121" s="75">
        <f t="shared" si="11"/>
        <v>36.202531645569621</v>
      </c>
      <c r="P121" s="75">
        <f>VLOOKUP($A121,'Data Vlaue (Cr)'!$C:$FB,119)</f>
        <v>0.56000000000000005</v>
      </c>
      <c r="Q121" s="75">
        <f>VLOOKUP($A121,'Data Vlaue (Cr)'!$C:$FB,122)*100</f>
        <v>55.559999999999995</v>
      </c>
      <c r="R121" s="75">
        <f>VLOOKUP($A121,'Data Vlaue (Cr)'!$C:$FB,125)</f>
        <v>0.72</v>
      </c>
      <c r="S121" s="75">
        <f>VLOOKUP($A121,'Data Vlaue (Cr)'!$C:$FB,128)*100</f>
        <v>80</v>
      </c>
    </row>
    <row r="122" spans="1:19" x14ac:dyDescent="0.25">
      <c r="A122" s="96" t="str">
        <f>'Data Vlaue (Cr)'!C113</f>
        <v>IRCTC</v>
      </c>
      <c r="B122" s="75">
        <f>VLOOKUP($A122,'Data Vlaue (Cr)'!$C:$FB,2)</f>
        <v>875</v>
      </c>
      <c r="C122" s="75">
        <f>VLOOKUP($A122,'Data Vlaue (Cr)'!$C:$FB,8)</f>
        <v>726.05</v>
      </c>
      <c r="D122" s="75">
        <f>VLOOKUP($A122,'Data Vlaue (Cr)'!$C:$FB,4)</f>
        <v>728.3</v>
      </c>
      <c r="E122" s="75">
        <f>VLOOKUP($A122,'Data Vlaue (Cr)'!$C:$FB,5)</f>
        <v>739.4</v>
      </c>
      <c r="F122" s="75">
        <f t="shared" si="6"/>
        <v>2.25</v>
      </c>
      <c r="G122" s="75">
        <f t="shared" si="7"/>
        <v>-1.5240972126870826</v>
      </c>
      <c r="H122" s="75">
        <f>VLOOKUP($A122,'Data Vlaue (Cr)'!$C:$FB,99)</f>
        <v>1571</v>
      </c>
      <c r="I122" s="75">
        <f>VLOOKUP($A122,'Data Vlaue (Cr)'!$C:$FB,100)</f>
        <v>2182</v>
      </c>
      <c r="J122" s="75">
        <f t="shared" si="8"/>
        <v>-611</v>
      </c>
      <c r="K122" s="75">
        <f t="shared" si="9"/>
        <v>-38.892425206874606</v>
      </c>
      <c r="L122" s="75">
        <f>VLOOKUP($A122,'Data Vlaue (Cr)'!$C:$FB,67)</f>
        <v>1459</v>
      </c>
      <c r="M122" s="75">
        <f>VLOOKUP($A122,'Data Vlaue (Cr)'!$C:$FB,68)</f>
        <v>1263</v>
      </c>
      <c r="N122" s="75">
        <f t="shared" si="10"/>
        <v>196</v>
      </c>
      <c r="O122" s="75">
        <f t="shared" si="11"/>
        <v>13.433858807402329</v>
      </c>
      <c r="P122" s="75">
        <f>VLOOKUP($A122,'Data Vlaue (Cr)'!$C:$FB,119)</f>
        <v>0.86</v>
      </c>
      <c r="Q122" s="75">
        <f>VLOOKUP($A122,'Data Vlaue (Cr)'!$C:$FB,122)*100</f>
        <v>36.51</v>
      </c>
      <c r="R122" s="75">
        <f>VLOOKUP($A122,'Data Vlaue (Cr)'!$C:$FB,125)</f>
        <v>0.68</v>
      </c>
      <c r="S122" s="75">
        <f>VLOOKUP($A122,'Data Vlaue (Cr)'!$C:$FB,128)*100</f>
        <v>54.55</v>
      </c>
    </row>
    <row r="123" spans="1:19" x14ac:dyDescent="0.25">
      <c r="A123" s="96" t="str">
        <f>'Data Vlaue (Cr)'!C114</f>
        <v>IREDA</v>
      </c>
      <c r="B123" s="75">
        <f>VLOOKUP($A123,'Data Vlaue (Cr)'!$C:$FB,2)</f>
        <v>3450</v>
      </c>
      <c r="C123" s="75">
        <f>VLOOKUP($A123,'Data Vlaue (Cr)'!$C:$FB,8)</f>
        <v>147.38</v>
      </c>
      <c r="D123" s="75">
        <f>VLOOKUP($A123,'Data Vlaue (Cr)'!$C:$FB,4)</f>
        <v>147.66999999999999</v>
      </c>
      <c r="E123" s="75">
        <f>VLOOKUP($A123,'Data Vlaue (Cr)'!$C:$FB,5)</f>
        <v>148.47999999999999</v>
      </c>
      <c r="F123" s="75">
        <f t="shared" si="6"/>
        <v>0.28999999999999204</v>
      </c>
      <c r="G123" s="75">
        <f t="shared" si="7"/>
        <v>-0.54852034942777972</v>
      </c>
      <c r="H123" s="75">
        <f>VLOOKUP($A123,'Data Vlaue (Cr)'!$C:$FB,99)</f>
        <v>886</v>
      </c>
      <c r="I123" s="75">
        <f>VLOOKUP($A123,'Data Vlaue (Cr)'!$C:$FB,100)</f>
        <v>1369</v>
      </c>
      <c r="J123" s="75">
        <f t="shared" si="8"/>
        <v>-483</v>
      </c>
      <c r="K123" s="75">
        <f t="shared" si="9"/>
        <v>-54.514672686230249</v>
      </c>
      <c r="L123" s="75">
        <f>VLOOKUP($A123,'Data Vlaue (Cr)'!$C:$FB,67)</f>
        <v>953</v>
      </c>
      <c r="M123" s="75">
        <f>VLOOKUP($A123,'Data Vlaue (Cr)'!$C:$FB,68)</f>
        <v>844</v>
      </c>
      <c r="N123" s="75">
        <f t="shared" si="10"/>
        <v>109</v>
      </c>
      <c r="O123" s="75">
        <f t="shared" si="11"/>
        <v>11.437565582371459</v>
      </c>
      <c r="P123" s="75">
        <f>VLOOKUP($A123,'Data Vlaue (Cr)'!$C:$FB,119)</f>
        <v>0.71</v>
      </c>
      <c r="Q123" s="75">
        <f>VLOOKUP($A123,'Data Vlaue (Cr)'!$C:$FB,122)*100</f>
        <v>51.06</v>
      </c>
      <c r="R123" s="75">
        <f>VLOOKUP($A123,'Data Vlaue (Cr)'!$C:$FB,125)</f>
        <v>0.37</v>
      </c>
      <c r="S123" s="75">
        <f>VLOOKUP($A123,'Data Vlaue (Cr)'!$C:$FB,128)*100</f>
        <v>-2.63</v>
      </c>
    </row>
    <row r="124" spans="1:19" x14ac:dyDescent="0.25">
      <c r="A124" s="96" t="str">
        <f>'Data Vlaue (Cr)'!C115</f>
        <v>IRFC</v>
      </c>
      <c r="B124" s="75">
        <f>VLOOKUP($A124,'Data Vlaue (Cr)'!$C:$FB,2)</f>
        <v>4250</v>
      </c>
      <c r="C124" s="75">
        <f>VLOOKUP($A124,'Data Vlaue (Cr)'!$C:$FB,8)</f>
        <v>128.34</v>
      </c>
      <c r="D124" s="75">
        <f>VLOOKUP($A124,'Data Vlaue (Cr)'!$C:$FB,4)</f>
        <v>128.44</v>
      </c>
      <c r="E124" s="75">
        <f>VLOOKUP($A124,'Data Vlaue (Cr)'!$C:$FB,5)</f>
        <v>130.86000000000001</v>
      </c>
      <c r="F124" s="75">
        <f t="shared" si="6"/>
        <v>9.9999999999994316E-2</v>
      </c>
      <c r="G124" s="75">
        <f t="shared" si="7"/>
        <v>-1.8841482404235566</v>
      </c>
      <c r="H124" s="75">
        <f>VLOOKUP($A124,'Data Vlaue (Cr)'!$C:$FB,99)</f>
        <v>925</v>
      </c>
      <c r="I124" s="75">
        <f>VLOOKUP($A124,'Data Vlaue (Cr)'!$C:$FB,100)</f>
        <v>1563</v>
      </c>
      <c r="J124" s="75">
        <f t="shared" si="8"/>
        <v>-638</v>
      </c>
      <c r="K124" s="75">
        <f t="shared" si="9"/>
        <v>-68.972972972972968</v>
      </c>
      <c r="L124" s="75">
        <f>VLOOKUP($A124,'Data Vlaue (Cr)'!$C:$FB,67)</f>
        <v>1050</v>
      </c>
      <c r="M124" s="75">
        <f>VLOOKUP($A124,'Data Vlaue (Cr)'!$C:$FB,68)</f>
        <v>1412</v>
      </c>
      <c r="N124" s="75">
        <f t="shared" si="10"/>
        <v>-362</v>
      </c>
      <c r="O124" s="75">
        <f t="shared" si="11"/>
        <v>-34.476190476190474</v>
      </c>
      <c r="P124" s="75">
        <f>VLOOKUP($A124,'Data Vlaue (Cr)'!$C:$FB,119)</f>
        <v>0.46</v>
      </c>
      <c r="Q124" s="75">
        <f>VLOOKUP($A124,'Data Vlaue (Cr)'!$C:$FB,122)*100</f>
        <v>6.98</v>
      </c>
      <c r="R124" s="75">
        <f>VLOOKUP($A124,'Data Vlaue (Cr)'!$C:$FB,125)</f>
        <v>0.42</v>
      </c>
      <c r="S124" s="75">
        <f>VLOOKUP($A124,'Data Vlaue (Cr)'!$C:$FB,128)*100</f>
        <v>31.25</v>
      </c>
    </row>
    <row r="125" spans="1:19" x14ac:dyDescent="0.25">
      <c r="A125" s="96" t="str">
        <f>'Data Vlaue (Cr)'!C116</f>
        <v>ITC</v>
      </c>
      <c r="B125" s="75">
        <f>VLOOKUP($A125,'Data Vlaue (Cr)'!$C:$FB,2)</f>
        <v>1600</v>
      </c>
      <c r="C125" s="75">
        <f>VLOOKUP($A125,'Data Vlaue (Cr)'!$C:$FB,8)</f>
        <v>411.95</v>
      </c>
      <c r="D125" s="75">
        <f>VLOOKUP($A125,'Data Vlaue (Cr)'!$C:$FB,4)</f>
        <v>413.15</v>
      </c>
      <c r="E125" s="75">
        <f>VLOOKUP($A125,'Data Vlaue (Cr)'!$C:$FB,5)</f>
        <v>410.1</v>
      </c>
      <c r="F125" s="75">
        <f t="shared" si="6"/>
        <v>1.1999999999999886</v>
      </c>
      <c r="G125" s="75">
        <f t="shared" si="7"/>
        <v>0.73823066682801763</v>
      </c>
      <c r="H125" s="75">
        <f>VLOOKUP($A125,'Data Vlaue (Cr)'!$C:$FB,99)</f>
        <v>6206</v>
      </c>
      <c r="I125" s="75">
        <f>VLOOKUP($A125,'Data Vlaue (Cr)'!$C:$FB,100)</f>
        <v>8016</v>
      </c>
      <c r="J125" s="75">
        <f t="shared" si="8"/>
        <v>-1810</v>
      </c>
      <c r="K125" s="75">
        <f t="shared" si="9"/>
        <v>-29.165323880116016</v>
      </c>
      <c r="L125" s="75">
        <f>VLOOKUP($A125,'Data Vlaue (Cr)'!$C:$FB,67)</f>
        <v>7828</v>
      </c>
      <c r="M125" s="75">
        <f>VLOOKUP($A125,'Data Vlaue (Cr)'!$C:$FB,68)</f>
        <v>4291</v>
      </c>
      <c r="N125" s="75">
        <f t="shared" si="10"/>
        <v>3537</v>
      </c>
      <c r="O125" s="75">
        <f t="shared" si="11"/>
        <v>45.183955033214104</v>
      </c>
      <c r="P125" s="75">
        <f>VLOOKUP($A125,'Data Vlaue (Cr)'!$C:$FB,119)</f>
        <v>0.91</v>
      </c>
      <c r="Q125" s="75">
        <f>VLOOKUP($A125,'Data Vlaue (Cr)'!$C:$FB,122)*100</f>
        <v>56.899999999999991</v>
      </c>
      <c r="R125" s="75">
        <f>VLOOKUP($A125,'Data Vlaue (Cr)'!$C:$FB,125)</f>
        <v>0.49</v>
      </c>
      <c r="S125" s="75">
        <f>VLOOKUP($A125,'Data Vlaue (Cr)'!$C:$FB,128)*100</f>
        <v>-26.87</v>
      </c>
    </row>
    <row r="126" spans="1:19" x14ac:dyDescent="0.25">
      <c r="A126" s="96" t="str">
        <f>'Data Vlaue (Cr)'!C117</f>
        <v>JINDALSTEL</v>
      </c>
      <c r="B126" s="75">
        <f>VLOOKUP($A126,'Data Vlaue (Cr)'!$C:$FB,2)</f>
        <v>625</v>
      </c>
      <c r="C126" s="75">
        <f>VLOOKUP($A126,'Data Vlaue (Cr)'!$C:$FB,8)</f>
        <v>965</v>
      </c>
      <c r="D126" s="75">
        <f>VLOOKUP($A126,'Data Vlaue (Cr)'!$C:$FB,4)</f>
        <v>965.75</v>
      </c>
      <c r="E126" s="75">
        <f>VLOOKUP($A126,'Data Vlaue (Cr)'!$C:$FB,5)</f>
        <v>987.35</v>
      </c>
      <c r="F126" s="75">
        <f t="shared" si="6"/>
        <v>0.75</v>
      </c>
      <c r="G126" s="75">
        <f t="shared" si="7"/>
        <v>-2.2366036758995622</v>
      </c>
      <c r="H126" s="75">
        <f>VLOOKUP($A126,'Data Vlaue (Cr)'!$C:$FB,99)</f>
        <v>1447</v>
      </c>
      <c r="I126" s="75">
        <f>VLOOKUP($A126,'Data Vlaue (Cr)'!$C:$FB,100)</f>
        <v>2462</v>
      </c>
      <c r="J126" s="75">
        <f t="shared" si="8"/>
        <v>-1015</v>
      </c>
      <c r="K126" s="75">
        <f t="shared" si="9"/>
        <v>-70.145127850725643</v>
      </c>
      <c r="L126" s="75">
        <f>VLOOKUP($A126,'Data Vlaue (Cr)'!$C:$FB,67)</f>
        <v>1432</v>
      </c>
      <c r="M126" s="75">
        <f>VLOOKUP($A126,'Data Vlaue (Cr)'!$C:$FB,68)</f>
        <v>1209</v>
      </c>
      <c r="N126" s="75">
        <f t="shared" si="10"/>
        <v>223</v>
      </c>
      <c r="O126" s="75">
        <f t="shared" si="11"/>
        <v>15.572625698324021</v>
      </c>
      <c r="P126" s="75">
        <f>VLOOKUP($A126,'Data Vlaue (Cr)'!$C:$FB,119)</f>
        <v>0.97</v>
      </c>
      <c r="Q126" s="75">
        <f>VLOOKUP($A126,'Data Vlaue (Cr)'!$C:$FB,122)*100</f>
        <v>-2.02</v>
      </c>
      <c r="R126" s="75">
        <f>VLOOKUP($A126,'Data Vlaue (Cr)'!$C:$FB,125)</f>
        <v>0.92</v>
      </c>
      <c r="S126" s="75">
        <f>VLOOKUP($A126,'Data Vlaue (Cr)'!$C:$FB,128)*100</f>
        <v>19.48</v>
      </c>
    </row>
    <row r="127" spans="1:19" x14ac:dyDescent="0.25">
      <c r="A127" s="96" t="str">
        <f>'Data Vlaue (Cr)'!C118</f>
        <v>JIOFIN</v>
      </c>
      <c r="B127" s="75">
        <f>VLOOKUP($A127,'Data Vlaue (Cr)'!$C:$FB,2)</f>
        <v>2350</v>
      </c>
      <c r="C127" s="75">
        <f>VLOOKUP($A127,'Data Vlaue (Cr)'!$C:$FB,8)</f>
        <v>329.25</v>
      </c>
      <c r="D127" s="75">
        <f>VLOOKUP($A127,'Data Vlaue (Cr)'!$C:$FB,4)</f>
        <v>330.9</v>
      </c>
      <c r="E127" s="75">
        <f>VLOOKUP($A127,'Data Vlaue (Cr)'!$C:$FB,5)</f>
        <v>321.10000000000002</v>
      </c>
      <c r="F127" s="75">
        <f t="shared" si="6"/>
        <v>1.6499999999999773</v>
      </c>
      <c r="G127" s="75">
        <f t="shared" si="7"/>
        <v>2.9616198247204459</v>
      </c>
      <c r="H127" s="75">
        <f>VLOOKUP($A127,'Data Vlaue (Cr)'!$C:$FB,99)</f>
        <v>6025</v>
      </c>
      <c r="I127" s="75">
        <f>VLOOKUP($A127,'Data Vlaue (Cr)'!$C:$FB,100)</f>
        <v>8154</v>
      </c>
      <c r="J127" s="75">
        <f t="shared" si="8"/>
        <v>-2129</v>
      </c>
      <c r="K127" s="75">
        <f t="shared" si="9"/>
        <v>-35.336099585062243</v>
      </c>
      <c r="L127" s="75">
        <f>VLOOKUP($A127,'Data Vlaue (Cr)'!$C:$FB,67)</f>
        <v>15243</v>
      </c>
      <c r="M127" s="75">
        <f>VLOOKUP($A127,'Data Vlaue (Cr)'!$C:$FB,68)</f>
        <v>6220</v>
      </c>
      <c r="N127" s="75">
        <f t="shared" si="10"/>
        <v>9023</v>
      </c>
      <c r="O127" s="75">
        <f t="shared" si="11"/>
        <v>59.194384307551005</v>
      </c>
      <c r="P127" s="75">
        <f>VLOOKUP($A127,'Data Vlaue (Cr)'!$C:$FB,119)</f>
        <v>0.78</v>
      </c>
      <c r="Q127" s="75">
        <f>VLOOKUP($A127,'Data Vlaue (Cr)'!$C:$FB,122)*100</f>
        <v>20</v>
      </c>
      <c r="R127" s="75">
        <f>VLOOKUP($A127,'Data Vlaue (Cr)'!$C:$FB,125)</f>
        <v>0.37</v>
      </c>
      <c r="S127" s="75">
        <f>VLOOKUP($A127,'Data Vlaue (Cr)'!$C:$FB,128)*100</f>
        <v>-28.849999999999998</v>
      </c>
    </row>
    <row r="128" spans="1:19" x14ac:dyDescent="0.25">
      <c r="A128" s="96" t="str">
        <f>'Data Vlaue (Cr)'!C119</f>
        <v>JSL</v>
      </c>
      <c r="B128" s="75">
        <f>VLOOKUP($A128,'Data Vlaue (Cr)'!$C:$FB,2)</f>
        <v>850</v>
      </c>
      <c r="C128" s="75">
        <f>VLOOKUP($A128,'Data Vlaue (Cr)'!$C:$FB,8)</f>
        <v>694.1</v>
      </c>
      <c r="D128" s="75">
        <f>VLOOKUP($A128,'Data Vlaue (Cr)'!$C:$FB,4)</f>
        <v>695.7</v>
      </c>
      <c r="E128" s="75">
        <f>VLOOKUP($A128,'Data Vlaue (Cr)'!$C:$FB,5)</f>
        <v>683.8</v>
      </c>
      <c r="F128" s="75">
        <f t="shared" si="6"/>
        <v>1.6000000000000227</v>
      </c>
      <c r="G128" s="75">
        <f t="shared" si="7"/>
        <v>1.7105074026160831</v>
      </c>
      <c r="H128" s="75">
        <f>VLOOKUP($A128,'Data Vlaue (Cr)'!$C:$FB,99)</f>
        <v>385</v>
      </c>
      <c r="I128" s="75">
        <f>VLOOKUP($A128,'Data Vlaue (Cr)'!$C:$FB,100)</f>
        <v>674</v>
      </c>
      <c r="J128" s="75">
        <f t="shared" si="8"/>
        <v>-289</v>
      </c>
      <c r="K128" s="75">
        <f t="shared" si="9"/>
        <v>-75.064935064935071</v>
      </c>
      <c r="L128" s="75">
        <f>VLOOKUP($A128,'Data Vlaue (Cr)'!$C:$FB,67)</f>
        <v>493</v>
      </c>
      <c r="M128" s="75">
        <f>VLOOKUP($A128,'Data Vlaue (Cr)'!$C:$FB,68)</f>
        <v>433</v>
      </c>
      <c r="N128" s="75">
        <f t="shared" si="10"/>
        <v>60</v>
      </c>
      <c r="O128" s="75">
        <f t="shared" si="11"/>
        <v>12.170385395537526</v>
      </c>
      <c r="P128" s="75">
        <f>VLOOKUP($A128,'Data Vlaue (Cr)'!$C:$FB,119)</f>
        <v>0.46</v>
      </c>
      <c r="Q128" s="75">
        <f>VLOOKUP($A128,'Data Vlaue (Cr)'!$C:$FB,122)*100</f>
        <v>-14.81</v>
      </c>
      <c r="R128" s="75">
        <f>VLOOKUP($A128,'Data Vlaue (Cr)'!$C:$FB,125)</f>
        <v>0.5</v>
      </c>
      <c r="S128" s="75">
        <f>VLOOKUP($A128,'Data Vlaue (Cr)'!$C:$FB,128)*100</f>
        <v>117.39</v>
      </c>
    </row>
    <row r="129" spans="1:19" x14ac:dyDescent="0.25">
      <c r="A129" s="96" t="str">
        <f>'Data Vlaue (Cr)'!C120</f>
        <v>JSWENERGY</v>
      </c>
      <c r="B129" s="75">
        <f>VLOOKUP($A129,'Data Vlaue (Cr)'!$C:$FB,2)</f>
        <v>1000</v>
      </c>
      <c r="C129" s="75">
        <f>VLOOKUP($A129,'Data Vlaue (Cr)'!$C:$FB,8)</f>
        <v>515.04999999999995</v>
      </c>
      <c r="D129" s="75">
        <f>VLOOKUP($A129,'Data Vlaue (Cr)'!$C:$FB,4)</f>
        <v>517.79999999999995</v>
      </c>
      <c r="E129" s="75">
        <f>VLOOKUP($A129,'Data Vlaue (Cr)'!$C:$FB,5)</f>
        <v>528.75</v>
      </c>
      <c r="F129" s="75">
        <f t="shared" si="6"/>
        <v>2.75</v>
      </c>
      <c r="G129" s="75">
        <f t="shared" si="7"/>
        <v>-2.1147161066048756</v>
      </c>
      <c r="H129" s="75">
        <f>VLOOKUP($A129,'Data Vlaue (Cr)'!$C:$FB,99)</f>
        <v>2578</v>
      </c>
      <c r="I129" s="75">
        <f>VLOOKUP($A129,'Data Vlaue (Cr)'!$C:$FB,100)</f>
        <v>3032</v>
      </c>
      <c r="J129" s="75">
        <f t="shared" si="8"/>
        <v>-454</v>
      </c>
      <c r="K129" s="75">
        <f t="shared" si="9"/>
        <v>-17.610550814584951</v>
      </c>
      <c r="L129" s="75">
        <f>VLOOKUP($A129,'Data Vlaue (Cr)'!$C:$FB,67)</f>
        <v>1599</v>
      </c>
      <c r="M129" s="75">
        <f>VLOOKUP($A129,'Data Vlaue (Cr)'!$C:$FB,68)</f>
        <v>1599</v>
      </c>
      <c r="N129" s="75">
        <f t="shared" si="10"/>
        <v>0</v>
      </c>
      <c r="O129" s="75">
        <f t="shared" si="11"/>
        <v>0</v>
      </c>
      <c r="P129" s="75">
        <f>VLOOKUP($A129,'Data Vlaue (Cr)'!$C:$FB,119)</f>
        <v>0.62</v>
      </c>
      <c r="Q129" s="75">
        <f>VLOOKUP($A129,'Data Vlaue (Cr)'!$C:$FB,122)*100</f>
        <v>8.77</v>
      </c>
      <c r="R129" s="75">
        <f>VLOOKUP($A129,'Data Vlaue (Cr)'!$C:$FB,125)</f>
        <v>0.37</v>
      </c>
      <c r="S129" s="75">
        <f>VLOOKUP($A129,'Data Vlaue (Cr)'!$C:$FB,128)*100</f>
        <v>5.71</v>
      </c>
    </row>
    <row r="130" spans="1:19" x14ac:dyDescent="0.25">
      <c r="A130" s="96" t="str">
        <f>'Data Vlaue (Cr)'!C121</f>
        <v>JSWSTEEL</v>
      </c>
      <c r="B130" s="75">
        <f>VLOOKUP($A130,'Data Vlaue (Cr)'!$C:$FB,2)</f>
        <v>675</v>
      </c>
      <c r="C130" s="75">
        <f>VLOOKUP($A130,'Data Vlaue (Cr)'!$C:$FB,8)</f>
        <v>1048.3</v>
      </c>
      <c r="D130" s="75">
        <f>VLOOKUP($A130,'Data Vlaue (Cr)'!$C:$FB,4)</f>
        <v>1052.8</v>
      </c>
      <c r="E130" s="75">
        <f>VLOOKUP($A130,'Data Vlaue (Cr)'!$C:$FB,5)</f>
        <v>1042.0999999999999</v>
      </c>
      <c r="F130" s="75">
        <f t="shared" si="6"/>
        <v>4.5</v>
      </c>
      <c r="G130" s="75">
        <f t="shared" si="7"/>
        <v>1.0163373860182414</v>
      </c>
      <c r="H130" s="75">
        <f>VLOOKUP($A130,'Data Vlaue (Cr)'!$C:$FB,99)</f>
        <v>4659</v>
      </c>
      <c r="I130" s="75">
        <f>VLOOKUP($A130,'Data Vlaue (Cr)'!$C:$FB,100)</f>
        <v>5677</v>
      </c>
      <c r="J130" s="75">
        <f t="shared" si="8"/>
        <v>-1018</v>
      </c>
      <c r="K130" s="75">
        <f t="shared" si="9"/>
        <v>-21.850182442584245</v>
      </c>
      <c r="L130" s="75">
        <f>VLOOKUP($A130,'Data Vlaue (Cr)'!$C:$FB,67)</f>
        <v>3727</v>
      </c>
      <c r="M130" s="75">
        <f>VLOOKUP($A130,'Data Vlaue (Cr)'!$C:$FB,68)</f>
        <v>3778</v>
      </c>
      <c r="N130" s="75">
        <f t="shared" si="10"/>
        <v>-51</v>
      </c>
      <c r="O130" s="75">
        <f t="shared" si="11"/>
        <v>-1.3683928092299438</v>
      </c>
      <c r="P130" s="75">
        <f>VLOOKUP($A130,'Data Vlaue (Cr)'!$C:$FB,119)</f>
        <v>0.56999999999999995</v>
      </c>
      <c r="Q130" s="75">
        <f>VLOOKUP($A130,'Data Vlaue (Cr)'!$C:$FB,122)*100</f>
        <v>-8.06</v>
      </c>
      <c r="R130" s="75">
        <f>VLOOKUP($A130,'Data Vlaue (Cr)'!$C:$FB,125)</f>
        <v>0.51</v>
      </c>
      <c r="S130" s="75">
        <f>VLOOKUP($A130,'Data Vlaue (Cr)'!$C:$FB,128)*100</f>
        <v>41.67</v>
      </c>
    </row>
    <row r="131" spans="1:19" x14ac:dyDescent="0.25">
      <c r="A131" s="96" t="str">
        <f>'Data Vlaue (Cr)'!C122</f>
        <v>JUBLFOOD</v>
      </c>
      <c r="B131" s="75">
        <f>VLOOKUP($A131,'Data Vlaue (Cr)'!$C:$FB,2)</f>
        <v>1250</v>
      </c>
      <c r="C131" s="75">
        <f>VLOOKUP($A131,'Data Vlaue (Cr)'!$C:$FB,8)</f>
        <v>655.5</v>
      </c>
      <c r="D131" s="75">
        <f>VLOOKUP($A131,'Data Vlaue (Cr)'!$C:$FB,4)</f>
        <v>657.95</v>
      </c>
      <c r="E131" s="75">
        <f>VLOOKUP($A131,'Data Vlaue (Cr)'!$C:$FB,5)</f>
        <v>658.6</v>
      </c>
      <c r="F131" s="75">
        <f t="shared" si="6"/>
        <v>2.4500000000000455</v>
      </c>
      <c r="G131" s="75">
        <f t="shared" si="7"/>
        <v>-9.8791701497070783E-2</v>
      </c>
      <c r="H131" s="75">
        <f>VLOOKUP($A131,'Data Vlaue (Cr)'!$C:$FB,99)</f>
        <v>1446</v>
      </c>
      <c r="I131" s="75">
        <f>VLOOKUP($A131,'Data Vlaue (Cr)'!$C:$FB,100)</f>
        <v>2009</v>
      </c>
      <c r="J131" s="75">
        <f t="shared" si="8"/>
        <v>-563</v>
      </c>
      <c r="K131" s="75">
        <f t="shared" si="9"/>
        <v>-38.934993084370682</v>
      </c>
      <c r="L131" s="75">
        <f>VLOOKUP($A131,'Data Vlaue (Cr)'!$C:$FB,67)</f>
        <v>639</v>
      </c>
      <c r="M131" s="75">
        <f>VLOOKUP($A131,'Data Vlaue (Cr)'!$C:$FB,68)</f>
        <v>1211</v>
      </c>
      <c r="N131" s="75">
        <f t="shared" si="10"/>
        <v>-572</v>
      </c>
      <c r="O131" s="75">
        <f t="shared" si="11"/>
        <v>-89.514866979655721</v>
      </c>
      <c r="P131" s="75">
        <f>VLOOKUP($A131,'Data Vlaue (Cr)'!$C:$FB,119)</f>
        <v>0.81</v>
      </c>
      <c r="Q131" s="75">
        <f>VLOOKUP($A131,'Data Vlaue (Cr)'!$C:$FB,122)*100</f>
        <v>76.09</v>
      </c>
      <c r="R131" s="75">
        <f>VLOOKUP($A131,'Data Vlaue (Cr)'!$C:$FB,125)</f>
        <v>0.45</v>
      </c>
      <c r="S131" s="75">
        <f>VLOOKUP($A131,'Data Vlaue (Cr)'!$C:$FB,128)*100</f>
        <v>18.420000000000002</v>
      </c>
    </row>
    <row r="132" spans="1:19" x14ac:dyDescent="0.25">
      <c r="A132" s="96" t="str">
        <f>'Data Vlaue (Cr)'!C123</f>
        <v>KALYANKJIL</v>
      </c>
      <c r="B132" s="75">
        <f>VLOOKUP($A132,'Data Vlaue (Cr)'!$C:$FB,2)</f>
        <v>1175</v>
      </c>
      <c r="C132" s="75">
        <f>VLOOKUP($A132,'Data Vlaue (Cr)'!$C:$FB,8)</f>
        <v>594.70000000000005</v>
      </c>
      <c r="D132" s="75">
        <f>VLOOKUP($A132,'Data Vlaue (Cr)'!$C:$FB,4)</f>
        <v>596.70000000000005</v>
      </c>
      <c r="E132" s="75">
        <f>VLOOKUP($A132,'Data Vlaue (Cr)'!$C:$FB,5)</f>
        <v>609.4</v>
      </c>
      <c r="F132" s="75">
        <f t="shared" si="6"/>
        <v>2</v>
      </c>
      <c r="G132" s="75">
        <f t="shared" si="7"/>
        <v>-2.1283727166079993</v>
      </c>
      <c r="H132" s="75">
        <f>VLOOKUP($A132,'Data Vlaue (Cr)'!$C:$FB,99)</f>
        <v>1460</v>
      </c>
      <c r="I132" s="75">
        <f>VLOOKUP($A132,'Data Vlaue (Cr)'!$C:$FB,100)</f>
        <v>1974</v>
      </c>
      <c r="J132" s="75">
        <f t="shared" si="8"/>
        <v>-514</v>
      </c>
      <c r="K132" s="75">
        <f t="shared" si="9"/>
        <v>-35.205479452054796</v>
      </c>
      <c r="L132" s="75">
        <f>VLOOKUP($A132,'Data Vlaue (Cr)'!$C:$FB,67)</f>
        <v>1389</v>
      </c>
      <c r="M132" s="75">
        <f>VLOOKUP($A132,'Data Vlaue (Cr)'!$C:$FB,68)</f>
        <v>1559</v>
      </c>
      <c r="N132" s="75">
        <f t="shared" si="10"/>
        <v>-170</v>
      </c>
      <c r="O132" s="75">
        <f t="shared" si="11"/>
        <v>-12.239020878329733</v>
      </c>
      <c r="P132" s="75">
        <f>VLOOKUP($A132,'Data Vlaue (Cr)'!$C:$FB,119)</f>
        <v>0.55000000000000004</v>
      </c>
      <c r="Q132" s="75">
        <f>VLOOKUP($A132,'Data Vlaue (Cr)'!$C:$FB,122)*100</f>
        <v>-11.29</v>
      </c>
      <c r="R132" s="75">
        <f>VLOOKUP($A132,'Data Vlaue (Cr)'!$C:$FB,125)</f>
        <v>0.46</v>
      </c>
      <c r="S132" s="75">
        <f>VLOOKUP($A132,'Data Vlaue (Cr)'!$C:$FB,128)*100</f>
        <v>15</v>
      </c>
    </row>
    <row r="133" spans="1:19" x14ac:dyDescent="0.25">
      <c r="A133" s="96" t="str">
        <f>'Data Vlaue (Cr)'!C124</f>
        <v>KAYNES</v>
      </c>
      <c r="B133" s="75">
        <f>VLOOKUP($A133,'Data Vlaue (Cr)'!$C:$FB,2)</f>
        <v>100</v>
      </c>
      <c r="C133" s="75">
        <f>VLOOKUP($A133,'Data Vlaue (Cr)'!$C:$FB,8)</f>
        <v>6172</v>
      </c>
      <c r="D133" s="75">
        <f>VLOOKUP($A133,'Data Vlaue (Cr)'!$C:$FB,4)</f>
        <v>6211</v>
      </c>
      <c r="E133" s="75">
        <f>VLOOKUP($A133,'Data Vlaue (Cr)'!$C:$FB,5)</f>
        <v>5627.5</v>
      </c>
      <c r="F133" s="75">
        <f t="shared" si="6"/>
        <v>39</v>
      </c>
      <c r="G133" s="75">
        <f t="shared" si="7"/>
        <v>9.3946224440508779</v>
      </c>
      <c r="H133" s="75">
        <f>VLOOKUP($A133,'Data Vlaue (Cr)'!$C:$FB,99)</f>
        <v>963</v>
      </c>
      <c r="I133" s="75">
        <f>VLOOKUP($A133,'Data Vlaue (Cr)'!$C:$FB,100)</f>
        <v>1095</v>
      </c>
      <c r="J133" s="75">
        <f t="shared" si="8"/>
        <v>-132</v>
      </c>
      <c r="K133" s="75">
        <f t="shared" si="9"/>
        <v>-13.707165109034266</v>
      </c>
      <c r="L133" s="75">
        <f>VLOOKUP($A133,'Data Vlaue (Cr)'!$C:$FB,67)</f>
        <v>11862</v>
      </c>
      <c r="M133" s="75">
        <f>VLOOKUP($A133,'Data Vlaue (Cr)'!$C:$FB,68)</f>
        <v>4320</v>
      </c>
      <c r="N133" s="75">
        <f t="shared" si="10"/>
        <v>7542</v>
      </c>
      <c r="O133" s="75">
        <f t="shared" si="11"/>
        <v>63.581183611532623</v>
      </c>
      <c r="P133" s="75">
        <f>VLOOKUP($A133,'Data Vlaue (Cr)'!$C:$FB,119)</f>
        <v>0.67</v>
      </c>
      <c r="Q133" s="75">
        <f>VLOOKUP($A133,'Data Vlaue (Cr)'!$C:$FB,122)*100</f>
        <v>9.84</v>
      </c>
      <c r="R133" s="75">
        <f>VLOOKUP($A133,'Data Vlaue (Cr)'!$C:$FB,125)</f>
        <v>0.37</v>
      </c>
      <c r="S133" s="75">
        <f>VLOOKUP($A133,'Data Vlaue (Cr)'!$C:$FB,128)*100</f>
        <v>8.82</v>
      </c>
    </row>
    <row r="134" spans="1:19" x14ac:dyDescent="0.25">
      <c r="A134" s="96" t="str">
        <f>'Data Vlaue (Cr)'!C125</f>
        <v>KEI</v>
      </c>
      <c r="B134" s="75">
        <f>VLOOKUP($A134,'Data Vlaue (Cr)'!$C:$FB,2)</f>
        <v>175</v>
      </c>
      <c r="C134" s="75">
        <f>VLOOKUP($A134,'Data Vlaue (Cr)'!$C:$FB,8)</f>
        <v>3844.2</v>
      </c>
      <c r="D134" s="75">
        <f>VLOOKUP($A134,'Data Vlaue (Cr)'!$C:$FB,4)</f>
        <v>3866.8</v>
      </c>
      <c r="E134" s="75">
        <f>VLOOKUP($A134,'Data Vlaue (Cr)'!$C:$FB,5)</f>
        <v>3923.6</v>
      </c>
      <c r="F134" s="75">
        <f t="shared" si="6"/>
        <v>22.600000000000364</v>
      </c>
      <c r="G134" s="75">
        <f t="shared" si="7"/>
        <v>-1.468914865004648</v>
      </c>
      <c r="H134" s="75">
        <f>VLOOKUP($A134,'Data Vlaue (Cr)'!$C:$FB,99)</f>
        <v>457</v>
      </c>
      <c r="I134" s="75">
        <f>VLOOKUP($A134,'Data Vlaue (Cr)'!$C:$FB,100)</f>
        <v>882</v>
      </c>
      <c r="J134" s="75">
        <f t="shared" si="8"/>
        <v>-425</v>
      </c>
      <c r="K134" s="75">
        <f t="shared" si="9"/>
        <v>-92.997811816192552</v>
      </c>
      <c r="L134" s="75">
        <f>VLOOKUP($A134,'Data Vlaue (Cr)'!$C:$FB,67)</f>
        <v>987</v>
      </c>
      <c r="M134" s="75">
        <f>VLOOKUP($A134,'Data Vlaue (Cr)'!$C:$FB,68)</f>
        <v>968</v>
      </c>
      <c r="N134" s="75">
        <f t="shared" si="10"/>
        <v>19</v>
      </c>
      <c r="O134" s="75">
        <f t="shared" si="11"/>
        <v>1.9250253292806485</v>
      </c>
      <c r="P134" s="75">
        <f>VLOOKUP($A134,'Data Vlaue (Cr)'!$C:$FB,119)</f>
        <v>0.59</v>
      </c>
      <c r="Q134" s="75">
        <f>VLOOKUP($A134,'Data Vlaue (Cr)'!$C:$FB,122)*100</f>
        <v>5.36</v>
      </c>
      <c r="R134" s="75">
        <f>VLOOKUP($A134,'Data Vlaue (Cr)'!$C:$FB,125)</f>
        <v>0.41</v>
      </c>
      <c r="S134" s="75">
        <f>VLOOKUP($A134,'Data Vlaue (Cr)'!$C:$FB,128)*100</f>
        <v>20.59</v>
      </c>
    </row>
    <row r="135" spans="1:19" x14ac:dyDescent="0.25">
      <c r="A135" s="96" t="str">
        <f>'Data Vlaue (Cr)'!C126</f>
        <v>KFINTECH</v>
      </c>
      <c r="B135" s="75">
        <f>VLOOKUP($A135,'Data Vlaue (Cr)'!$C:$FB,2)</f>
        <v>450</v>
      </c>
      <c r="C135" s="75">
        <f>VLOOKUP($A135,'Data Vlaue (Cr)'!$C:$FB,8)</f>
        <v>1082.9000000000001</v>
      </c>
      <c r="D135" s="75">
        <f>VLOOKUP($A135,'Data Vlaue (Cr)'!$C:$FB,4)</f>
        <v>1081.4000000000001</v>
      </c>
      <c r="E135" s="75">
        <f>VLOOKUP($A135,'Data Vlaue (Cr)'!$C:$FB,5)</f>
        <v>1109.0999999999999</v>
      </c>
      <c r="F135" s="75">
        <f t="shared" si="6"/>
        <v>-1.5</v>
      </c>
      <c r="G135" s="75">
        <f t="shared" si="7"/>
        <v>-2.5614943591640298</v>
      </c>
      <c r="H135" s="75">
        <f>VLOOKUP($A135,'Data Vlaue (Cr)'!$C:$FB,99)</f>
        <v>320</v>
      </c>
      <c r="I135" s="75">
        <f>VLOOKUP($A135,'Data Vlaue (Cr)'!$C:$FB,100)</f>
        <v>448</v>
      </c>
      <c r="J135" s="75">
        <f t="shared" si="8"/>
        <v>-128</v>
      </c>
      <c r="K135" s="75">
        <f t="shared" si="9"/>
        <v>-40</v>
      </c>
      <c r="L135" s="75">
        <f>VLOOKUP($A135,'Data Vlaue (Cr)'!$C:$FB,67)</f>
        <v>367</v>
      </c>
      <c r="M135" s="75">
        <f>VLOOKUP($A135,'Data Vlaue (Cr)'!$C:$FB,68)</f>
        <v>404</v>
      </c>
      <c r="N135" s="75">
        <f t="shared" si="10"/>
        <v>-37</v>
      </c>
      <c r="O135" s="75">
        <f t="shared" si="11"/>
        <v>-10.081743869209809</v>
      </c>
      <c r="P135" s="75">
        <f>VLOOKUP($A135,'Data Vlaue (Cr)'!$C:$FB,119)</f>
        <v>0.73</v>
      </c>
      <c r="Q135" s="75">
        <f>VLOOKUP($A135,'Data Vlaue (Cr)'!$C:$FB,122)*100</f>
        <v>52.080000000000005</v>
      </c>
      <c r="R135" s="75">
        <f>VLOOKUP($A135,'Data Vlaue (Cr)'!$C:$FB,125)</f>
        <v>0.93</v>
      </c>
      <c r="S135" s="75">
        <f>VLOOKUP($A135,'Data Vlaue (Cr)'!$C:$FB,128)*100</f>
        <v>121.42999999999999</v>
      </c>
    </row>
    <row r="136" spans="1:19" x14ac:dyDescent="0.25">
      <c r="A136" s="96" t="str">
        <f>'Data Vlaue (Cr)'!C127</f>
        <v>KOTAKBANK</v>
      </c>
      <c r="B136" s="75">
        <f>VLOOKUP($A136,'Data Vlaue (Cr)'!$C:$FB,2)</f>
        <v>400</v>
      </c>
      <c r="C136" s="75">
        <f>VLOOKUP($A136,'Data Vlaue (Cr)'!$C:$FB,8)</f>
        <v>1978.6</v>
      </c>
      <c r="D136" s="75">
        <f>VLOOKUP($A136,'Data Vlaue (Cr)'!$C:$FB,4)</f>
        <v>1990.3</v>
      </c>
      <c r="E136" s="75">
        <f>VLOOKUP($A136,'Data Vlaue (Cr)'!$C:$FB,5)</f>
        <v>1971.5</v>
      </c>
      <c r="F136" s="75">
        <f t="shared" si="6"/>
        <v>11.700000000000045</v>
      </c>
      <c r="G136" s="75">
        <f t="shared" si="7"/>
        <v>0.94458121891171953</v>
      </c>
      <c r="H136" s="75">
        <f>VLOOKUP($A136,'Data Vlaue (Cr)'!$C:$FB,99)</f>
        <v>8536</v>
      </c>
      <c r="I136" s="75">
        <f>VLOOKUP($A136,'Data Vlaue (Cr)'!$C:$FB,100)</f>
        <v>11543</v>
      </c>
      <c r="J136" s="75">
        <f t="shared" si="8"/>
        <v>-3007</v>
      </c>
      <c r="K136" s="75">
        <f t="shared" si="9"/>
        <v>-35.227272727272727</v>
      </c>
      <c r="L136" s="75">
        <f>VLOOKUP($A136,'Data Vlaue (Cr)'!$C:$FB,67)</f>
        <v>12871</v>
      </c>
      <c r="M136" s="75">
        <f>VLOOKUP($A136,'Data Vlaue (Cr)'!$C:$FB,68)</f>
        <v>9126</v>
      </c>
      <c r="N136" s="75">
        <f t="shared" si="10"/>
        <v>3745</v>
      </c>
      <c r="O136" s="75">
        <f t="shared" si="11"/>
        <v>29.096418304716025</v>
      </c>
      <c r="P136" s="75">
        <f>VLOOKUP($A136,'Data Vlaue (Cr)'!$C:$FB,119)</f>
        <v>0.68</v>
      </c>
      <c r="Q136" s="75">
        <f>VLOOKUP($A136,'Data Vlaue (Cr)'!$C:$FB,122)*100</f>
        <v>17.239999999999998</v>
      </c>
      <c r="R136" s="75">
        <f>VLOOKUP($A136,'Data Vlaue (Cr)'!$C:$FB,125)</f>
        <v>0.56000000000000005</v>
      </c>
      <c r="S136" s="75">
        <f>VLOOKUP($A136,'Data Vlaue (Cr)'!$C:$FB,128)*100</f>
        <v>16.669999999999998</v>
      </c>
    </row>
    <row r="137" spans="1:19" x14ac:dyDescent="0.25">
      <c r="A137" s="96" t="str">
        <f>'Data Vlaue (Cr)'!C128</f>
        <v>KPITTECH</v>
      </c>
      <c r="B137" s="75">
        <f>VLOOKUP($A137,'Data Vlaue (Cr)'!$C:$FB,2)</f>
        <v>400</v>
      </c>
      <c r="C137" s="75">
        <f>VLOOKUP($A137,'Data Vlaue (Cr)'!$C:$FB,8)</f>
        <v>1226.4000000000001</v>
      </c>
      <c r="D137" s="75">
        <f>VLOOKUP($A137,'Data Vlaue (Cr)'!$C:$FB,4)</f>
        <v>1228.9000000000001</v>
      </c>
      <c r="E137" s="75">
        <f>VLOOKUP($A137,'Data Vlaue (Cr)'!$C:$FB,5)</f>
        <v>1255.4000000000001</v>
      </c>
      <c r="F137" s="75">
        <f t="shared" si="6"/>
        <v>2.5</v>
      </c>
      <c r="G137" s="75">
        <f t="shared" si="7"/>
        <v>-2.1564000325494344</v>
      </c>
      <c r="H137" s="75">
        <f>VLOOKUP($A137,'Data Vlaue (Cr)'!$C:$FB,99)</f>
        <v>986</v>
      </c>
      <c r="I137" s="75">
        <f>VLOOKUP($A137,'Data Vlaue (Cr)'!$C:$FB,100)</f>
        <v>1843</v>
      </c>
      <c r="J137" s="75">
        <f t="shared" si="8"/>
        <v>-857</v>
      </c>
      <c r="K137" s="75">
        <f t="shared" si="9"/>
        <v>-86.916835699797161</v>
      </c>
      <c r="L137" s="75">
        <f>VLOOKUP($A137,'Data Vlaue (Cr)'!$C:$FB,67)</f>
        <v>2588</v>
      </c>
      <c r="M137" s="75">
        <f>VLOOKUP($A137,'Data Vlaue (Cr)'!$C:$FB,68)</f>
        <v>7560</v>
      </c>
      <c r="N137" s="75">
        <f t="shared" si="10"/>
        <v>-4972</v>
      </c>
      <c r="O137" s="75">
        <f t="shared" si="11"/>
        <v>-192.11746522411127</v>
      </c>
      <c r="P137" s="75">
        <f>VLOOKUP($A137,'Data Vlaue (Cr)'!$C:$FB,119)</f>
        <v>1.31</v>
      </c>
      <c r="Q137" s="75">
        <f>VLOOKUP($A137,'Data Vlaue (Cr)'!$C:$FB,122)*100</f>
        <v>19.09</v>
      </c>
      <c r="R137" s="75">
        <f>VLOOKUP($A137,'Data Vlaue (Cr)'!$C:$FB,125)</f>
        <v>0.73</v>
      </c>
      <c r="S137" s="75">
        <f>VLOOKUP($A137,'Data Vlaue (Cr)'!$C:$FB,128)*100</f>
        <v>15.870000000000001</v>
      </c>
    </row>
    <row r="138" spans="1:19" x14ac:dyDescent="0.25">
      <c r="A138" s="96" t="str">
        <f>'Data Vlaue (Cr)'!C129</f>
        <v>LAURUSLABS</v>
      </c>
      <c r="B138" s="75">
        <f>VLOOKUP($A138,'Data Vlaue (Cr)'!$C:$FB,2)</f>
        <v>1700</v>
      </c>
      <c r="C138" s="75">
        <f>VLOOKUP($A138,'Data Vlaue (Cr)'!$C:$FB,8)</f>
        <v>874.35</v>
      </c>
      <c r="D138" s="75">
        <f>VLOOKUP($A138,'Data Vlaue (Cr)'!$C:$FB,4)</f>
        <v>878</v>
      </c>
      <c r="E138" s="75">
        <f>VLOOKUP($A138,'Data Vlaue (Cr)'!$C:$FB,5)</f>
        <v>886.8</v>
      </c>
      <c r="F138" s="75">
        <f t="shared" si="6"/>
        <v>3.6499999999999773</v>
      </c>
      <c r="G138" s="75">
        <f t="shared" si="7"/>
        <v>-1.002277904328013</v>
      </c>
      <c r="H138" s="75">
        <f>VLOOKUP($A138,'Data Vlaue (Cr)'!$C:$FB,99)</f>
        <v>2552</v>
      </c>
      <c r="I138" s="75">
        <f>VLOOKUP($A138,'Data Vlaue (Cr)'!$C:$FB,100)</f>
        <v>5285</v>
      </c>
      <c r="J138" s="75">
        <f t="shared" si="8"/>
        <v>-2733</v>
      </c>
      <c r="K138" s="75">
        <f t="shared" si="9"/>
        <v>-107.09247648902821</v>
      </c>
      <c r="L138" s="75">
        <f>VLOOKUP($A138,'Data Vlaue (Cr)'!$C:$FB,67)</f>
        <v>3709</v>
      </c>
      <c r="M138" s="75">
        <f>VLOOKUP($A138,'Data Vlaue (Cr)'!$C:$FB,68)</f>
        <v>10961</v>
      </c>
      <c r="N138" s="75">
        <f t="shared" si="10"/>
        <v>-7252</v>
      </c>
      <c r="O138" s="75">
        <f t="shared" si="11"/>
        <v>-195.52440010784576</v>
      </c>
      <c r="P138" s="75">
        <f>VLOOKUP($A138,'Data Vlaue (Cr)'!$C:$FB,119)</f>
        <v>0.66</v>
      </c>
      <c r="Q138" s="75">
        <f>VLOOKUP($A138,'Data Vlaue (Cr)'!$C:$FB,122)*100</f>
        <v>-26.669999999999998</v>
      </c>
      <c r="R138" s="75">
        <f>VLOOKUP($A138,'Data Vlaue (Cr)'!$C:$FB,125)</f>
        <v>0.96</v>
      </c>
      <c r="S138" s="75">
        <f>VLOOKUP($A138,'Data Vlaue (Cr)'!$C:$FB,128)*100</f>
        <v>21.52</v>
      </c>
    </row>
    <row r="139" spans="1:19" x14ac:dyDescent="0.25">
      <c r="A139" s="96" t="str">
        <f>'Data Vlaue (Cr)'!C130</f>
        <v>LICHSGFIN</v>
      </c>
      <c r="B139" s="75">
        <f>VLOOKUP($A139,'Data Vlaue (Cr)'!$C:$FB,2)</f>
        <v>1000</v>
      </c>
      <c r="C139" s="75">
        <f>VLOOKUP($A139,'Data Vlaue (Cr)'!$C:$FB,8)</f>
        <v>586.04999999999995</v>
      </c>
      <c r="D139" s="75">
        <f>VLOOKUP($A139,'Data Vlaue (Cr)'!$C:$FB,4)</f>
        <v>581.85</v>
      </c>
      <c r="E139" s="75">
        <f>VLOOKUP($A139,'Data Vlaue (Cr)'!$C:$FB,5)</f>
        <v>586.5</v>
      </c>
      <c r="F139" s="75">
        <f t="shared" si="6"/>
        <v>-4.1999999999999318</v>
      </c>
      <c r="G139" s="75">
        <f t="shared" si="7"/>
        <v>-0.79917504511471638</v>
      </c>
      <c r="H139" s="75">
        <f>VLOOKUP($A139,'Data Vlaue (Cr)'!$C:$FB,99)</f>
        <v>2526</v>
      </c>
      <c r="I139" s="75">
        <f>VLOOKUP($A139,'Data Vlaue (Cr)'!$C:$FB,100)</f>
        <v>3038</v>
      </c>
      <c r="J139" s="75">
        <f t="shared" si="8"/>
        <v>-512</v>
      </c>
      <c r="K139" s="75">
        <f t="shared" si="9"/>
        <v>-20.269200316706254</v>
      </c>
      <c r="L139" s="75">
        <f>VLOOKUP($A139,'Data Vlaue (Cr)'!$C:$FB,67)</f>
        <v>1655</v>
      </c>
      <c r="M139" s="75">
        <f>VLOOKUP($A139,'Data Vlaue (Cr)'!$C:$FB,68)</f>
        <v>1328</v>
      </c>
      <c r="N139" s="75">
        <f t="shared" si="10"/>
        <v>327</v>
      </c>
      <c r="O139" s="75">
        <f t="shared" si="11"/>
        <v>19.758308157099698</v>
      </c>
      <c r="P139" s="75">
        <f>VLOOKUP($A139,'Data Vlaue (Cr)'!$C:$FB,119)</f>
        <v>0.99</v>
      </c>
      <c r="Q139" s="75">
        <f>VLOOKUP($A139,'Data Vlaue (Cr)'!$C:$FB,122)*100</f>
        <v>7.61</v>
      </c>
      <c r="R139" s="75">
        <f>VLOOKUP($A139,'Data Vlaue (Cr)'!$C:$FB,125)</f>
        <v>0.59</v>
      </c>
      <c r="S139" s="75">
        <f>VLOOKUP($A139,'Data Vlaue (Cr)'!$C:$FB,128)*100</f>
        <v>-27.16</v>
      </c>
    </row>
    <row r="140" spans="1:19" x14ac:dyDescent="0.25">
      <c r="A140" s="96" t="str">
        <f>'Data Vlaue (Cr)'!C131</f>
        <v>LICI</v>
      </c>
      <c r="B140" s="75">
        <f>VLOOKUP($A140,'Data Vlaue (Cr)'!$C:$FB,2)</f>
        <v>700</v>
      </c>
      <c r="C140" s="75">
        <f>VLOOKUP($A140,'Data Vlaue (Cr)'!$C:$FB,8)</f>
        <v>895</v>
      </c>
      <c r="D140" s="75">
        <f>VLOOKUP($A140,'Data Vlaue (Cr)'!$C:$FB,4)</f>
        <v>898.5</v>
      </c>
      <c r="E140" s="75">
        <f>VLOOKUP($A140,'Data Vlaue (Cr)'!$C:$FB,5)</f>
        <v>904.65</v>
      </c>
      <c r="F140" s="75">
        <f t="shared" ref="F140:F176" si="12">D140-C140</f>
        <v>3.5</v>
      </c>
      <c r="G140" s="75">
        <f t="shared" ref="G140:G176" si="13">(D140-E140)/D140*100</f>
        <v>-0.68447412353922954</v>
      </c>
      <c r="H140" s="75">
        <f>VLOOKUP($A140,'Data Vlaue (Cr)'!$C:$FB,99)</f>
        <v>807</v>
      </c>
      <c r="I140" s="75">
        <f>VLOOKUP($A140,'Data Vlaue (Cr)'!$C:$FB,100)</f>
        <v>1353</v>
      </c>
      <c r="J140" s="75">
        <f t="shared" ref="J140:J176" si="14">H140-I140</f>
        <v>-546</v>
      </c>
      <c r="K140" s="75">
        <f t="shared" ref="K140:K176" si="15">J140/H140*100</f>
        <v>-67.657992565055764</v>
      </c>
      <c r="L140" s="75">
        <f>VLOOKUP($A140,'Data Vlaue (Cr)'!$C:$FB,67)</f>
        <v>714</v>
      </c>
      <c r="M140" s="75">
        <f>VLOOKUP($A140,'Data Vlaue (Cr)'!$C:$FB,68)</f>
        <v>836</v>
      </c>
      <c r="N140" s="75">
        <f t="shared" ref="N140:N176" si="16">L140-M140</f>
        <v>-122</v>
      </c>
      <c r="O140" s="75">
        <f t="shared" ref="O140:O176" si="17">N140/L140*100</f>
        <v>-17.086834733893557</v>
      </c>
      <c r="P140" s="75">
        <f>VLOOKUP($A140,'Data Vlaue (Cr)'!$C:$FB,119)</f>
        <v>0.7</v>
      </c>
      <c r="Q140" s="75">
        <f>VLOOKUP($A140,'Data Vlaue (Cr)'!$C:$FB,122)*100</f>
        <v>40</v>
      </c>
      <c r="R140" s="75">
        <f>VLOOKUP($A140,'Data Vlaue (Cr)'!$C:$FB,125)</f>
        <v>0.63</v>
      </c>
      <c r="S140" s="75">
        <f>VLOOKUP($A140,'Data Vlaue (Cr)'!$C:$FB,128)*100</f>
        <v>96.88</v>
      </c>
    </row>
    <row r="141" spans="1:19" x14ac:dyDescent="0.25">
      <c r="A141" s="96" t="str">
        <f>'Data Vlaue (Cr)'!C132</f>
        <v>LODHA</v>
      </c>
      <c r="B141" s="75">
        <f>VLOOKUP($A141,'Data Vlaue (Cr)'!$C:$FB,2)</f>
        <v>450</v>
      </c>
      <c r="C141" s="75">
        <f>VLOOKUP($A141,'Data Vlaue (Cr)'!$C:$FB,8)</f>
        <v>1231.5999999999999</v>
      </c>
      <c r="D141" s="75">
        <f>VLOOKUP($A141,'Data Vlaue (Cr)'!$C:$FB,4)</f>
        <v>1235.2</v>
      </c>
      <c r="E141" s="75">
        <f>VLOOKUP($A141,'Data Vlaue (Cr)'!$C:$FB,5)</f>
        <v>1241.9000000000001</v>
      </c>
      <c r="F141" s="75">
        <f t="shared" si="12"/>
        <v>3.6000000000001364</v>
      </c>
      <c r="G141" s="75">
        <f t="shared" si="13"/>
        <v>-0.54242227979274982</v>
      </c>
      <c r="H141" s="75">
        <f>VLOOKUP($A141,'Data Vlaue (Cr)'!$C:$FB,99)</f>
        <v>1373</v>
      </c>
      <c r="I141" s="75">
        <f>VLOOKUP($A141,'Data Vlaue (Cr)'!$C:$FB,100)</f>
        <v>1843</v>
      </c>
      <c r="J141" s="75">
        <f t="shared" si="14"/>
        <v>-470</v>
      </c>
      <c r="K141" s="75">
        <f t="shared" si="15"/>
        <v>-34.231609613983977</v>
      </c>
      <c r="L141" s="75">
        <f>VLOOKUP($A141,'Data Vlaue (Cr)'!$C:$FB,67)</f>
        <v>1001</v>
      </c>
      <c r="M141" s="75">
        <f>VLOOKUP($A141,'Data Vlaue (Cr)'!$C:$FB,68)</f>
        <v>1120</v>
      </c>
      <c r="N141" s="75">
        <f t="shared" si="16"/>
        <v>-119</v>
      </c>
      <c r="O141" s="75">
        <f t="shared" si="17"/>
        <v>-11.888111888111888</v>
      </c>
      <c r="P141" s="75">
        <f>VLOOKUP($A141,'Data Vlaue (Cr)'!$C:$FB,119)</f>
        <v>0.85</v>
      </c>
      <c r="Q141" s="75">
        <f>VLOOKUP($A141,'Data Vlaue (Cr)'!$C:$FB,122)*100</f>
        <v>32.81</v>
      </c>
      <c r="R141" s="75">
        <f>VLOOKUP($A141,'Data Vlaue (Cr)'!$C:$FB,125)</f>
        <v>0.62</v>
      </c>
      <c r="S141" s="75">
        <f>VLOOKUP($A141,'Data Vlaue (Cr)'!$C:$FB,128)*100</f>
        <v>12.73</v>
      </c>
    </row>
    <row r="142" spans="1:19" x14ac:dyDescent="0.25">
      <c r="A142" s="96" t="str">
        <f>'Data Vlaue (Cr)'!C133</f>
        <v>LT</v>
      </c>
      <c r="B142" s="75">
        <f>VLOOKUP($A142,'Data Vlaue (Cr)'!$C:$FB,2)</f>
        <v>175</v>
      </c>
      <c r="C142" s="75">
        <f>VLOOKUP($A142,'Data Vlaue (Cr)'!$C:$FB,8)</f>
        <v>3636.5</v>
      </c>
      <c r="D142" s="75">
        <f>VLOOKUP($A142,'Data Vlaue (Cr)'!$C:$FB,4)</f>
        <v>3650.5</v>
      </c>
      <c r="E142" s="75">
        <f>VLOOKUP($A142,'Data Vlaue (Cr)'!$C:$FB,5)</f>
        <v>3679.2</v>
      </c>
      <c r="F142" s="75">
        <f t="shared" si="12"/>
        <v>14</v>
      </c>
      <c r="G142" s="75">
        <f t="shared" si="13"/>
        <v>-0.78619367209970747</v>
      </c>
      <c r="H142" s="75">
        <f>VLOOKUP($A142,'Data Vlaue (Cr)'!$C:$FB,99)</f>
        <v>7586</v>
      </c>
      <c r="I142" s="75">
        <f>VLOOKUP($A142,'Data Vlaue (Cr)'!$C:$FB,100)</f>
        <v>12235</v>
      </c>
      <c r="J142" s="75">
        <f t="shared" si="14"/>
        <v>-4649</v>
      </c>
      <c r="K142" s="75">
        <f t="shared" si="15"/>
        <v>-61.283944107566569</v>
      </c>
      <c r="L142" s="75">
        <f>VLOOKUP($A142,'Data Vlaue (Cr)'!$C:$FB,67)</f>
        <v>9331</v>
      </c>
      <c r="M142" s="75">
        <f>VLOOKUP($A142,'Data Vlaue (Cr)'!$C:$FB,68)</f>
        <v>43480</v>
      </c>
      <c r="N142" s="75">
        <f t="shared" si="16"/>
        <v>-34149</v>
      </c>
      <c r="O142" s="75">
        <f t="shared" si="17"/>
        <v>-365.97363626620944</v>
      </c>
      <c r="P142" s="75">
        <f>VLOOKUP($A142,'Data Vlaue (Cr)'!$C:$FB,119)</f>
        <v>0.87</v>
      </c>
      <c r="Q142" s="75">
        <f>VLOOKUP($A142,'Data Vlaue (Cr)'!$C:$FB,122)*100</f>
        <v>47.46</v>
      </c>
      <c r="R142" s="75">
        <f>VLOOKUP($A142,'Data Vlaue (Cr)'!$C:$FB,125)</f>
        <v>0.54</v>
      </c>
      <c r="S142" s="75">
        <f>VLOOKUP($A142,'Data Vlaue (Cr)'!$C:$FB,128)*100</f>
        <v>50</v>
      </c>
    </row>
    <row r="143" spans="1:19" x14ac:dyDescent="0.25">
      <c r="A143" s="96" t="str">
        <f>'Data Vlaue (Cr)'!C134</f>
        <v>LTF</v>
      </c>
      <c r="B143" s="75">
        <f>VLOOKUP($A143,'Data Vlaue (Cr)'!$C:$FB,2)</f>
        <v>4462</v>
      </c>
      <c r="C143" s="75">
        <f>VLOOKUP($A143,'Data Vlaue (Cr)'!$C:$FB,8)</f>
        <v>202.59</v>
      </c>
      <c r="D143" s="75">
        <f>VLOOKUP($A143,'Data Vlaue (Cr)'!$C:$FB,4)</f>
        <v>203.68</v>
      </c>
      <c r="E143" s="75">
        <f>VLOOKUP($A143,'Data Vlaue (Cr)'!$C:$FB,5)</f>
        <v>204.62</v>
      </c>
      <c r="F143" s="75">
        <f t="shared" si="12"/>
        <v>1.0900000000000034</v>
      </c>
      <c r="G143" s="75">
        <f t="shared" si="13"/>
        <v>-0.46150824823252046</v>
      </c>
      <c r="H143" s="75">
        <f>VLOOKUP($A143,'Data Vlaue (Cr)'!$C:$FB,99)</f>
        <v>1707</v>
      </c>
      <c r="I143" s="75">
        <f>VLOOKUP($A143,'Data Vlaue (Cr)'!$C:$FB,100)</f>
        <v>2631</v>
      </c>
      <c r="J143" s="75">
        <f t="shared" si="14"/>
        <v>-924</v>
      </c>
      <c r="K143" s="75"/>
      <c r="L143" s="75">
        <f>VLOOKUP($A143,'Data Vlaue (Cr)'!$C:$FB,67)</f>
        <v>1451</v>
      </c>
      <c r="M143" s="75">
        <f>VLOOKUP($A143,'Data Vlaue (Cr)'!$C:$FB,68)</f>
        <v>2173</v>
      </c>
      <c r="N143" s="75">
        <f t="shared" si="16"/>
        <v>-722</v>
      </c>
      <c r="O143" s="75">
        <f t="shared" si="17"/>
        <v>-49.758787043418337</v>
      </c>
      <c r="P143" s="75">
        <f>VLOOKUP($A143,'Data Vlaue (Cr)'!$C:$FB,119)</f>
        <v>0.68</v>
      </c>
      <c r="Q143" s="75">
        <f>VLOOKUP($A143,'Data Vlaue (Cr)'!$C:$FB,122)*100</f>
        <v>1.49</v>
      </c>
      <c r="R143" s="75">
        <f>VLOOKUP($A143,'Data Vlaue (Cr)'!$C:$FB,125)</f>
        <v>0.52</v>
      </c>
      <c r="S143" s="75">
        <f>VLOOKUP($A143,'Data Vlaue (Cr)'!$C:$FB,128)*100</f>
        <v>-18.75</v>
      </c>
    </row>
    <row r="144" spans="1:19" x14ac:dyDescent="0.25">
      <c r="A144" s="96" t="str">
        <f>'Data Vlaue (Cr)'!C135</f>
        <v>LTIM</v>
      </c>
      <c r="B144" s="75">
        <f>VLOOKUP($A144,'Data Vlaue (Cr)'!$C:$FB,2)</f>
        <v>150</v>
      </c>
      <c r="C144" s="75">
        <f>VLOOKUP($A144,'Data Vlaue (Cr)'!$C:$FB,8)</f>
        <v>5106</v>
      </c>
      <c r="D144" s="75">
        <f>VLOOKUP($A144,'Data Vlaue (Cr)'!$C:$FB,4)</f>
        <v>5109</v>
      </c>
      <c r="E144" s="75">
        <f>VLOOKUP($A144,'Data Vlaue (Cr)'!$C:$FB,5)</f>
        <v>5126.5</v>
      </c>
      <c r="F144" s="75">
        <f t="shared" si="12"/>
        <v>3</v>
      </c>
      <c r="G144" s="75">
        <f t="shared" si="13"/>
        <v>-0.34253278528087688</v>
      </c>
      <c r="H144" s="75">
        <f>VLOOKUP($A144,'Data Vlaue (Cr)'!$C:$FB,99)</f>
        <v>1460</v>
      </c>
      <c r="I144" s="75">
        <f>VLOOKUP($A144,'Data Vlaue (Cr)'!$C:$FB,100)</f>
        <v>2104</v>
      </c>
      <c r="J144" s="75">
        <f t="shared" si="14"/>
        <v>-644</v>
      </c>
      <c r="K144" s="75">
        <f t="shared" si="15"/>
        <v>-44.109589041095894</v>
      </c>
      <c r="L144" s="75">
        <f>VLOOKUP($A144,'Data Vlaue (Cr)'!$C:$FB,67)</f>
        <v>934</v>
      </c>
      <c r="M144" s="75">
        <f>VLOOKUP($A144,'Data Vlaue (Cr)'!$C:$FB,68)</f>
        <v>1622</v>
      </c>
      <c r="N144" s="75">
        <f t="shared" si="16"/>
        <v>-688</v>
      </c>
      <c r="O144" s="75">
        <f t="shared" si="17"/>
        <v>-73.66167023554604</v>
      </c>
      <c r="P144" s="75">
        <f>VLOOKUP($A144,'Data Vlaue (Cr)'!$C:$FB,119)</f>
        <v>0.76</v>
      </c>
      <c r="Q144" s="75">
        <f>VLOOKUP($A144,'Data Vlaue (Cr)'!$C:$FB,122)*100</f>
        <v>20.630000000000003</v>
      </c>
      <c r="R144" s="75">
        <f>VLOOKUP($A144,'Data Vlaue (Cr)'!$C:$FB,125)</f>
        <v>0.41</v>
      </c>
      <c r="S144" s="75">
        <f>VLOOKUP($A144,'Data Vlaue (Cr)'!$C:$FB,128)*100</f>
        <v>10.81</v>
      </c>
    </row>
    <row r="145" spans="1:19" x14ac:dyDescent="0.25">
      <c r="A145" s="96" t="str">
        <f>'Data Vlaue (Cr)'!C136</f>
        <v>LUPIN</v>
      </c>
      <c r="B145" s="75">
        <f>VLOOKUP($A145,'Data Vlaue (Cr)'!$C:$FB,2)</f>
        <v>425</v>
      </c>
      <c r="C145" s="75">
        <f>VLOOKUP($A145,'Data Vlaue (Cr)'!$C:$FB,8)</f>
        <v>1929.1</v>
      </c>
      <c r="D145" s="75">
        <f>VLOOKUP($A145,'Data Vlaue (Cr)'!$C:$FB,4)</f>
        <v>1935.1</v>
      </c>
      <c r="E145" s="75">
        <f>VLOOKUP($A145,'Data Vlaue (Cr)'!$C:$FB,5)</f>
        <v>1995.1</v>
      </c>
      <c r="F145" s="75">
        <f t="shared" si="12"/>
        <v>6</v>
      </c>
      <c r="G145" s="75">
        <f t="shared" si="13"/>
        <v>-3.1006149552994677</v>
      </c>
      <c r="H145" s="75">
        <f>VLOOKUP($A145,'Data Vlaue (Cr)'!$C:$FB,99)</f>
        <v>2627</v>
      </c>
      <c r="I145" s="75">
        <f>VLOOKUP($A145,'Data Vlaue (Cr)'!$C:$FB,100)</f>
        <v>3558</v>
      </c>
      <c r="J145" s="75">
        <f t="shared" si="14"/>
        <v>-931</v>
      </c>
      <c r="K145" s="75">
        <f t="shared" si="15"/>
        <v>-35.439665017129805</v>
      </c>
      <c r="L145" s="75">
        <f>VLOOKUP($A145,'Data Vlaue (Cr)'!$C:$FB,67)</f>
        <v>2900</v>
      </c>
      <c r="M145" s="75">
        <f>VLOOKUP($A145,'Data Vlaue (Cr)'!$C:$FB,68)</f>
        <v>2383</v>
      </c>
      <c r="N145" s="75">
        <f t="shared" si="16"/>
        <v>517</v>
      </c>
      <c r="O145" s="75">
        <f t="shared" si="17"/>
        <v>17.827586206896552</v>
      </c>
      <c r="P145" s="75">
        <f>VLOOKUP($A145,'Data Vlaue (Cr)'!$C:$FB,119)</f>
        <v>0.79</v>
      </c>
      <c r="Q145" s="75">
        <f>VLOOKUP($A145,'Data Vlaue (Cr)'!$C:$FB,122)*100</f>
        <v>-4.82</v>
      </c>
      <c r="R145" s="75">
        <f>VLOOKUP($A145,'Data Vlaue (Cr)'!$C:$FB,125)</f>
        <v>0.92</v>
      </c>
      <c r="S145" s="75">
        <f>VLOOKUP($A145,'Data Vlaue (Cr)'!$C:$FB,128)*100</f>
        <v>119.04999999999998</v>
      </c>
    </row>
    <row r="146" spans="1:19" x14ac:dyDescent="0.25">
      <c r="A146" s="96" t="str">
        <f>'Data Vlaue (Cr)'!C137</f>
        <v>M&amp;M</v>
      </c>
      <c r="B146" s="75">
        <f>VLOOKUP($A146,'Data Vlaue (Cr)'!$C:$FB,2)</f>
        <v>200</v>
      </c>
      <c r="C146" s="75">
        <f>VLOOKUP($A146,'Data Vlaue (Cr)'!$C:$FB,8)</f>
        <v>3203.1</v>
      </c>
      <c r="D146" s="75">
        <f>VLOOKUP($A146,'Data Vlaue (Cr)'!$C:$FB,4)</f>
        <v>3215.6</v>
      </c>
      <c r="E146" s="75">
        <f>VLOOKUP($A146,'Data Vlaue (Cr)'!$C:$FB,5)</f>
        <v>3228.2</v>
      </c>
      <c r="F146" s="75">
        <f t="shared" si="12"/>
        <v>12.5</v>
      </c>
      <c r="G146" s="75">
        <f t="shared" si="13"/>
        <v>-0.39183978106729406</v>
      </c>
      <c r="H146" s="75">
        <f>VLOOKUP($A146,'Data Vlaue (Cr)'!$C:$FB,99)</f>
        <v>9249</v>
      </c>
      <c r="I146" s="75">
        <f>VLOOKUP($A146,'Data Vlaue (Cr)'!$C:$FB,100)</f>
        <v>10600</v>
      </c>
      <c r="J146" s="75">
        <f t="shared" si="14"/>
        <v>-1351</v>
      </c>
      <c r="K146" s="75">
        <f t="shared" si="15"/>
        <v>-14.606984538869067</v>
      </c>
      <c r="L146" s="75">
        <f>VLOOKUP($A146,'Data Vlaue (Cr)'!$C:$FB,67)</f>
        <v>15814</v>
      </c>
      <c r="M146" s="75">
        <f>VLOOKUP($A146,'Data Vlaue (Cr)'!$C:$FB,68)</f>
        <v>13899</v>
      </c>
      <c r="N146" s="75">
        <f t="shared" si="16"/>
        <v>1915</v>
      </c>
      <c r="O146" s="75">
        <f t="shared" si="17"/>
        <v>12.109523207284685</v>
      </c>
      <c r="P146" s="75">
        <f>VLOOKUP($A146,'Data Vlaue (Cr)'!$C:$FB,119)</f>
        <v>0.62</v>
      </c>
      <c r="Q146" s="75">
        <f>VLOOKUP($A146,'Data Vlaue (Cr)'!$C:$FB,122)*100</f>
        <v>5.08</v>
      </c>
      <c r="R146" s="75">
        <f>VLOOKUP($A146,'Data Vlaue (Cr)'!$C:$FB,125)</f>
        <v>0.43</v>
      </c>
      <c r="S146" s="75">
        <f>VLOOKUP($A146,'Data Vlaue (Cr)'!$C:$FB,128)*100</f>
        <v>-6.52</v>
      </c>
    </row>
    <row r="147" spans="1:19" x14ac:dyDescent="0.25">
      <c r="A147" s="96" t="str">
        <f>'Data Vlaue (Cr)'!C138</f>
        <v>M&amp;MFIN</v>
      </c>
      <c r="B147" s="75">
        <f>VLOOKUP($A147,'Data Vlaue (Cr)'!$C:$FB,2)</f>
        <v>2056</v>
      </c>
      <c r="C147" s="75">
        <f>VLOOKUP($A147,'Data Vlaue (Cr)'!$C:$FB,8)</f>
        <v>257.5</v>
      </c>
      <c r="D147" s="75">
        <f>VLOOKUP($A147,'Data Vlaue (Cr)'!$C:$FB,4)</f>
        <v>0</v>
      </c>
      <c r="E147" s="75">
        <f>VLOOKUP($A147,'Data Vlaue (Cr)'!$C:$FB,5)</f>
        <v>0</v>
      </c>
      <c r="F147" s="75">
        <f t="shared" si="12"/>
        <v>-257.5</v>
      </c>
      <c r="G147" s="75" t="e">
        <f t="shared" si="13"/>
        <v>#DIV/0!</v>
      </c>
      <c r="H147" s="75">
        <f>VLOOKUP($A147,'Data Vlaue (Cr)'!$C:$FB,99)</f>
        <v>0</v>
      </c>
      <c r="I147" s="75">
        <f>VLOOKUP($A147,'Data Vlaue (Cr)'!$C:$FB,100)</f>
        <v>0</v>
      </c>
      <c r="J147" s="75">
        <f t="shared" si="14"/>
        <v>0</v>
      </c>
      <c r="K147" s="75" t="e">
        <f t="shared" si="15"/>
        <v>#DIV/0!</v>
      </c>
      <c r="L147" s="75">
        <f>VLOOKUP($A147,'Data Vlaue (Cr)'!$C:$FB,67)</f>
        <v>0</v>
      </c>
      <c r="M147" s="75">
        <f>VLOOKUP($A147,'Data Vlaue (Cr)'!$C:$FB,68)</f>
        <v>0</v>
      </c>
      <c r="N147" s="75">
        <f t="shared" si="16"/>
        <v>0</v>
      </c>
      <c r="O147" s="75" t="e">
        <f t="shared" si="17"/>
        <v>#DIV/0!</v>
      </c>
      <c r="P147" s="75">
        <f>VLOOKUP($A147,'Data Vlaue (Cr)'!$C:$FB,119)</f>
        <v>0.42</v>
      </c>
      <c r="Q147" s="75">
        <f>VLOOKUP($A147,'Data Vlaue (Cr)'!$C:$FB,122)*100</f>
        <v>10.530000000000001</v>
      </c>
      <c r="R147" s="75">
        <f>VLOOKUP($A147,'Data Vlaue (Cr)'!$C:$FB,125)</f>
        <v>0.33</v>
      </c>
      <c r="S147" s="75">
        <f>VLOOKUP($A147,'Data Vlaue (Cr)'!$C:$FB,128)*100</f>
        <v>13.79</v>
      </c>
    </row>
    <row r="148" spans="1:19" x14ac:dyDescent="0.25">
      <c r="A148" s="96" t="str">
        <f>'Data Vlaue (Cr)'!C139</f>
        <v>MANAPPURAM</v>
      </c>
      <c r="B148" s="75">
        <f>VLOOKUP($A148,'Data Vlaue (Cr)'!$C:$FB,2)</f>
        <v>3000</v>
      </c>
      <c r="C148" s="75">
        <f>VLOOKUP($A148,'Data Vlaue (Cr)'!$C:$FB,8)</f>
        <v>253.05</v>
      </c>
      <c r="D148" s="75">
        <f>VLOOKUP($A148,'Data Vlaue (Cr)'!$C:$FB,4)</f>
        <v>254.4</v>
      </c>
      <c r="E148" s="75">
        <f>VLOOKUP($A148,'Data Vlaue (Cr)'!$C:$FB,5)</f>
        <v>257.25</v>
      </c>
      <c r="F148" s="75">
        <f t="shared" si="12"/>
        <v>1.3499999999999943</v>
      </c>
      <c r="G148" s="75">
        <f t="shared" si="13"/>
        <v>-1.1202830188679223</v>
      </c>
      <c r="H148" s="75">
        <f>VLOOKUP($A148,'Data Vlaue (Cr)'!$C:$FB,99)</f>
        <v>913</v>
      </c>
      <c r="I148" s="75">
        <f>VLOOKUP($A148,'Data Vlaue (Cr)'!$C:$FB,100)</f>
        <v>1274</v>
      </c>
      <c r="J148" s="75">
        <f t="shared" si="14"/>
        <v>-361</v>
      </c>
      <c r="K148" s="75">
        <f t="shared" si="15"/>
        <v>-39.539978094194964</v>
      </c>
      <c r="L148" s="75">
        <f>VLOOKUP($A148,'Data Vlaue (Cr)'!$C:$FB,67)</f>
        <v>867</v>
      </c>
      <c r="M148" s="75">
        <f>VLOOKUP($A148,'Data Vlaue (Cr)'!$C:$FB,68)</f>
        <v>1163</v>
      </c>
      <c r="N148" s="75">
        <f t="shared" si="16"/>
        <v>-296</v>
      </c>
      <c r="O148" s="75">
        <f t="shared" si="17"/>
        <v>-34.140715109573236</v>
      </c>
      <c r="P148" s="75">
        <f>VLOOKUP($A148,'Data Vlaue (Cr)'!$C:$FB,119)</f>
        <v>1.54</v>
      </c>
      <c r="Q148" s="75">
        <f>VLOOKUP($A148,'Data Vlaue (Cr)'!$C:$FB,122)*100</f>
        <v>46.67</v>
      </c>
      <c r="R148" s="75">
        <f>VLOOKUP($A148,'Data Vlaue (Cr)'!$C:$FB,125)</f>
        <v>1.1599999999999999</v>
      </c>
      <c r="S148" s="75">
        <f>VLOOKUP($A148,'Data Vlaue (Cr)'!$C:$FB,128)*100</f>
        <v>7.41</v>
      </c>
    </row>
    <row r="149" spans="1:19" x14ac:dyDescent="0.25">
      <c r="A149" s="96" t="str">
        <f>'Data Vlaue (Cr)'!C140</f>
        <v>MANKIND</v>
      </c>
      <c r="B149" s="75">
        <f>VLOOKUP($A149,'Data Vlaue (Cr)'!$C:$FB,2)</f>
        <v>225</v>
      </c>
      <c r="C149" s="75">
        <f>VLOOKUP($A149,'Data Vlaue (Cr)'!$C:$FB,8)</f>
        <v>2567.1999999999998</v>
      </c>
      <c r="D149" s="75">
        <f>VLOOKUP($A149,'Data Vlaue (Cr)'!$C:$FB,4)</f>
        <v>2567.6</v>
      </c>
      <c r="E149" s="75">
        <f>VLOOKUP($A149,'Data Vlaue (Cr)'!$C:$FB,5)</f>
        <v>2573.1</v>
      </c>
      <c r="F149" s="75">
        <f t="shared" si="12"/>
        <v>0.40000000000009095</v>
      </c>
      <c r="G149" s="75">
        <f t="shared" si="13"/>
        <v>-0.2142078205327933</v>
      </c>
      <c r="H149" s="75">
        <f>VLOOKUP($A149,'Data Vlaue (Cr)'!$C:$FB,99)</f>
        <v>539</v>
      </c>
      <c r="I149" s="75">
        <f>VLOOKUP($A149,'Data Vlaue (Cr)'!$C:$FB,100)</f>
        <v>896</v>
      </c>
      <c r="J149" s="75">
        <f t="shared" si="14"/>
        <v>-357</v>
      </c>
      <c r="K149" s="75">
        <f t="shared" si="15"/>
        <v>-66.233766233766232</v>
      </c>
      <c r="L149" s="75">
        <f>VLOOKUP($A149,'Data Vlaue (Cr)'!$C:$FB,67)</f>
        <v>1220</v>
      </c>
      <c r="M149" s="75">
        <f>VLOOKUP($A149,'Data Vlaue (Cr)'!$C:$FB,68)</f>
        <v>1083</v>
      </c>
      <c r="N149" s="75">
        <f t="shared" si="16"/>
        <v>137</v>
      </c>
      <c r="O149" s="75">
        <f t="shared" si="17"/>
        <v>11.229508196721312</v>
      </c>
      <c r="P149" s="75">
        <f>VLOOKUP($A149,'Data Vlaue (Cr)'!$C:$FB,119)</f>
        <v>0.56999999999999995</v>
      </c>
      <c r="Q149" s="75">
        <f>VLOOKUP($A149,'Data Vlaue (Cr)'!$C:$FB,122)*100</f>
        <v>-18.57</v>
      </c>
      <c r="R149" s="75">
        <f>VLOOKUP($A149,'Data Vlaue (Cr)'!$C:$FB,125)</f>
        <v>0.52</v>
      </c>
      <c r="S149" s="75">
        <f>VLOOKUP($A149,'Data Vlaue (Cr)'!$C:$FB,128)*100</f>
        <v>52.94</v>
      </c>
    </row>
    <row r="150" spans="1:19" x14ac:dyDescent="0.25">
      <c r="A150" s="96" t="str">
        <f>'Data Vlaue (Cr)'!C141</f>
        <v>MARICO</v>
      </c>
      <c r="B150" s="75">
        <f>VLOOKUP($A150,'Data Vlaue (Cr)'!$C:$FB,2)</f>
        <v>1200</v>
      </c>
      <c r="C150" s="75">
        <f>VLOOKUP($A150,'Data Vlaue (Cr)'!$C:$FB,8)</f>
        <v>709.8</v>
      </c>
      <c r="D150" s="75">
        <f>VLOOKUP($A150,'Data Vlaue (Cr)'!$C:$FB,4)</f>
        <v>705.25</v>
      </c>
      <c r="E150" s="75">
        <f>VLOOKUP($A150,'Data Vlaue (Cr)'!$C:$FB,5)</f>
        <v>700.25</v>
      </c>
      <c r="F150" s="75">
        <f t="shared" si="12"/>
        <v>-4.5499999999999545</v>
      </c>
      <c r="G150" s="75">
        <f t="shared" si="13"/>
        <v>0.70896845090393479</v>
      </c>
      <c r="H150" s="75">
        <f>VLOOKUP($A150,'Data Vlaue (Cr)'!$C:$FB,99)</f>
        <v>1630</v>
      </c>
      <c r="I150" s="75">
        <f>VLOOKUP($A150,'Data Vlaue (Cr)'!$C:$FB,100)</f>
        <v>2157</v>
      </c>
      <c r="J150" s="75">
        <f t="shared" si="14"/>
        <v>-527</v>
      </c>
      <c r="K150" s="75">
        <f t="shared" si="15"/>
        <v>-32.331288343558285</v>
      </c>
      <c r="L150" s="75">
        <f>VLOOKUP($A150,'Data Vlaue (Cr)'!$C:$FB,67)</f>
        <v>1021</v>
      </c>
      <c r="M150" s="75">
        <f>VLOOKUP($A150,'Data Vlaue (Cr)'!$C:$FB,68)</f>
        <v>1111</v>
      </c>
      <c r="N150" s="75">
        <f t="shared" si="16"/>
        <v>-90</v>
      </c>
      <c r="O150" s="75">
        <f t="shared" si="17"/>
        <v>-8.8148873653281097</v>
      </c>
      <c r="P150" s="75">
        <f>VLOOKUP($A150,'Data Vlaue (Cr)'!$C:$FB,119)</f>
        <v>0.76</v>
      </c>
      <c r="Q150" s="75">
        <f>VLOOKUP($A150,'Data Vlaue (Cr)'!$C:$FB,122)*100</f>
        <v>33.33</v>
      </c>
      <c r="R150" s="75">
        <f>VLOOKUP($A150,'Data Vlaue (Cr)'!$C:$FB,125)</f>
        <v>0.35</v>
      </c>
      <c r="S150" s="75">
        <f>VLOOKUP($A150,'Data Vlaue (Cr)'!$C:$FB,128)*100</f>
        <v>-36.36</v>
      </c>
    </row>
    <row r="151" spans="1:19" x14ac:dyDescent="0.25">
      <c r="A151" s="96" t="str">
        <f>'Data Vlaue (Cr)'!C142</f>
        <v>MARUTI</v>
      </c>
      <c r="B151" s="75">
        <f>VLOOKUP($A151,'Data Vlaue (Cr)'!$C:$FB,2)</f>
        <v>50</v>
      </c>
      <c r="C151" s="75">
        <f>VLOOKUP($A151,'Data Vlaue (Cr)'!$C:$FB,8)</f>
        <v>12608</v>
      </c>
      <c r="D151" s="75">
        <f>VLOOKUP($A151,'Data Vlaue (Cr)'!$C:$FB,4)</f>
        <v>12551</v>
      </c>
      <c r="E151" s="75">
        <f>VLOOKUP($A151,'Data Vlaue (Cr)'!$C:$FB,5)</f>
        <v>12542</v>
      </c>
      <c r="F151" s="75">
        <f t="shared" si="12"/>
        <v>-57</v>
      </c>
      <c r="G151" s="75">
        <f t="shared" si="13"/>
        <v>7.1707433670623863E-2</v>
      </c>
      <c r="H151" s="75">
        <f>VLOOKUP($A151,'Data Vlaue (Cr)'!$C:$FB,99)</f>
        <v>5464</v>
      </c>
      <c r="I151" s="75">
        <f>VLOOKUP($A151,'Data Vlaue (Cr)'!$C:$FB,100)</f>
        <v>8549</v>
      </c>
      <c r="J151" s="75">
        <f t="shared" si="14"/>
        <v>-3085</v>
      </c>
      <c r="K151" s="75">
        <f t="shared" si="15"/>
        <v>-56.46046852122987</v>
      </c>
      <c r="L151" s="75">
        <f>VLOOKUP($A151,'Data Vlaue (Cr)'!$C:$FB,67)</f>
        <v>15634</v>
      </c>
      <c r="M151" s="75">
        <f>VLOOKUP($A151,'Data Vlaue (Cr)'!$C:$FB,68)</f>
        <v>11947</v>
      </c>
      <c r="N151" s="75">
        <f t="shared" si="16"/>
        <v>3687</v>
      </c>
      <c r="O151" s="75">
        <f t="shared" si="17"/>
        <v>23.583216067545091</v>
      </c>
      <c r="P151" s="75">
        <f>VLOOKUP($A151,'Data Vlaue (Cr)'!$C:$FB,119)</f>
        <v>0.51</v>
      </c>
      <c r="Q151" s="75">
        <f>VLOOKUP($A151,'Data Vlaue (Cr)'!$C:$FB,122)*100</f>
        <v>54.55</v>
      </c>
      <c r="R151" s="75">
        <f>VLOOKUP($A151,'Data Vlaue (Cr)'!$C:$FB,125)</f>
        <v>0.43</v>
      </c>
      <c r="S151" s="75">
        <f>VLOOKUP($A151,'Data Vlaue (Cr)'!$C:$FB,128)*100</f>
        <v>16.220000000000002</v>
      </c>
    </row>
    <row r="152" spans="1:19" x14ac:dyDescent="0.25">
      <c r="A152" s="96" t="str">
        <f>'Data Vlaue (Cr)'!C143</f>
        <v>MAXHEALTH</v>
      </c>
      <c r="B152" s="75">
        <f>VLOOKUP($A152,'Data Vlaue (Cr)'!$C:$FB,2)</f>
        <v>525</v>
      </c>
      <c r="C152" s="75">
        <f>VLOOKUP($A152,'Data Vlaue (Cr)'!$C:$FB,8)</f>
        <v>1246</v>
      </c>
      <c r="D152" s="75">
        <f>VLOOKUP($A152,'Data Vlaue (Cr)'!$C:$FB,4)</f>
        <v>1251.5</v>
      </c>
      <c r="E152" s="75">
        <f>VLOOKUP($A152,'Data Vlaue (Cr)'!$C:$FB,5)</f>
        <v>1270.8</v>
      </c>
      <c r="F152" s="75">
        <f t="shared" si="12"/>
        <v>5.5</v>
      </c>
      <c r="G152" s="75">
        <f t="shared" si="13"/>
        <v>-1.5421494206951623</v>
      </c>
      <c r="H152" s="75">
        <f>VLOOKUP($A152,'Data Vlaue (Cr)'!$C:$FB,99)</f>
        <v>1483</v>
      </c>
      <c r="I152" s="75">
        <f>VLOOKUP($A152,'Data Vlaue (Cr)'!$C:$FB,100)</f>
        <v>1860</v>
      </c>
      <c r="J152" s="75">
        <f t="shared" si="14"/>
        <v>-377</v>
      </c>
      <c r="K152" s="75">
        <f t="shared" si="15"/>
        <v>-25.421443020903574</v>
      </c>
      <c r="L152" s="75">
        <f>VLOOKUP($A152,'Data Vlaue (Cr)'!$C:$FB,67)</f>
        <v>1020</v>
      </c>
      <c r="M152" s="75">
        <f>VLOOKUP($A152,'Data Vlaue (Cr)'!$C:$FB,68)</f>
        <v>1374</v>
      </c>
      <c r="N152" s="75">
        <f t="shared" si="16"/>
        <v>-354</v>
      </c>
      <c r="O152" s="75">
        <f t="shared" si="17"/>
        <v>-34.705882352941174</v>
      </c>
      <c r="P152" s="75">
        <f>VLOOKUP($A152,'Data Vlaue (Cr)'!$C:$FB,119)</f>
        <v>0.69</v>
      </c>
      <c r="Q152" s="75">
        <f>VLOOKUP($A152,'Data Vlaue (Cr)'!$C:$FB,122)*100</f>
        <v>50</v>
      </c>
      <c r="R152" s="75">
        <f>VLOOKUP($A152,'Data Vlaue (Cr)'!$C:$FB,125)</f>
        <v>0.54</v>
      </c>
      <c r="S152" s="75">
        <f>VLOOKUP($A152,'Data Vlaue (Cr)'!$C:$FB,128)*100</f>
        <v>25.580000000000002</v>
      </c>
    </row>
    <row r="153" spans="1:19" x14ac:dyDescent="0.25">
      <c r="A153" s="96" t="str">
        <f>'Data Vlaue (Cr)'!C144</f>
        <v>MAZDOCK</v>
      </c>
      <c r="B153" s="75">
        <f>VLOOKUP($A153,'Data Vlaue (Cr)'!$C:$FB,2)</f>
        <v>175</v>
      </c>
      <c r="C153" s="75">
        <f>VLOOKUP($A153,'Data Vlaue (Cr)'!$C:$FB,8)</f>
        <v>2771.2</v>
      </c>
      <c r="D153" s="75">
        <f>VLOOKUP($A153,'Data Vlaue (Cr)'!$C:$FB,4)</f>
        <v>2779</v>
      </c>
      <c r="E153" s="75">
        <f>VLOOKUP($A153,'Data Vlaue (Cr)'!$C:$FB,5)</f>
        <v>2774.2</v>
      </c>
      <c r="F153" s="75">
        <f t="shared" si="12"/>
        <v>7.8000000000001819</v>
      </c>
      <c r="G153" s="75">
        <f t="shared" si="13"/>
        <v>0.17272400143937322</v>
      </c>
      <c r="H153" s="75">
        <f>VLOOKUP($A153,'Data Vlaue (Cr)'!$C:$FB,99)</f>
        <v>1300</v>
      </c>
      <c r="I153" s="75">
        <f>VLOOKUP($A153,'Data Vlaue (Cr)'!$C:$FB,100)</f>
        <v>2159</v>
      </c>
      <c r="J153" s="75">
        <f t="shared" si="14"/>
        <v>-859</v>
      </c>
      <c r="K153" s="75">
        <f t="shared" si="15"/>
        <v>-66.07692307692308</v>
      </c>
      <c r="L153" s="75">
        <f>VLOOKUP($A153,'Data Vlaue (Cr)'!$C:$FB,67)</f>
        <v>2600</v>
      </c>
      <c r="M153" s="75">
        <f>VLOOKUP($A153,'Data Vlaue (Cr)'!$C:$FB,68)</f>
        <v>2820</v>
      </c>
      <c r="N153" s="75">
        <f t="shared" si="16"/>
        <v>-220</v>
      </c>
      <c r="O153" s="75">
        <f t="shared" si="17"/>
        <v>-8.4615384615384617</v>
      </c>
      <c r="P153" s="75">
        <f>VLOOKUP($A153,'Data Vlaue (Cr)'!$C:$FB,119)</f>
        <v>0.55000000000000004</v>
      </c>
      <c r="Q153" s="75">
        <f>VLOOKUP($A153,'Data Vlaue (Cr)'!$C:$FB,122)*100</f>
        <v>19.57</v>
      </c>
      <c r="R153" s="75">
        <f>VLOOKUP($A153,'Data Vlaue (Cr)'!$C:$FB,125)</f>
        <v>0.31</v>
      </c>
      <c r="S153" s="75">
        <f>VLOOKUP($A153,'Data Vlaue (Cr)'!$C:$FB,128)*100</f>
        <v>-11.43</v>
      </c>
    </row>
    <row r="154" spans="1:19" x14ac:dyDescent="0.25">
      <c r="A154" s="96" t="str">
        <f>'Data Vlaue (Cr)'!C145</f>
        <v>MCX</v>
      </c>
      <c r="B154" s="75">
        <f>VLOOKUP($A154,'Data Vlaue (Cr)'!$C:$FB,2)</f>
        <v>125</v>
      </c>
      <c r="C154" s="75">
        <f>VLOOKUP($A154,'Data Vlaue (Cr)'!$C:$FB,8)</f>
        <v>7693</v>
      </c>
      <c r="D154" s="75">
        <f>VLOOKUP($A154,'Data Vlaue (Cr)'!$C:$FB,4)</f>
        <v>7697.5</v>
      </c>
      <c r="E154" s="75">
        <f>VLOOKUP($A154,'Data Vlaue (Cr)'!$C:$FB,5)</f>
        <v>7793.5</v>
      </c>
      <c r="F154" s="75">
        <f t="shared" si="12"/>
        <v>4.5</v>
      </c>
      <c r="G154" s="75">
        <f t="shared" si="13"/>
        <v>-1.2471581682364403</v>
      </c>
      <c r="H154" s="75">
        <f>VLOOKUP($A154,'Data Vlaue (Cr)'!$C:$FB,99)</f>
        <v>2856</v>
      </c>
      <c r="I154" s="75">
        <f>VLOOKUP($A154,'Data Vlaue (Cr)'!$C:$FB,100)</f>
        <v>5375</v>
      </c>
      <c r="J154" s="75">
        <f t="shared" si="14"/>
        <v>-2519</v>
      </c>
      <c r="K154" s="75">
        <f t="shared" si="15"/>
        <v>-88.200280112044823</v>
      </c>
      <c r="L154" s="75">
        <f>VLOOKUP($A154,'Data Vlaue (Cr)'!$C:$FB,67)</f>
        <v>5310</v>
      </c>
      <c r="M154" s="75">
        <f>VLOOKUP($A154,'Data Vlaue (Cr)'!$C:$FB,68)</f>
        <v>6108</v>
      </c>
      <c r="N154" s="75">
        <f t="shared" si="16"/>
        <v>-798</v>
      </c>
      <c r="O154" s="75">
        <f t="shared" si="17"/>
        <v>-15.028248587570623</v>
      </c>
      <c r="P154" s="75">
        <f>VLOOKUP($A154,'Data Vlaue (Cr)'!$C:$FB,119)</f>
        <v>0.69</v>
      </c>
      <c r="Q154" s="75">
        <f>VLOOKUP($A154,'Data Vlaue (Cr)'!$C:$FB,122)*100</f>
        <v>13.11</v>
      </c>
      <c r="R154" s="75">
        <f>VLOOKUP($A154,'Data Vlaue (Cr)'!$C:$FB,125)</f>
        <v>0.57999999999999996</v>
      </c>
      <c r="S154" s="75">
        <f>VLOOKUP($A154,'Data Vlaue (Cr)'!$C:$FB,128)*100</f>
        <v>-14.71</v>
      </c>
    </row>
    <row r="155" spans="1:19" x14ac:dyDescent="0.25">
      <c r="A155" s="96" t="str">
        <f>'Data Vlaue (Cr)'!C146</f>
        <v>MFSL</v>
      </c>
      <c r="B155" s="75">
        <f>VLOOKUP($A155,'Data Vlaue (Cr)'!$C:$FB,2)</f>
        <v>800</v>
      </c>
      <c r="C155" s="75">
        <f>VLOOKUP($A155,'Data Vlaue (Cr)'!$C:$FB,8)</f>
        <v>1501.4</v>
      </c>
      <c r="D155" s="75">
        <f>VLOOKUP($A155,'Data Vlaue (Cr)'!$C:$FB,4)</f>
        <v>1507</v>
      </c>
      <c r="E155" s="75">
        <f>VLOOKUP($A155,'Data Vlaue (Cr)'!$C:$FB,5)</f>
        <v>1515.7</v>
      </c>
      <c r="F155" s="75">
        <f t="shared" si="12"/>
        <v>5.5999999999999091</v>
      </c>
      <c r="G155" s="75">
        <f t="shared" si="13"/>
        <v>-0.57730590577306207</v>
      </c>
      <c r="H155" s="75">
        <f>VLOOKUP($A155,'Data Vlaue (Cr)'!$C:$FB,99)</f>
        <v>887</v>
      </c>
      <c r="I155" s="75">
        <f>VLOOKUP($A155,'Data Vlaue (Cr)'!$C:$FB,100)</f>
        <v>1318</v>
      </c>
      <c r="J155" s="75">
        <f t="shared" si="14"/>
        <v>-431</v>
      </c>
      <c r="K155" s="75">
        <f t="shared" si="15"/>
        <v>-48.590755355129652</v>
      </c>
      <c r="L155" s="75">
        <f>VLOOKUP($A155,'Data Vlaue (Cr)'!$C:$FB,67)</f>
        <v>650</v>
      </c>
      <c r="M155" s="75">
        <f>VLOOKUP($A155,'Data Vlaue (Cr)'!$C:$FB,68)</f>
        <v>1050</v>
      </c>
      <c r="N155" s="75">
        <f t="shared" si="16"/>
        <v>-400</v>
      </c>
      <c r="O155" s="75">
        <f t="shared" si="17"/>
        <v>-61.53846153846154</v>
      </c>
      <c r="P155" s="75">
        <f>VLOOKUP($A155,'Data Vlaue (Cr)'!$C:$FB,119)</f>
        <v>1.06</v>
      </c>
      <c r="Q155" s="75">
        <f>VLOOKUP($A155,'Data Vlaue (Cr)'!$C:$FB,122)*100</f>
        <v>43.24</v>
      </c>
      <c r="R155" s="75">
        <f>VLOOKUP($A155,'Data Vlaue (Cr)'!$C:$FB,125)</f>
        <v>1.4</v>
      </c>
      <c r="S155" s="75">
        <f>VLOOKUP($A155,'Data Vlaue (Cr)'!$C:$FB,128)*100</f>
        <v>204.35</v>
      </c>
    </row>
    <row r="156" spans="1:19" x14ac:dyDescent="0.25">
      <c r="A156" s="96" t="str">
        <f>'Data Vlaue (Cr)'!C147</f>
        <v>MGL</v>
      </c>
      <c r="B156" s="75">
        <f>VLOOKUP($A156,'Data Vlaue (Cr)'!$C:$FB,2)</f>
        <v>400</v>
      </c>
      <c r="C156" s="75">
        <f>VLOOKUP($A156,'Data Vlaue (Cr)'!$C:$FB,8)</f>
        <v>1358.1</v>
      </c>
      <c r="D156" s="75">
        <f>VLOOKUP($A156,'Data Vlaue (Cr)'!$C:$FB,4)</f>
        <v>0</v>
      </c>
      <c r="E156" s="75">
        <f>VLOOKUP($A156,'Data Vlaue (Cr)'!$C:$FB,5)</f>
        <v>0</v>
      </c>
      <c r="F156" s="75">
        <f t="shared" si="12"/>
        <v>-1358.1</v>
      </c>
      <c r="G156" s="75" t="e">
        <f t="shared" si="13"/>
        <v>#DIV/0!</v>
      </c>
      <c r="H156" s="75">
        <f>VLOOKUP($A156,'Data Vlaue (Cr)'!$C:$FB,99)</f>
        <v>0</v>
      </c>
      <c r="I156" s="75">
        <f>VLOOKUP($A156,'Data Vlaue (Cr)'!$C:$FB,100)</f>
        <v>0</v>
      </c>
      <c r="J156" s="75">
        <f t="shared" si="14"/>
        <v>0</v>
      </c>
      <c r="K156" s="75" t="e">
        <f t="shared" si="15"/>
        <v>#DIV/0!</v>
      </c>
      <c r="L156" s="75">
        <f>VLOOKUP($A156,'Data Vlaue (Cr)'!$C:$FB,67)</f>
        <v>0</v>
      </c>
      <c r="M156" s="75">
        <f>VLOOKUP($A156,'Data Vlaue (Cr)'!$C:$FB,68)</f>
        <v>0</v>
      </c>
      <c r="N156" s="75">
        <f t="shared" si="16"/>
        <v>0</v>
      </c>
      <c r="O156" s="75" t="e">
        <f t="shared" si="17"/>
        <v>#DIV/0!</v>
      </c>
      <c r="P156" s="75">
        <f>VLOOKUP($A156,'Data Vlaue (Cr)'!$C:$FB,119)</f>
        <v>0.56999999999999995</v>
      </c>
      <c r="Q156" s="75">
        <f>VLOOKUP($A156,'Data Vlaue (Cr)'!$C:$FB,122)*100</f>
        <v>21.279999999999998</v>
      </c>
      <c r="R156" s="75">
        <f>VLOOKUP($A156,'Data Vlaue (Cr)'!$C:$FB,125)</f>
        <v>0.38</v>
      </c>
      <c r="S156" s="75">
        <f>VLOOKUP($A156,'Data Vlaue (Cr)'!$C:$FB,128)*100</f>
        <v>11.76</v>
      </c>
    </row>
    <row r="157" spans="1:19" x14ac:dyDescent="0.25">
      <c r="A157" s="96" t="str">
        <f>'Data Vlaue (Cr)'!C148</f>
        <v>MIDCPNIFTY</v>
      </c>
      <c r="B157" s="75">
        <f>VLOOKUP($A157,'Data Vlaue (Cr)'!$C:$FB,2)</f>
        <v>140</v>
      </c>
      <c r="C157" s="75">
        <f>VLOOKUP($A157,'Data Vlaue (Cr)'!$C:$FB,8)</f>
        <v>12867.1</v>
      </c>
      <c r="D157" s="75">
        <f>VLOOKUP($A157,'Data Vlaue (Cr)'!$C:$FB,4)</f>
        <v>12920.65</v>
      </c>
      <c r="E157" s="75">
        <f>VLOOKUP($A157,'Data Vlaue (Cr)'!$C:$FB,5)</f>
        <v>13058.7</v>
      </c>
      <c r="F157" s="75">
        <f t="shared" si="12"/>
        <v>53.549999999999272</v>
      </c>
      <c r="G157" s="75">
        <f t="shared" si="13"/>
        <v>-1.0684446989896104</v>
      </c>
      <c r="H157" s="75">
        <f>VLOOKUP($A157,'Data Vlaue (Cr)'!$C:$FB,99)</f>
        <v>7084</v>
      </c>
      <c r="I157" s="75">
        <f>VLOOKUP($A157,'Data Vlaue (Cr)'!$C:$FB,100)</f>
        <v>47905</v>
      </c>
      <c r="J157" s="75">
        <f t="shared" si="14"/>
        <v>-40821</v>
      </c>
      <c r="K157" s="75">
        <f t="shared" si="15"/>
        <v>-576.24223602484471</v>
      </c>
      <c r="L157" s="75">
        <f>VLOOKUP($A157,'Data Vlaue (Cr)'!$C:$FB,67)</f>
        <v>1986800</v>
      </c>
      <c r="M157" s="75">
        <f>VLOOKUP($A157,'Data Vlaue (Cr)'!$C:$FB,68)</f>
        <v>539703</v>
      </c>
      <c r="N157" s="75">
        <f t="shared" si="16"/>
        <v>1447097</v>
      </c>
      <c r="O157" s="75">
        <f t="shared" si="17"/>
        <v>72.835564727199525</v>
      </c>
      <c r="P157" s="75">
        <f>VLOOKUP($A157,'Data Vlaue (Cr)'!$C:$FB,119)</f>
        <v>1.2</v>
      </c>
      <c r="Q157" s="75">
        <f>VLOOKUP($A157,'Data Vlaue (Cr)'!$C:$FB,122)*100</f>
        <v>57.89</v>
      </c>
      <c r="R157" s="75">
        <f>VLOOKUP($A157,'Data Vlaue (Cr)'!$C:$FB,125)</f>
        <v>0.92</v>
      </c>
      <c r="S157" s="75">
        <f>VLOOKUP($A157,'Data Vlaue (Cr)'!$C:$FB,128)*100</f>
        <v>3.37</v>
      </c>
    </row>
    <row r="158" spans="1:19" x14ac:dyDescent="0.25">
      <c r="A158" s="96" t="str">
        <f>'Data Vlaue (Cr)'!C149</f>
        <v>MOTHERSON</v>
      </c>
      <c r="B158" s="75">
        <f>VLOOKUP($A158,'Data Vlaue (Cr)'!$C:$FB,2)</f>
        <v>6150</v>
      </c>
      <c r="C158" s="75">
        <f>VLOOKUP($A158,'Data Vlaue (Cr)'!$C:$FB,8)</f>
        <v>97.17</v>
      </c>
      <c r="D158" s="75">
        <f>VLOOKUP($A158,'Data Vlaue (Cr)'!$C:$FB,4)</f>
        <v>97.68</v>
      </c>
      <c r="E158" s="75">
        <f>VLOOKUP($A158,'Data Vlaue (Cr)'!$C:$FB,5)</f>
        <v>99.23</v>
      </c>
      <c r="F158" s="75">
        <f t="shared" si="12"/>
        <v>0.51000000000000512</v>
      </c>
      <c r="G158" s="75">
        <f t="shared" si="13"/>
        <v>-1.5868140868140836</v>
      </c>
      <c r="H158" s="75">
        <f>VLOOKUP($A158,'Data Vlaue (Cr)'!$C:$FB,99)</f>
        <v>1835</v>
      </c>
      <c r="I158" s="75">
        <f>VLOOKUP($A158,'Data Vlaue (Cr)'!$C:$FB,100)</f>
        <v>2253</v>
      </c>
      <c r="J158" s="75">
        <f t="shared" si="14"/>
        <v>-418</v>
      </c>
      <c r="K158" s="75">
        <f t="shared" si="15"/>
        <v>-22.779291553133515</v>
      </c>
      <c r="L158" s="75">
        <f>VLOOKUP($A158,'Data Vlaue (Cr)'!$C:$FB,67)</f>
        <v>1336</v>
      </c>
      <c r="M158" s="75">
        <f>VLOOKUP($A158,'Data Vlaue (Cr)'!$C:$FB,68)</f>
        <v>1578</v>
      </c>
      <c r="N158" s="75">
        <f t="shared" si="16"/>
        <v>-242</v>
      </c>
      <c r="O158" s="75">
        <f t="shared" si="17"/>
        <v>-18.113772455089823</v>
      </c>
      <c r="P158" s="75">
        <f>VLOOKUP($A158,'Data Vlaue (Cr)'!$C:$FB,119)</f>
        <v>0.69</v>
      </c>
      <c r="Q158" s="75">
        <f>VLOOKUP($A158,'Data Vlaue (Cr)'!$C:$FB,122)*100</f>
        <v>13.11</v>
      </c>
      <c r="R158" s="75">
        <f>VLOOKUP($A158,'Data Vlaue (Cr)'!$C:$FB,125)</f>
        <v>0.95</v>
      </c>
      <c r="S158" s="75">
        <f>VLOOKUP($A158,'Data Vlaue (Cr)'!$C:$FB,128)*100</f>
        <v>41.79</v>
      </c>
    </row>
    <row r="159" spans="1:19" x14ac:dyDescent="0.25">
      <c r="A159" s="96" t="str">
        <f>'Data Vlaue (Cr)'!C150</f>
        <v>MPHASIS</v>
      </c>
      <c r="B159" s="75">
        <f>VLOOKUP($A159,'Data Vlaue (Cr)'!$C:$FB,2)</f>
        <v>275</v>
      </c>
      <c r="C159" s="75">
        <f>VLOOKUP($A159,'Data Vlaue (Cr)'!$C:$FB,8)</f>
        <v>2790.2</v>
      </c>
      <c r="D159" s="75">
        <f>VLOOKUP($A159,'Data Vlaue (Cr)'!$C:$FB,4)</f>
        <v>2799</v>
      </c>
      <c r="E159" s="75">
        <f>VLOOKUP($A159,'Data Vlaue (Cr)'!$C:$FB,5)</f>
        <v>2819.2</v>
      </c>
      <c r="F159" s="75">
        <f t="shared" si="12"/>
        <v>8.8000000000001819</v>
      </c>
      <c r="G159" s="75">
        <f t="shared" si="13"/>
        <v>-0.72168631654161552</v>
      </c>
      <c r="H159" s="75">
        <f>VLOOKUP($A159,'Data Vlaue (Cr)'!$C:$FB,99)</f>
        <v>1313</v>
      </c>
      <c r="I159" s="75">
        <f>VLOOKUP($A159,'Data Vlaue (Cr)'!$C:$FB,100)</f>
        <v>1935</v>
      </c>
      <c r="J159" s="75">
        <f t="shared" si="14"/>
        <v>-622</v>
      </c>
      <c r="K159" s="75">
        <f t="shared" si="15"/>
        <v>-47.372429550647368</v>
      </c>
      <c r="L159" s="75">
        <f>VLOOKUP($A159,'Data Vlaue (Cr)'!$C:$FB,67)</f>
        <v>1494</v>
      </c>
      <c r="M159" s="75">
        <f>VLOOKUP($A159,'Data Vlaue (Cr)'!$C:$FB,68)</f>
        <v>2756</v>
      </c>
      <c r="N159" s="75">
        <f t="shared" si="16"/>
        <v>-1262</v>
      </c>
      <c r="O159" s="75">
        <f t="shared" si="17"/>
        <v>-84.471218206157957</v>
      </c>
      <c r="P159" s="75">
        <f>VLOOKUP($A159,'Data Vlaue (Cr)'!$C:$FB,119)</f>
        <v>0.68</v>
      </c>
      <c r="Q159" s="75">
        <f>VLOOKUP($A159,'Data Vlaue (Cr)'!$C:$FB,122)*100</f>
        <v>-19.05</v>
      </c>
      <c r="R159" s="75">
        <f>VLOOKUP($A159,'Data Vlaue (Cr)'!$C:$FB,125)</f>
        <v>0.59</v>
      </c>
      <c r="S159" s="75">
        <f>VLOOKUP($A159,'Data Vlaue (Cr)'!$C:$FB,128)*100</f>
        <v>51.28</v>
      </c>
    </row>
    <row r="160" spans="1:19" x14ac:dyDescent="0.25">
      <c r="A160" s="96" t="str">
        <f>'Data Vlaue (Cr)'!C151</f>
        <v>MUTHOOTFIN</v>
      </c>
      <c r="B160" s="75">
        <f>VLOOKUP($A160,'Data Vlaue (Cr)'!$C:$FB,2)</f>
        <v>275</v>
      </c>
      <c r="C160" s="75">
        <f>VLOOKUP($A160,'Data Vlaue (Cr)'!$C:$FB,8)</f>
        <v>2612.3000000000002</v>
      </c>
      <c r="D160" s="75">
        <f>VLOOKUP($A160,'Data Vlaue (Cr)'!$C:$FB,4)</f>
        <v>2620</v>
      </c>
      <c r="E160" s="75">
        <f>VLOOKUP($A160,'Data Vlaue (Cr)'!$C:$FB,5)</f>
        <v>2633.1</v>
      </c>
      <c r="F160" s="75">
        <f t="shared" si="12"/>
        <v>7.6999999999998181</v>
      </c>
      <c r="G160" s="75">
        <f t="shared" si="13"/>
        <v>-0.49999999999999656</v>
      </c>
      <c r="H160" s="75">
        <f>VLOOKUP($A160,'Data Vlaue (Cr)'!$C:$FB,99)</f>
        <v>1290</v>
      </c>
      <c r="I160" s="75">
        <f>VLOOKUP($A160,'Data Vlaue (Cr)'!$C:$FB,100)</f>
        <v>2323</v>
      </c>
      <c r="J160" s="75">
        <f t="shared" si="14"/>
        <v>-1033</v>
      </c>
      <c r="K160" s="75">
        <f t="shared" si="15"/>
        <v>-80.077519379844958</v>
      </c>
      <c r="L160" s="75">
        <f>VLOOKUP($A160,'Data Vlaue (Cr)'!$C:$FB,67)</f>
        <v>1631</v>
      </c>
      <c r="M160" s="75">
        <f>VLOOKUP($A160,'Data Vlaue (Cr)'!$C:$FB,68)</f>
        <v>1319</v>
      </c>
      <c r="N160" s="75">
        <f t="shared" si="16"/>
        <v>312</v>
      </c>
      <c r="O160" s="75">
        <f t="shared" si="17"/>
        <v>19.129368485591662</v>
      </c>
      <c r="P160" s="75">
        <f>VLOOKUP($A160,'Data Vlaue (Cr)'!$C:$FB,119)</f>
        <v>0.26</v>
      </c>
      <c r="Q160" s="75">
        <f>VLOOKUP($A160,'Data Vlaue (Cr)'!$C:$FB,122)*100</f>
        <v>-48</v>
      </c>
      <c r="R160" s="75">
        <f>VLOOKUP($A160,'Data Vlaue (Cr)'!$C:$FB,125)</f>
        <v>0.43</v>
      </c>
      <c r="S160" s="75">
        <f>VLOOKUP($A160,'Data Vlaue (Cr)'!$C:$FB,128)*100</f>
        <v>-18.87</v>
      </c>
    </row>
    <row r="161" spans="1:19" x14ac:dyDescent="0.25">
      <c r="A161" s="96" t="str">
        <f>'Data Vlaue (Cr)'!C152</f>
        <v>NATIONALUM</v>
      </c>
      <c r="B161" s="75">
        <f>VLOOKUP($A161,'Data Vlaue (Cr)'!$C:$FB,2)</f>
        <v>3750</v>
      </c>
      <c r="C161" s="75">
        <f>VLOOKUP($A161,'Data Vlaue (Cr)'!$C:$FB,8)</f>
        <v>185.06</v>
      </c>
      <c r="D161" s="75">
        <f>VLOOKUP($A161,'Data Vlaue (Cr)'!$C:$FB,4)</f>
        <v>185.9</v>
      </c>
      <c r="E161" s="75">
        <f>VLOOKUP($A161,'Data Vlaue (Cr)'!$C:$FB,5)</f>
        <v>187.86</v>
      </c>
      <c r="F161" s="75">
        <f t="shared" si="12"/>
        <v>0.84000000000000341</v>
      </c>
      <c r="G161" s="75">
        <f t="shared" si="13"/>
        <v>-1.05433028509952</v>
      </c>
      <c r="H161" s="75">
        <f>VLOOKUP($A161,'Data Vlaue (Cr)'!$C:$FB,99)</f>
        <v>1688</v>
      </c>
      <c r="I161" s="75">
        <f>VLOOKUP($A161,'Data Vlaue (Cr)'!$C:$FB,100)</f>
        <v>1998</v>
      </c>
      <c r="J161" s="75">
        <f t="shared" si="14"/>
        <v>-310</v>
      </c>
      <c r="K161" s="75">
        <f t="shared" si="15"/>
        <v>-18.364928909952607</v>
      </c>
      <c r="L161" s="75">
        <f>VLOOKUP($A161,'Data Vlaue (Cr)'!$C:$FB,67)</f>
        <v>1796</v>
      </c>
      <c r="M161" s="75">
        <f>VLOOKUP($A161,'Data Vlaue (Cr)'!$C:$FB,68)</f>
        <v>1384</v>
      </c>
      <c r="N161" s="75">
        <f t="shared" si="16"/>
        <v>412</v>
      </c>
      <c r="O161" s="75">
        <f t="shared" si="17"/>
        <v>22.939866369710469</v>
      </c>
      <c r="P161" s="75">
        <f>VLOOKUP($A161,'Data Vlaue (Cr)'!$C:$FB,119)</f>
        <v>0.93</v>
      </c>
      <c r="Q161" s="75">
        <f>VLOOKUP($A161,'Data Vlaue (Cr)'!$C:$FB,122)*100</f>
        <v>29.17</v>
      </c>
      <c r="R161" s="75">
        <f>VLOOKUP($A161,'Data Vlaue (Cr)'!$C:$FB,125)</f>
        <v>0.81</v>
      </c>
      <c r="S161" s="75">
        <f>VLOOKUP($A161,'Data Vlaue (Cr)'!$C:$FB,128)*100</f>
        <v>42.11</v>
      </c>
    </row>
    <row r="162" spans="1:19" x14ac:dyDescent="0.25">
      <c r="A162" s="96" t="str">
        <f>'Data Vlaue (Cr)'!C153</f>
        <v>NAUKRI</v>
      </c>
      <c r="B162" s="75">
        <f>VLOOKUP($A162,'Data Vlaue (Cr)'!$C:$FB,2)</f>
        <v>375</v>
      </c>
      <c r="C162" s="75">
        <f>VLOOKUP($A162,'Data Vlaue (Cr)'!$C:$FB,8)</f>
        <v>1392.3</v>
      </c>
      <c r="D162" s="75">
        <f>VLOOKUP($A162,'Data Vlaue (Cr)'!$C:$FB,4)</f>
        <v>1399.1</v>
      </c>
      <c r="E162" s="75">
        <f>VLOOKUP($A162,'Data Vlaue (Cr)'!$C:$FB,5)</f>
        <v>1402.2</v>
      </c>
      <c r="F162" s="75">
        <f t="shared" si="12"/>
        <v>6.7999999999999545</v>
      </c>
      <c r="G162" s="75">
        <f t="shared" si="13"/>
        <v>-0.22157100993496795</v>
      </c>
      <c r="H162" s="75">
        <f>VLOOKUP($A162,'Data Vlaue (Cr)'!$C:$FB,99)</f>
        <v>1664</v>
      </c>
      <c r="I162" s="75">
        <f>VLOOKUP($A162,'Data Vlaue (Cr)'!$C:$FB,100)</f>
        <v>2149</v>
      </c>
      <c r="J162" s="75">
        <f t="shared" si="14"/>
        <v>-485</v>
      </c>
      <c r="K162" s="75">
        <f t="shared" si="15"/>
        <v>-29.146634615384613</v>
      </c>
      <c r="L162" s="75">
        <f>VLOOKUP($A162,'Data Vlaue (Cr)'!$C:$FB,67)</f>
        <v>647</v>
      </c>
      <c r="M162" s="75">
        <f>VLOOKUP($A162,'Data Vlaue (Cr)'!$C:$FB,68)</f>
        <v>1965</v>
      </c>
      <c r="N162" s="75">
        <f t="shared" si="16"/>
        <v>-1318</v>
      </c>
      <c r="O162" s="75">
        <f t="shared" si="17"/>
        <v>-203.70942812983</v>
      </c>
      <c r="P162" s="75">
        <f>VLOOKUP($A162,'Data Vlaue (Cr)'!$C:$FB,119)</f>
        <v>1.01</v>
      </c>
      <c r="Q162" s="75">
        <f>VLOOKUP($A162,'Data Vlaue (Cr)'!$C:$FB,122)*100</f>
        <v>53.03</v>
      </c>
      <c r="R162" s="75">
        <f>VLOOKUP($A162,'Data Vlaue (Cr)'!$C:$FB,125)</f>
        <v>0.61</v>
      </c>
      <c r="S162" s="75">
        <f>VLOOKUP($A162,'Data Vlaue (Cr)'!$C:$FB,128)*100</f>
        <v>-8.9599999999999991</v>
      </c>
    </row>
    <row r="163" spans="1:19" x14ac:dyDescent="0.25">
      <c r="A163" s="96" t="str">
        <f>'Data Vlaue (Cr)'!C154</f>
        <v>NBCC</v>
      </c>
      <c r="B163" s="75">
        <f>VLOOKUP($A163,'Data Vlaue (Cr)'!$C:$FB,2)</f>
        <v>6500</v>
      </c>
      <c r="C163" s="75">
        <f>VLOOKUP($A163,'Data Vlaue (Cr)'!$C:$FB,8)</f>
        <v>108.18</v>
      </c>
      <c r="D163" s="75">
        <f>VLOOKUP($A163,'Data Vlaue (Cr)'!$C:$FB,4)</f>
        <v>108.67</v>
      </c>
      <c r="E163" s="75">
        <f>VLOOKUP($A163,'Data Vlaue (Cr)'!$C:$FB,5)</f>
        <v>109.24</v>
      </c>
      <c r="F163" s="75">
        <f t="shared" si="12"/>
        <v>0.48999999999999488</v>
      </c>
      <c r="G163" s="75">
        <f t="shared" si="13"/>
        <v>-0.52452378761387053</v>
      </c>
      <c r="H163" s="75">
        <f>VLOOKUP($A163,'Data Vlaue (Cr)'!$C:$FB,99)</f>
        <v>694</v>
      </c>
      <c r="I163" s="75">
        <f>VLOOKUP($A163,'Data Vlaue (Cr)'!$C:$FB,100)</f>
        <v>1103</v>
      </c>
      <c r="J163" s="75">
        <f t="shared" si="14"/>
        <v>-409</v>
      </c>
      <c r="K163" s="75">
        <f t="shared" si="15"/>
        <v>-58.933717579250725</v>
      </c>
      <c r="L163" s="75">
        <f>VLOOKUP($A163,'Data Vlaue (Cr)'!$C:$FB,67)</f>
        <v>673</v>
      </c>
      <c r="M163" s="75">
        <f>VLOOKUP($A163,'Data Vlaue (Cr)'!$C:$FB,68)</f>
        <v>458</v>
      </c>
      <c r="N163" s="75">
        <f t="shared" si="16"/>
        <v>215</v>
      </c>
      <c r="O163" s="75">
        <f t="shared" si="17"/>
        <v>31.946508172362552</v>
      </c>
      <c r="P163" s="75">
        <f>VLOOKUP($A163,'Data Vlaue (Cr)'!$C:$FB,119)</f>
        <v>0.68</v>
      </c>
      <c r="Q163" s="75">
        <f>VLOOKUP($A163,'Data Vlaue (Cr)'!$C:$FB,122)*100</f>
        <v>47.83</v>
      </c>
      <c r="R163" s="75">
        <f>VLOOKUP($A163,'Data Vlaue (Cr)'!$C:$FB,125)</f>
        <v>0.79</v>
      </c>
      <c r="S163" s="75">
        <f>VLOOKUP($A163,'Data Vlaue (Cr)'!$C:$FB,128)*100</f>
        <v>31.669999999999998</v>
      </c>
    </row>
    <row r="164" spans="1:19" x14ac:dyDescent="0.25">
      <c r="A164" s="96" t="str">
        <f>'Data Vlaue (Cr)'!C155</f>
        <v>NCC</v>
      </c>
      <c r="B164" s="75">
        <f>VLOOKUP($A164,'Data Vlaue (Cr)'!$C:$FB,2)</f>
        <v>2700</v>
      </c>
      <c r="C164" s="75">
        <f>VLOOKUP($A164,'Data Vlaue (Cr)'!$C:$FB,8)</f>
        <v>217.71</v>
      </c>
      <c r="D164" s="75">
        <f>VLOOKUP($A164,'Data Vlaue (Cr)'!$C:$FB,4)</f>
        <v>217.26</v>
      </c>
      <c r="E164" s="75">
        <f>VLOOKUP($A164,'Data Vlaue (Cr)'!$C:$FB,5)</f>
        <v>222.46</v>
      </c>
      <c r="F164" s="75">
        <f t="shared" si="12"/>
        <v>-0.45000000000001705</v>
      </c>
      <c r="G164" s="75">
        <f t="shared" si="13"/>
        <v>-2.3934456411672729</v>
      </c>
      <c r="H164" s="75">
        <f>VLOOKUP($A164,'Data Vlaue (Cr)'!$C:$FB,99)</f>
        <v>396</v>
      </c>
      <c r="I164" s="75">
        <f>VLOOKUP($A164,'Data Vlaue (Cr)'!$C:$FB,100)</f>
        <v>625</v>
      </c>
      <c r="J164" s="75">
        <f t="shared" si="14"/>
        <v>-229</v>
      </c>
      <c r="K164" s="75">
        <f t="shared" si="15"/>
        <v>-57.828282828282831</v>
      </c>
      <c r="L164" s="75">
        <f>VLOOKUP($A164,'Data Vlaue (Cr)'!$C:$FB,67)</f>
        <v>370</v>
      </c>
      <c r="M164" s="75">
        <f>VLOOKUP($A164,'Data Vlaue (Cr)'!$C:$FB,68)</f>
        <v>464</v>
      </c>
      <c r="N164" s="75">
        <f t="shared" si="16"/>
        <v>-94</v>
      </c>
      <c r="O164" s="75">
        <f t="shared" si="17"/>
        <v>-25.405405405405407</v>
      </c>
      <c r="P164" s="75">
        <f>VLOOKUP($A164,'Data Vlaue (Cr)'!$C:$FB,119)</f>
        <v>0.74</v>
      </c>
      <c r="Q164" s="75">
        <f>VLOOKUP($A164,'Data Vlaue (Cr)'!$C:$FB,122)*100</f>
        <v>42.309999999999995</v>
      </c>
      <c r="R164" s="75">
        <f>VLOOKUP($A164,'Data Vlaue (Cr)'!$C:$FB,125)</f>
        <v>0.59</v>
      </c>
      <c r="S164" s="75">
        <f>VLOOKUP($A164,'Data Vlaue (Cr)'!$C:$FB,128)*100</f>
        <v>31.11</v>
      </c>
    </row>
    <row r="165" spans="1:19" x14ac:dyDescent="0.25">
      <c r="A165" s="96" t="str">
        <f>'Data Vlaue (Cr)'!C156</f>
        <v>NESTLEIND</v>
      </c>
      <c r="B165" s="75">
        <f>VLOOKUP($A165,'Data Vlaue (Cr)'!$C:$FB,2)</f>
        <v>250</v>
      </c>
      <c r="C165" s="75">
        <f>VLOOKUP($A165,'Data Vlaue (Cr)'!$C:$FB,8)</f>
        <v>2247.6999999999998</v>
      </c>
      <c r="D165" s="75">
        <f>VLOOKUP($A165,'Data Vlaue (Cr)'!$C:$FB,4)</f>
        <v>2257.8000000000002</v>
      </c>
      <c r="E165" s="75">
        <f>VLOOKUP($A165,'Data Vlaue (Cr)'!$C:$FB,5)</f>
        <v>2244.6999999999998</v>
      </c>
      <c r="F165" s="75">
        <f t="shared" si="12"/>
        <v>10.100000000000364</v>
      </c>
      <c r="G165" s="75">
        <f t="shared" si="13"/>
        <v>0.58021082469662344</v>
      </c>
      <c r="H165" s="75">
        <f>VLOOKUP($A165,'Data Vlaue (Cr)'!$C:$FB,99)</f>
        <v>2958</v>
      </c>
      <c r="I165" s="75">
        <f>VLOOKUP($A165,'Data Vlaue (Cr)'!$C:$FB,100)</f>
        <v>3931</v>
      </c>
      <c r="J165" s="75">
        <f t="shared" si="14"/>
        <v>-973</v>
      </c>
      <c r="K165" s="75">
        <f t="shared" si="15"/>
        <v>-32.893847194050032</v>
      </c>
      <c r="L165" s="75">
        <f>VLOOKUP($A165,'Data Vlaue (Cr)'!$C:$FB,67)</f>
        <v>1963</v>
      </c>
      <c r="M165" s="75">
        <f>VLOOKUP($A165,'Data Vlaue (Cr)'!$C:$FB,68)</f>
        <v>2166</v>
      </c>
      <c r="N165" s="75">
        <f t="shared" si="16"/>
        <v>-203</v>
      </c>
      <c r="O165" s="75">
        <f t="shared" si="17"/>
        <v>-10.341314314824249</v>
      </c>
      <c r="P165" s="75">
        <f>VLOOKUP($A165,'Data Vlaue (Cr)'!$C:$FB,119)</f>
        <v>0.91</v>
      </c>
      <c r="Q165" s="75">
        <f>VLOOKUP($A165,'Data Vlaue (Cr)'!$C:$FB,122)*100</f>
        <v>33.82</v>
      </c>
      <c r="R165" s="75">
        <f>VLOOKUP($A165,'Data Vlaue (Cr)'!$C:$FB,125)</f>
        <v>0.43</v>
      </c>
      <c r="S165" s="75">
        <f>VLOOKUP($A165,'Data Vlaue (Cr)'!$C:$FB,128)*100</f>
        <v>38.71</v>
      </c>
    </row>
    <row r="166" spans="1:19" x14ac:dyDescent="0.25">
      <c r="A166" s="96" t="str">
        <f>'Data Vlaue (Cr)'!C157</f>
        <v>NHPC</v>
      </c>
      <c r="B166" s="75">
        <f>VLOOKUP($A166,'Data Vlaue (Cr)'!$C:$FB,2)</f>
        <v>6400</v>
      </c>
      <c r="C166" s="75">
        <f>VLOOKUP($A166,'Data Vlaue (Cr)'!$C:$FB,8)</f>
        <v>83.25</v>
      </c>
      <c r="D166" s="75">
        <f>VLOOKUP($A166,'Data Vlaue (Cr)'!$C:$FB,4)</f>
        <v>83.24</v>
      </c>
      <c r="E166" s="75">
        <f>VLOOKUP($A166,'Data Vlaue (Cr)'!$C:$FB,5)</f>
        <v>84.47</v>
      </c>
      <c r="F166" s="75">
        <f t="shared" si="12"/>
        <v>-1.0000000000005116E-2</v>
      </c>
      <c r="G166" s="75">
        <f t="shared" si="13"/>
        <v>-1.4776549735704037</v>
      </c>
      <c r="H166" s="75">
        <f>VLOOKUP($A166,'Data Vlaue (Cr)'!$C:$FB,99)</f>
        <v>521</v>
      </c>
      <c r="I166" s="75">
        <f>VLOOKUP($A166,'Data Vlaue (Cr)'!$C:$FB,100)</f>
        <v>824</v>
      </c>
      <c r="J166" s="75">
        <f t="shared" si="14"/>
        <v>-303</v>
      </c>
      <c r="K166" s="75">
        <f t="shared" si="15"/>
        <v>-58.157389635316704</v>
      </c>
      <c r="L166" s="75">
        <f>VLOOKUP($A166,'Data Vlaue (Cr)'!$C:$FB,67)</f>
        <v>351</v>
      </c>
      <c r="M166" s="75">
        <f>VLOOKUP($A166,'Data Vlaue (Cr)'!$C:$FB,68)</f>
        <v>362</v>
      </c>
      <c r="N166" s="75">
        <f t="shared" si="16"/>
        <v>-11</v>
      </c>
      <c r="O166" s="75">
        <f t="shared" si="17"/>
        <v>-3.133903133903134</v>
      </c>
      <c r="P166" s="75">
        <f>VLOOKUP($A166,'Data Vlaue (Cr)'!$C:$FB,119)</f>
        <v>0.63</v>
      </c>
      <c r="Q166" s="75">
        <f>VLOOKUP($A166,'Data Vlaue (Cr)'!$C:$FB,122)*100</f>
        <v>31.25</v>
      </c>
      <c r="R166" s="75">
        <f>VLOOKUP($A166,'Data Vlaue (Cr)'!$C:$FB,125)</f>
        <v>0.52</v>
      </c>
      <c r="S166" s="75">
        <f>VLOOKUP($A166,'Data Vlaue (Cr)'!$C:$FB,128)*100</f>
        <v>0</v>
      </c>
    </row>
    <row r="167" spans="1:19" x14ac:dyDescent="0.25">
      <c r="A167" s="96" t="str">
        <f>'Data Vlaue (Cr)'!C158</f>
        <v>NIFTY</v>
      </c>
      <c r="B167" s="75">
        <f>VLOOKUP($A167,'Data Vlaue (Cr)'!$C:$FB,2)</f>
        <v>75</v>
      </c>
      <c r="C167" s="75">
        <f>VLOOKUP($A167,'Data Vlaue (Cr)'!$C:$FB,8)</f>
        <v>24768.35</v>
      </c>
      <c r="D167" s="75">
        <f>VLOOKUP($A167,'Data Vlaue (Cr)'!$C:$FB,4)</f>
        <v>24871.599999999999</v>
      </c>
      <c r="E167" s="75">
        <f>VLOOKUP($A167,'Data Vlaue (Cr)'!$C:$FB,5)</f>
        <v>24959.1</v>
      </c>
      <c r="F167" s="75">
        <f t="shared" si="12"/>
        <v>103.25</v>
      </c>
      <c r="G167" s="75">
        <f t="shared" si="13"/>
        <v>-0.35180688013638051</v>
      </c>
      <c r="H167" s="75">
        <f>VLOOKUP($A167,'Data Vlaue (Cr)'!$C:$FB,99)</f>
        <v>651679</v>
      </c>
      <c r="I167" s="75">
        <f>VLOOKUP($A167,'Data Vlaue (Cr)'!$C:$FB,100)</f>
        <v>1292212</v>
      </c>
      <c r="J167" s="75">
        <f t="shared" si="14"/>
        <v>-640533</v>
      </c>
      <c r="K167" s="75">
        <f t="shared" si="15"/>
        <v>-98.289648738105726</v>
      </c>
      <c r="L167" s="75">
        <f>VLOOKUP($A167,'Data Vlaue (Cr)'!$C:$FB,67)</f>
        <v>54749158</v>
      </c>
      <c r="M167" s="75">
        <f>VLOOKUP($A167,'Data Vlaue (Cr)'!$C:$FB,68)</f>
        <v>18290267</v>
      </c>
      <c r="N167" s="75">
        <f t="shared" si="16"/>
        <v>36458891</v>
      </c>
      <c r="O167" s="75">
        <f t="shared" si="17"/>
        <v>66.592605862541305</v>
      </c>
      <c r="P167" s="75">
        <f>VLOOKUP($A167,'Data Vlaue (Cr)'!$C:$FB,119)</f>
        <v>1.04</v>
      </c>
      <c r="Q167" s="75">
        <f>VLOOKUP($A167,'Data Vlaue (Cr)'!$C:$FB,122)*100</f>
        <v>19.54</v>
      </c>
      <c r="R167" s="75">
        <f>VLOOKUP($A167,'Data Vlaue (Cr)'!$C:$FB,125)</f>
        <v>0.93</v>
      </c>
      <c r="S167" s="75">
        <f>VLOOKUP($A167,'Data Vlaue (Cr)'!$C:$FB,128)*100</f>
        <v>12.049999999999999</v>
      </c>
    </row>
    <row r="168" spans="1:19" x14ac:dyDescent="0.25">
      <c r="A168" s="96" t="str">
        <f>'Data Vlaue (Cr)'!C159</f>
        <v>NIFTYNXT50</v>
      </c>
      <c r="B168" s="75">
        <f>VLOOKUP($A168,'Data Vlaue (Cr)'!$C:$FB,2)</f>
        <v>25</v>
      </c>
      <c r="C168" s="75">
        <f>VLOOKUP($A168,'Data Vlaue (Cr)'!$C:$FB,8)</f>
        <v>67096.149999999994</v>
      </c>
      <c r="D168" s="75">
        <f>VLOOKUP($A168,'Data Vlaue (Cr)'!$C:$FB,4)</f>
        <v>67228.2</v>
      </c>
      <c r="E168" s="75">
        <f>VLOOKUP($A168,'Data Vlaue (Cr)'!$C:$FB,5)</f>
        <v>67632.2</v>
      </c>
      <c r="F168" s="75">
        <f t="shared" si="12"/>
        <v>132.05000000000291</v>
      </c>
      <c r="G168" s="75">
        <f t="shared" si="13"/>
        <v>-0.60093829672667132</v>
      </c>
      <c r="H168" s="75">
        <f>VLOOKUP($A168,'Data Vlaue (Cr)'!$C:$FB,99)</f>
        <v>137</v>
      </c>
      <c r="I168" s="75">
        <f>VLOOKUP($A168,'Data Vlaue (Cr)'!$C:$FB,100)</f>
        <v>418</v>
      </c>
      <c r="J168" s="75">
        <f t="shared" si="14"/>
        <v>-281</v>
      </c>
      <c r="K168" s="75">
        <f t="shared" si="15"/>
        <v>-205.1094890510949</v>
      </c>
      <c r="L168" s="75">
        <f>VLOOKUP($A168,'Data Vlaue (Cr)'!$C:$FB,67)</f>
        <v>3316</v>
      </c>
      <c r="M168" s="75">
        <f>VLOOKUP($A168,'Data Vlaue (Cr)'!$C:$FB,68)</f>
        <v>706</v>
      </c>
      <c r="N168" s="75">
        <f t="shared" si="16"/>
        <v>2610</v>
      </c>
      <c r="O168" s="75">
        <f t="shared" si="17"/>
        <v>78.709288299155617</v>
      </c>
      <c r="P168" s="75">
        <f>VLOOKUP($A168,'Data Vlaue (Cr)'!$C:$FB,119)</f>
        <v>0</v>
      </c>
      <c r="Q168" s="75">
        <f>VLOOKUP($A168,'Data Vlaue (Cr)'!$C:$FB,122)*100</f>
        <v>-100</v>
      </c>
      <c r="R168" s="75">
        <f>VLOOKUP($A168,'Data Vlaue (Cr)'!$C:$FB,125)</f>
        <v>0.75</v>
      </c>
      <c r="S168" s="75">
        <f>VLOOKUP($A168,'Data Vlaue (Cr)'!$C:$FB,128)*100</f>
        <v>141.94</v>
      </c>
    </row>
    <row r="169" spans="1:19" x14ac:dyDescent="0.25">
      <c r="A169" s="96" t="str">
        <f>'Data Vlaue (Cr)'!C160</f>
        <v>NMDC</v>
      </c>
      <c r="B169" s="75">
        <f>VLOOKUP($A169,'Data Vlaue (Cr)'!$C:$FB,2)</f>
        <v>13500</v>
      </c>
      <c r="C169" s="75">
        <f>VLOOKUP($A169,'Data Vlaue (Cr)'!$C:$FB,8)</f>
        <v>70.790000000000006</v>
      </c>
      <c r="D169" s="75">
        <f>VLOOKUP($A169,'Data Vlaue (Cr)'!$C:$FB,4)</f>
        <v>70.040000000000006</v>
      </c>
      <c r="E169" s="75">
        <f>VLOOKUP($A169,'Data Vlaue (Cr)'!$C:$FB,5)</f>
        <v>71.760000000000005</v>
      </c>
      <c r="F169" s="75">
        <f t="shared" si="12"/>
        <v>-0.75</v>
      </c>
      <c r="G169" s="75">
        <f t="shared" si="13"/>
        <v>-2.45573957738435</v>
      </c>
      <c r="H169" s="75">
        <f>VLOOKUP($A169,'Data Vlaue (Cr)'!$C:$FB,99)</f>
        <v>2597</v>
      </c>
      <c r="I169" s="75">
        <f>VLOOKUP($A169,'Data Vlaue (Cr)'!$C:$FB,100)</f>
        <v>3928</v>
      </c>
      <c r="J169" s="75">
        <f t="shared" si="14"/>
        <v>-1331</v>
      </c>
      <c r="K169" s="75">
        <f t="shared" si="15"/>
        <v>-51.251443973815945</v>
      </c>
      <c r="L169" s="75">
        <f>VLOOKUP($A169,'Data Vlaue (Cr)'!$C:$FB,67)</f>
        <v>2645</v>
      </c>
      <c r="M169" s="75">
        <f>VLOOKUP($A169,'Data Vlaue (Cr)'!$C:$FB,68)</f>
        <v>1454</v>
      </c>
      <c r="N169" s="75">
        <f t="shared" si="16"/>
        <v>1191</v>
      </c>
      <c r="O169" s="75">
        <f t="shared" si="17"/>
        <v>45.028355387523625</v>
      </c>
      <c r="P169" s="75">
        <f>VLOOKUP($A169,'Data Vlaue (Cr)'!$C:$FB,119)</f>
        <v>0.88</v>
      </c>
      <c r="Q169" s="75">
        <f>VLOOKUP($A169,'Data Vlaue (Cr)'!$C:$FB,122)*100</f>
        <v>2.33</v>
      </c>
      <c r="R169" s="75">
        <f>VLOOKUP($A169,'Data Vlaue (Cr)'!$C:$FB,125)</f>
        <v>0.8</v>
      </c>
      <c r="S169" s="75">
        <f>VLOOKUP($A169,'Data Vlaue (Cr)'!$C:$FB,128)*100</f>
        <v>23.080000000000002</v>
      </c>
    </row>
    <row r="170" spans="1:19" x14ac:dyDescent="0.25">
      <c r="A170" s="96" t="str">
        <f>'Data Vlaue (Cr)'!C161</f>
        <v>NTPC</v>
      </c>
      <c r="B170" s="75">
        <f>VLOOKUP($A170,'Data Vlaue (Cr)'!$C:$FB,2)</f>
        <v>1500</v>
      </c>
      <c r="C170" s="75">
        <f>VLOOKUP($A170,'Data Vlaue (Cr)'!$C:$FB,8)</f>
        <v>334.25</v>
      </c>
      <c r="D170" s="75">
        <f>VLOOKUP($A170,'Data Vlaue (Cr)'!$C:$FB,4)</f>
        <v>335.8</v>
      </c>
      <c r="E170" s="75">
        <f>VLOOKUP($A170,'Data Vlaue (Cr)'!$C:$FB,5)</f>
        <v>340.8</v>
      </c>
      <c r="F170" s="75">
        <f t="shared" si="12"/>
        <v>1.5500000000000114</v>
      </c>
      <c r="G170" s="75">
        <f t="shared" si="13"/>
        <v>-1.4889815366289458</v>
      </c>
      <c r="H170" s="75">
        <f>VLOOKUP($A170,'Data Vlaue (Cr)'!$C:$FB,99)</f>
        <v>4169</v>
      </c>
      <c r="I170" s="75">
        <f>VLOOKUP($A170,'Data Vlaue (Cr)'!$C:$FB,100)</f>
        <v>7061</v>
      </c>
      <c r="J170" s="75">
        <f t="shared" si="14"/>
        <v>-2892</v>
      </c>
      <c r="K170" s="75">
        <f t="shared" si="15"/>
        <v>-69.369153274166464</v>
      </c>
      <c r="L170" s="75">
        <f>VLOOKUP($A170,'Data Vlaue (Cr)'!$C:$FB,67)</f>
        <v>2378</v>
      </c>
      <c r="M170" s="75">
        <f>VLOOKUP($A170,'Data Vlaue (Cr)'!$C:$FB,68)</f>
        <v>7513</v>
      </c>
      <c r="N170" s="75">
        <f t="shared" si="16"/>
        <v>-5135</v>
      </c>
      <c r="O170" s="75">
        <f t="shared" si="17"/>
        <v>-215.93776282590414</v>
      </c>
      <c r="P170" s="75">
        <f>VLOOKUP($A170,'Data Vlaue (Cr)'!$C:$FB,119)</f>
        <v>0.88</v>
      </c>
      <c r="Q170" s="75">
        <f>VLOOKUP($A170,'Data Vlaue (Cr)'!$C:$FB,122)*100</f>
        <v>183.87</v>
      </c>
      <c r="R170" s="75">
        <f>VLOOKUP($A170,'Data Vlaue (Cr)'!$C:$FB,125)</f>
        <v>0.84</v>
      </c>
      <c r="S170" s="75">
        <f>VLOOKUP($A170,'Data Vlaue (Cr)'!$C:$FB,128)*100</f>
        <v>104.88</v>
      </c>
    </row>
    <row r="171" spans="1:19" x14ac:dyDescent="0.25">
      <c r="A171" s="96" t="str">
        <f>'Data Vlaue (Cr)'!C162</f>
        <v>NYKAA</v>
      </c>
      <c r="B171" s="75">
        <f>VLOOKUP($A171,'Data Vlaue (Cr)'!$C:$FB,2)</f>
        <v>3125</v>
      </c>
      <c r="C171" s="75">
        <f>VLOOKUP($A171,'Data Vlaue (Cr)'!$C:$FB,8)</f>
        <v>209.62</v>
      </c>
      <c r="D171" s="75">
        <f>VLOOKUP($A171,'Data Vlaue (Cr)'!$C:$FB,4)</f>
        <v>210.38</v>
      </c>
      <c r="E171" s="75">
        <f>VLOOKUP($A171,'Data Vlaue (Cr)'!$C:$FB,5)</f>
        <v>212.01</v>
      </c>
      <c r="F171" s="75">
        <f t="shared" si="12"/>
        <v>0.75999999999999091</v>
      </c>
      <c r="G171" s="75">
        <f t="shared" si="13"/>
        <v>-0.77478847799220241</v>
      </c>
      <c r="H171" s="75">
        <f>VLOOKUP($A171,'Data Vlaue (Cr)'!$C:$FB,99)</f>
        <v>1106</v>
      </c>
      <c r="I171" s="75">
        <f>VLOOKUP($A171,'Data Vlaue (Cr)'!$C:$FB,100)</f>
        <v>1703</v>
      </c>
      <c r="J171" s="75">
        <f t="shared" si="14"/>
        <v>-597</v>
      </c>
      <c r="K171" s="75">
        <f t="shared" si="15"/>
        <v>-53.97830018083183</v>
      </c>
      <c r="L171" s="75">
        <f>VLOOKUP($A171,'Data Vlaue (Cr)'!$C:$FB,67)</f>
        <v>904</v>
      </c>
      <c r="M171" s="75">
        <f>VLOOKUP($A171,'Data Vlaue (Cr)'!$C:$FB,68)</f>
        <v>1051</v>
      </c>
      <c r="N171" s="75">
        <f t="shared" si="16"/>
        <v>-147</v>
      </c>
      <c r="O171" s="75">
        <f t="shared" si="17"/>
        <v>-16.261061946902654</v>
      </c>
      <c r="P171" s="75">
        <f>VLOOKUP($A171,'Data Vlaue (Cr)'!$C:$FB,119)</f>
        <v>0.52</v>
      </c>
      <c r="Q171" s="75">
        <f>VLOOKUP($A171,'Data Vlaue (Cr)'!$C:$FB,122)*100</f>
        <v>-11.86</v>
      </c>
      <c r="R171" s="75">
        <f>VLOOKUP($A171,'Data Vlaue (Cr)'!$C:$FB,125)</f>
        <v>0.43</v>
      </c>
      <c r="S171" s="75">
        <f>VLOOKUP($A171,'Data Vlaue (Cr)'!$C:$FB,128)*100</f>
        <v>22.86</v>
      </c>
    </row>
    <row r="172" spans="1:19" x14ac:dyDescent="0.25">
      <c r="A172" s="96" t="str">
        <f>'Data Vlaue (Cr)'!C163</f>
        <v>OBEROIRLTY</v>
      </c>
      <c r="B172" s="75">
        <f>VLOOKUP($A172,'Data Vlaue (Cr)'!$C:$FB,2)</f>
        <v>350</v>
      </c>
      <c r="C172" s="75">
        <f>VLOOKUP($A172,'Data Vlaue (Cr)'!$C:$FB,8)</f>
        <v>1630.1</v>
      </c>
      <c r="D172" s="75">
        <f>VLOOKUP($A172,'Data Vlaue (Cr)'!$C:$FB,4)</f>
        <v>1639.4</v>
      </c>
      <c r="E172" s="75">
        <f>VLOOKUP($A172,'Data Vlaue (Cr)'!$C:$FB,5)</f>
        <v>1654.5</v>
      </c>
      <c r="F172" s="75">
        <f t="shared" si="12"/>
        <v>9.3000000000001819</v>
      </c>
      <c r="G172" s="75">
        <f t="shared" si="13"/>
        <v>-0.92106868366474992</v>
      </c>
      <c r="H172" s="75">
        <f>VLOOKUP($A172,'Data Vlaue (Cr)'!$C:$FB,99)</f>
        <v>1052</v>
      </c>
      <c r="I172" s="75">
        <f>VLOOKUP($A172,'Data Vlaue (Cr)'!$C:$FB,100)</f>
        <v>1673</v>
      </c>
      <c r="J172" s="75">
        <f t="shared" si="14"/>
        <v>-621</v>
      </c>
      <c r="K172" s="75">
        <f t="shared" si="15"/>
        <v>-59.030418250950568</v>
      </c>
      <c r="L172" s="75">
        <f>VLOOKUP($A172,'Data Vlaue (Cr)'!$C:$FB,67)</f>
        <v>1274</v>
      </c>
      <c r="M172" s="75">
        <f>VLOOKUP($A172,'Data Vlaue (Cr)'!$C:$FB,68)</f>
        <v>992</v>
      </c>
      <c r="N172" s="75">
        <f t="shared" si="16"/>
        <v>282</v>
      </c>
      <c r="O172" s="75">
        <f t="shared" si="17"/>
        <v>22.135007849293565</v>
      </c>
      <c r="P172" s="75">
        <f>VLOOKUP($A172,'Data Vlaue (Cr)'!$C:$FB,119)</f>
        <v>1.01</v>
      </c>
      <c r="Q172" s="75">
        <f>VLOOKUP($A172,'Data Vlaue (Cr)'!$C:$FB,122)*100</f>
        <v>98.04</v>
      </c>
      <c r="R172" s="75">
        <f>VLOOKUP($A172,'Data Vlaue (Cr)'!$C:$FB,125)</f>
        <v>0.56000000000000005</v>
      </c>
      <c r="S172" s="75">
        <f>VLOOKUP($A172,'Data Vlaue (Cr)'!$C:$FB,128)*100</f>
        <v>14.29</v>
      </c>
    </row>
    <row r="173" spans="1:19" x14ac:dyDescent="0.25">
      <c r="A173" s="96" t="str">
        <f>'Data Vlaue (Cr)'!C164</f>
        <v>OFSS</v>
      </c>
      <c r="B173" s="75">
        <f>VLOOKUP($A173,'Data Vlaue (Cr)'!$C:$FB,2)</f>
        <v>75</v>
      </c>
      <c r="C173" s="75">
        <f>VLOOKUP($A173,'Data Vlaue (Cr)'!$C:$FB,8)</f>
        <v>8475</v>
      </c>
      <c r="D173" s="75">
        <f>VLOOKUP($A173,'Data Vlaue (Cr)'!$C:$FB,4)</f>
        <v>8507.5</v>
      </c>
      <c r="E173" s="75">
        <f>VLOOKUP($A173,'Data Vlaue (Cr)'!$C:$FB,5)</f>
        <v>8579.5</v>
      </c>
      <c r="F173" s="75">
        <f t="shared" si="12"/>
        <v>32.5</v>
      </c>
      <c r="G173" s="75">
        <f t="shared" si="13"/>
        <v>-0.84631207757860716</v>
      </c>
      <c r="H173" s="75">
        <f>VLOOKUP($A173,'Data Vlaue (Cr)'!$C:$FB,99)</f>
        <v>1141</v>
      </c>
      <c r="I173" s="75">
        <f>VLOOKUP($A173,'Data Vlaue (Cr)'!$C:$FB,100)</f>
        <v>1860</v>
      </c>
      <c r="J173" s="75">
        <f t="shared" si="14"/>
        <v>-719</v>
      </c>
      <c r="K173" s="75">
        <f t="shared" si="15"/>
        <v>-63.014899211218236</v>
      </c>
      <c r="L173" s="75">
        <f>VLOOKUP($A173,'Data Vlaue (Cr)'!$C:$FB,67)</f>
        <v>1617</v>
      </c>
      <c r="M173" s="75">
        <f>VLOOKUP($A173,'Data Vlaue (Cr)'!$C:$FB,68)</f>
        <v>1431</v>
      </c>
      <c r="N173" s="75">
        <f t="shared" si="16"/>
        <v>186</v>
      </c>
      <c r="O173" s="75">
        <f t="shared" si="17"/>
        <v>11.502782931354361</v>
      </c>
      <c r="P173" s="75">
        <f>VLOOKUP($A173,'Data Vlaue (Cr)'!$C:$FB,119)</f>
        <v>0.61</v>
      </c>
      <c r="Q173" s="75">
        <f>VLOOKUP($A173,'Data Vlaue (Cr)'!$C:$FB,122)*100</f>
        <v>7.02</v>
      </c>
      <c r="R173" s="75">
        <f>VLOOKUP($A173,'Data Vlaue (Cr)'!$C:$FB,125)</f>
        <v>0.57999999999999996</v>
      </c>
      <c r="S173" s="75">
        <f>VLOOKUP($A173,'Data Vlaue (Cr)'!$C:$FB,128)*100</f>
        <v>93.33</v>
      </c>
    </row>
    <row r="174" spans="1:19" x14ac:dyDescent="0.25">
      <c r="A174" s="96" t="str">
        <f>'Data Vlaue (Cr)'!C165</f>
        <v>OIL</v>
      </c>
      <c r="B174" s="75">
        <f>VLOOKUP($A174,'Data Vlaue (Cr)'!$C:$FB,2)</f>
        <v>1400</v>
      </c>
      <c r="C174" s="75">
        <f>VLOOKUP($A174,'Data Vlaue (Cr)'!$C:$FB,8)</f>
        <v>440</v>
      </c>
      <c r="D174" s="75">
        <f>VLOOKUP($A174,'Data Vlaue (Cr)'!$C:$FB,4)</f>
        <v>440.8</v>
      </c>
      <c r="E174" s="75">
        <f>VLOOKUP($A174,'Data Vlaue (Cr)'!$C:$FB,5)</f>
        <v>446.7</v>
      </c>
      <c r="F174" s="75">
        <f t="shared" si="12"/>
        <v>0.80000000000001137</v>
      </c>
      <c r="G174" s="75">
        <f t="shared" si="13"/>
        <v>-1.3384754990925538</v>
      </c>
      <c r="H174" s="75">
        <f>VLOOKUP($A174,'Data Vlaue (Cr)'!$C:$FB,99)</f>
        <v>553</v>
      </c>
      <c r="I174" s="75">
        <f>VLOOKUP($A174,'Data Vlaue (Cr)'!$C:$FB,100)</f>
        <v>1041</v>
      </c>
      <c r="J174" s="75">
        <f t="shared" si="14"/>
        <v>-488</v>
      </c>
      <c r="K174" s="75">
        <f t="shared" si="15"/>
        <v>-88.245931283905961</v>
      </c>
      <c r="L174" s="75">
        <f>VLOOKUP($A174,'Data Vlaue (Cr)'!$C:$FB,67)</f>
        <v>543</v>
      </c>
      <c r="M174" s="75">
        <f>VLOOKUP($A174,'Data Vlaue (Cr)'!$C:$FB,68)</f>
        <v>970</v>
      </c>
      <c r="N174" s="75">
        <f t="shared" si="16"/>
        <v>-427</v>
      </c>
      <c r="O174" s="75">
        <f t="shared" si="17"/>
        <v>-78.637200736648253</v>
      </c>
      <c r="P174" s="75">
        <f>VLOOKUP($A174,'Data Vlaue (Cr)'!$C:$FB,119)</f>
        <v>0.67</v>
      </c>
      <c r="Q174" s="75">
        <f>VLOOKUP($A174,'Data Vlaue (Cr)'!$C:$FB,122)*100</f>
        <v>8.06</v>
      </c>
      <c r="R174" s="75">
        <f>VLOOKUP($A174,'Data Vlaue (Cr)'!$C:$FB,125)</f>
        <v>0.45</v>
      </c>
      <c r="S174" s="75">
        <f>VLOOKUP($A174,'Data Vlaue (Cr)'!$C:$FB,128)*100</f>
        <v>7.1400000000000006</v>
      </c>
    </row>
    <row r="175" spans="1:19" x14ac:dyDescent="0.25">
      <c r="A175" s="96" t="str">
        <f>'Data Vlaue (Cr)'!C166</f>
        <v>ONGC</v>
      </c>
      <c r="B175" s="75">
        <f>VLOOKUP($A175,'Data Vlaue (Cr)'!$C:$FB,2)</f>
        <v>2250</v>
      </c>
      <c r="C175" s="75">
        <f>VLOOKUP($A175,'Data Vlaue (Cr)'!$C:$FB,8)</f>
        <v>241</v>
      </c>
      <c r="D175" s="75">
        <f>VLOOKUP($A175,'Data Vlaue (Cr)'!$C:$FB,4)</f>
        <v>240.99</v>
      </c>
      <c r="E175" s="75">
        <f>VLOOKUP($A175,'Data Vlaue (Cr)'!$C:$FB,5)</f>
        <v>242.65</v>
      </c>
      <c r="F175" s="75">
        <f t="shared" si="12"/>
        <v>-9.9999999999909051E-3</v>
      </c>
      <c r="G175" s="75">
        <f t="shared" si="13"/>
        <v>-0.68882526245902176</v>
      </c>
      <c r="H175" s="75">
        <f>VLOOKUP($A175,'Data Vlaue (Cr)'!$C:$FB,99)</f>
        <v>2672</v>
      </c>
      <c r="I175" s="75">
        <f>VLOOKUP($A175,'Data Vlaue (Cr)'!$C:$FB,100)</f>
        <v>4633</v>
      </c>
      <c r="J175" s="75">
        <f t="shared" si="14"/>
        <v>-1961</v>
      </c>
      <c r="K175" s="75">
        <f t="shared" si="15"/>
        <v>-73.390718562874241</v>
      </c>
      <c r="L175" s="75">
        <f>VLOOKUP($A175,'Data Vlaue (Cr)'!$C:$FB,67)</f>
        <v>2068</v>
      </c>
      <c r="M175" s="75">
        <f>VLOOKUP($A175,'Data Vlaue (Cr)'!$C:$FB,68)</f>
        <v>2797</v>
      </c>
      <c r="N175" s="75">
        <f t="shared" si="16"/>
        <v>-729</v>
      </c>
      <c r="O175" s="75">
        <f t="shared" si="17"/>
        <v>-35.251450676982593</v>
      </c>
      <c r="P175" s="75">
        <f>VLOOKUP($A175,'Data Vlaue (Cr)'!$C:$FB,119)</f>
        <v>0.9</v>
      </c>
      <c r="Q175" s="75">
        <f>VLOOKUP($A175,'Data Vlaue (Cr)'!$C:$FB,122)*100</f>
        <v>200</v>
      </c>
      <c r="R175" s="75">
        <f>VLOOKUP($A175,'Data Vlaue (Cr)'!$C:$FB,125)</f>
        <v>0.63</v>
      </c>
      <c r="S175" s="75">
        <f>VLOOKUP($A175,'Data Vlaue (Cr)'!$C:$FB,128)*100</f>
        <v>50</v>
      </c>
    </row>
    <row r="176" spans="1:19" x14ac:dyDescent="0.25">
      <c r="A176" s="96" t="str">
        <f>'Data Vlaue (Cr)'!C167</f>
        <v>PAGEIND</v>
      </c>
      <c r="B176" s="75">
        <f>VLOOKUP($A176,'Data Vlaue (Cr)'!$C:$FB,2)</f>
        <v>15</v>
      </c>
      <c r="C176" s="75">
        <f>VLOOKUP($A176,'Data Vlaue (Cr)'!$C:$FB,8)</f>
        <v>48805</v>
      </c>
      <c r="D176" s="75">
        <f>VLOOKUP($A176,'Data Vlaue (Cr)'!$C:$FB,4)</f>
        <v>46140</v>
      </c>
      <c r="E176" s="75">
        <f>VLOOKUP($A176,'Data Vlaue (Cr)'!$C:$FB,5)</f>
        <v>46875</v>
      </c>
      <c r="F176" s="75">
        <f t="shared" si="12"/>
        <v>-2665</v>
      </c>
      <c r="G176" s="75">
        <f t="shared" si="13"/>
        <v>-1.5929778933680103</v>
      </c>
      <c r="H176" s="75">
        <f>VLOOKUP($A176,'Data Vlaue (Cr)'!$C:$FB,99)</f>
        <v>1355</v>
      </c>
      <c r="I176" s="75">
        <f>VLOOKUP($A176,'Data Vlaue (Cr)'!$C:$FB,100)</f>
        <v>1824</v>
      </c>
      <c r="J176" s="75">
        <f t="shared" si="14"/>
        <v>-469</v>
      </c>
      <c r="K176" s="75">
        <f t="shared" si="15"/>
        <v>-34.61254612546125</v>
      </c>
      <c r="L176" s="75">
        <f>VLOOKUP($A176,'Data Vlaue (Cr)'!$C:$FB,67)</f>
        <v>1332</v>
      </c>
      <c r="M176" s="75">
        <f>VLOOKUP($A176,'Data Vlaue (Cr)'!$C:$FB,68)</f>
        <v>3548</v>
      </c>
      <c r="N176" s="75">
        <f t="shared" si="16"/>
        <v>-2216</v>
      </c>
      <c r="O176" s="75">
        <f t="shared" si="17"/>
        <v>-166.36636636636638</v>
      </c>
      <c r="P176" s="75">
        <f>VLOOKUP($A176,'Data Vlaue (Cr)'!$C:$FB,119)</f>
        <v>0.28999999999999998</v>
      </c>
      <c r="Q176" s="75">
        <f>VLOOKUP($A176,'Data Vlaue (Cr)'!$C:$FB,122)*100</f>
        <v>-30.95</v>
      </c>
      <c r="R176" s="75">
        <f>VLOOKUP($A176,'Data Vlaue (Cr)'!$C:$FB,125)</f>
        <v>0.26</v>
      </c>
      <c r="S176" s="75">
        <f>VLOOKUP($A176,'Data Vlaue (Cr)'!$C:$FB,128)*100</f>
        <v>30</v>
      </c>
    </row>
    <row r="177" spans="1:19" x14ac:dyDescent="0.25">
      <c r="A177" s="96" t="str">
        <f>'Data Vlaue (Cr)'!C168</f>
        <v>PATANJALI</v>
      </c>
      <c r="B177" s="75">
        <f>VLOOKUP($A177,'Data Vlaue (Cr)'!$C:$FB,2)</f>
        <v>300</v>
      </c>
      <c r="C177" s="75">
        <f>VLOOKUP($A177,'Data Vlaue (Cr)'!$C:$FB,8)</f>
        <v>1873.7</v>
      </c>
      <c r="D177" s="75">
        <f>VLOOKUP($A177,'Data Vlaue (Cr)'!$C:$FB,4)</f>
        <v>1881.1</v>
      </c>
      <c r="E177" s="75">
        <f>VLOOKUP($A177,'Data Vlaue (Cr)'!$C:$FB,5)</f>
        <v>1907.6</v>
      </c>
      <c r="F177" s="75">
        <f t="shared" ref="F177:F185" si="18">D177-C177</f>
        <v>7.3999999999998636</v>
      </c>
      <c r="G177" s="75">
        <f t="shared" ref="G177:G185" si="19">(D177-E177)/D177*100</f>
        <v>-1.4087501993514435</v>
      </c>
      <c r="H177" s="75">
        <f>VLOOKUP($A177,'Data Vlaue (Cr)'!$C:$FB,99)</f>
        <v>2068</v>
      </c>
      <c r="I177" s="75">
        <f>VLOOKUP($A177,'Data Vlaue (Cr)'!$C:$FB,100)</f>
        <v>3114</v>
      </c>
      <c r="J177" s="75">
        <f t="shared" ref="J177:J185" si="20">H177-I177</f>
        <v>-1046</v>
      </c>
      <c r="K177" s="75">
        <f t="shared" ref="K177:K185" si="21">J177/H177*100</f>
        <v>-50.580270793036753</v>
      </c>
      <c r="L177" s="75">
        <f>VLOOKUP($A177,'Data Vlaue (Cr)'!$C:$FB,67)</f>
        <v>2295</v>
      </c>
      <c r="M177" s="75">
        <f>VLOOKUP($A177,'Data Vlaue (Cr)'!$C:$FB,68)</f>
        <v>2214</v>
      </c>
      <c r="N177" s="75">
        <f t="shared" ref="N177:N185" si="22">L177-M177</f>
        <v>81</v>
      </c>
      <c r="O177" s="75">
        <f t="shared" ref="O177:O185" si="23">N177/L177*100</f>
        <v>3.5294117647058822</v>
      </c>
      <c r="P177" s="75">
        <f>VLOOKUP($A177,'Data Vlaue (Cr)'!$C:$FB,119)</f>
        <v>0.56999999999999995</v>
      </c>
      <c r="Q177" s="75">
        <f>VLOOKUP($A177,'Data Vlaue (Cr)'!$C:$FB,122)*100</f>
        <v>-1.72</v>
      </c>
      <c r="R177" s="75">
        <f>VLOOKUP($A177,'Data Vlaue (Cr)'!$C:$FB,125)</f>
        <v>0.52</v>
      </c>
      <c r="S177" s="75">
        <f>VLOOKUP($A177,'Data Vlaue (Cr)'!$C:$FB,128)*100</f>
        <v>40.54</v>
      </c>
    </row>
    <row r="178" spans="1:19" x14ac:dyDescent="0.25">
      <c r="A178" s="96" t="str">
        <f>'Data Vlaue (Cr)'!C169</f>
        <v>PAYTM</v>
      </c>
      <c r="B178" s="75">
        <f>VLOOKUP($A178,'Data Vlaue (Cr)'!$C:$FB,2)</f>
        <v>725</v>
      </c>
      <c r="C178" s="75">
        <f>VLOOKUP($A178,'Data Vlaue (Cr)'!$C:$FB,8)</f>
        <v>1089.3499999999999</v>
      </c>
      <c r="D178" s="75">
        <f>VLOOKUP($A178,'Data Vlaue (Cr)'!$C:$FB,4)</f>
        <v>1093.0999999999999</v>
      </c>
      <c r="E178" s="75">
        <f>VLOOKUP($A178,'Data Vlaue (Cr)'!$C:$FB,5)</f>
        <v>1073.4000000000001</v>
      </c>
      <c r="F178" s="75">
        <f t="shared" si="18"/>
        <v>3.75</v>
      </c>
      <c r="G178" s="75">
        <f t="shared" si="19"/>
        <v>1.8022138871100375</v>
      </c>
      <c r="H178" s="75">
        <f>VLOOKUP($A178,'Data Vlaue (Cr)'!$C:$FB,99)</f>
        <v>3257</v>
      </c>
      <c r="I178" s="75">
        <f>VLOOKUP($A178,'Data Vlaue (Cr)'!$C:$FB,100)</f>
        <v>4880</v>
      </c>
      <c r="J178" s="75">
        <f t="shared" si="20"/>
        <v>-1623</v>
      </c>
      <c r="K178" s="75">
        <f t="shared" si="21"/>
        <v>-49.831132944427388</v>
      </c>
      <c r="L178" s="75">
        <f>VLOOKUP($A178,'Data Vlaue (Cr)'!$C:$FB,67)</f>
        <v>5150</v>
      </c>
      <c r="M178" s="75">
        <f>VLOOKUP($A178,'Data Vlaue (Cr)'!$C:$FB,68)</f>
        <v>4534</v>
      </c>
      <c r="N178" s="75">
        <f t="shared" si="22"/>
        <v>616</v>
      </c>
      <c r="O178" s="75">
        <f t="shared" si="23"/>
        <v>11.961165048543689</v>
      </c>
      <c r="P178" s="75">
        <f>VLOOKUP($A178,'Data Vlaue (Cr)'!$C:$FB,119)</f>
        <v>0.7</v>
      </c>
      <c r="Q178" s="75">
        <f>VLOOKUP($A178,'Data Vlaue (Cr)'!$C:$FB,122)*100</f>
        <v>-2.78</v>
      </c>
      <c r="R178" s="75">
        <f>VLOOKUP($A178,'Data Vlaue (Cr)'!$C:$FB,125)</f>
        <v>0.43</v>
      </c>
      <c r="S178" s="75">
        <f>VLOOKUP($A178,'Data Vlaue (Cr)'!$C:$FB,128)*100</f>
        <v>-20.369999999999997</v>
      </c>
    </row>
    <row r="179" spans="1:19" x14ac:dyDescent="0.25">
      <c r="A179" s="96" t="str">
        <f>'Data Vlaue (Cr)'!C170</f>
        <v>PEL</v>
      </c>
      <c r="B179" s="75">
        <f>VLOOKUP($A179,'Data Vlaue (Cr)'!$C:$FB,2)</f>
        <v>750</v>
      </c>
      <c r="C179" s="75">
        <f>VLOOKUP($A179,'Data Vlaue (Cr)'!$C:$FB,8)</f>
        <v>1251.8</v>
      </c>
      <c r="D179" s="75">
        <f>VLOOKUP($A179,'Data Vlaue (Cr)'!$C:$FB,4)</f>
        <v>0</v>
      </c>
      <c r="E179" s="75">
        <f>VLOOKUP($A179,'Data Vlaue (Cr)'!$C:$FB,5)</f>
        <v>0</v>
      </c>
      <c r="F179" s="75">
        <f t="shared" si="18"/>
        <v>-1251.8</v>
      </c>
      <c r="G179" s="75" t="e">
        <f t="shared" si="19"/>
        <v>#DIV/0!</v>
      </c>
      <c r="H179" s="75">
        <f>VLOOKUP($A179,'Data Vlaue (Cr)'!$C:$FB,99)</f>
        <v>0</v>
      </c>
      <c r="I179" s="75">
        <f>VLOOKUP($A179,'Data Vlaue (Cr)'!$C:$FB,100)</f>
        <v>0</v>
      </c>
      <c r="J179" s="75">
        <f t="shared" si="20"/>
        <v>0</v>
      </c>
      <c r="K179" s="75" t="e">
        <f t="shared" si="21"/>
        <v>#DIV/0!</v>
      </c>
      <c r="L179" s="75">
        <f>VLOOKUP($A179,'Data Vlaue (Cr)'!$C:$FB,67)</f>
        <v>0</v>
      </c>
      <c r="M179" s="75">
        <f>VLOOKUP($A179,'Data Vlaue (Cr)'!$C:$FB,68)</f>
        <v>0</v>
      </c>
      <c r="N179" s="75">
        <f t="shared" si="22"/>
        <v>0</v>
      </c>
      <c r="O179" s="75" t="e">
        <f t="shared" si="23"/>
        <v>#DIV/0!</v>
      </c>
      <c r="P179" s="75">
        <f>VLOOKUP($A179,'Data Vlaue (Cr)'!$C:$FB,119)</f>
        <v>0.59</v>
      </c>
      <c r="Q179" s="75">
        <f>VLOOKUP($A179,'Data Vlaue (Cr)'!$C:$FB,122)*100</f>
        <v>13.459999999999999</v>
      </c>
      <c r="R179" s="75">
        <f>VLOOKUP($A179,'Data Vlaue (Cr)'!$C:$FB,125)</f>
        <v>0.33</v>
      </c>
      <c r="S179" s="75">
        <f>VLOOKUP($A179,'Data Vlaue (Cr)'!$C:$FB,128)*100</f>
        <v>-13.16</v>
      </c>
    </row>
    <row r="180" spans="1:19" x14ac:dyDescent="0.25">
      <c r="A180" s="96" t="str">
        <f>'Data Vlaue (Cr)'!C171</f>
        <v>PERSISTENT</v>
      </c>
      <c r="B180" s="75">
        <f>VLOOKUP($A180,'Data Vlaue (Cr)'!$C:$FB,2)</f>
        <v>100</v>
      </c>
      <c r="C180" s="75">
        <f>VLOOKUP($A180,'Data Vlaue (Cr)'!$C:$FB,8)</f>
        <v>5160.5</v>
      </c>
      <c r="D180" s="75">
        <f>VLOOKUP($A180,'Data Vlaue (Cr)'!$C:$FB,4)</f>
        <v>5177.5</v>
      </c>
      <c r="E180" s="75">
        <f>VLOOKUP($A180,'Data Vlaue (Cr)'!$C:$FB,5)</f>
        <v>5188</v>
      </c>
      <c r="F180" s="75">
        <f t="shared" si="18"/>
        <v>17</v>
      </c>
      <c r="G180" s="75">
        <f t="shared" si="19"/>
        <v>-0.20280057943022697</v>
      </c>
      <c r="H180" s="75">
        <f>VLOOKUP($A180,'Data Vlaue (Cr)'!$C:$FB,99)</f>
        <v>2518</v>
      </c>
      <c r="I180" s="75">
        <f>VLOOKUP($A180,'Data Vlaue (Cr)'!$C:$FB,100)</f>
        <v>3859</v>
      </c>
      <c r="J180" s="75">
        <f t="shared" si="20"/>
        <v>-1341</v>
      </c>
      <c r="K180" s="75">
        <f t="shared" si="21"/>
        <v>-53.256552819698179</v>
      </c>
      <c r="L180" s="75">
        <f>VLOOKUP($A180,'Data Vlaue (Cr)'!$C:$FB,67)</f>
        <v>3104</v>
      </c>
      <c r="M180" s="75">
        <f>VLOOKUP($A180,'Data Vlaue (Cr)'!$C:$FB,68)</f>
        <v>3574</v>
      </c>
      <c r="N180" s="75">
        <f t="shared" si="22"/>
        <v>-470</v>
      </c>
      <c r="O180" s="75">
        <f t="shared" si="23"/>
        <v>-15.141752577319586</v>
      </c>
      <c r="P180" s="75">
        <f>VLOOKUP($A180,'Data Vlaue (Cr)'!$C:$FB,119)</f>
        <v>0.51</v>
      </c>
      <c r="Q180" s="75">
        <f>VLOOKUP($A180,'Data Vlaue (Cr)'!$C:$FB,122)*100</f>
        <v>8.51</v>
      </c>
      <c r="R180" s="75">
        <f>VLOOKUP($A180,'Data Vlaue (Cr)'!$C:$FB,125)</f>
        <v>0.49</v>
      </c>
      <c r="S180" s="75">
        <f>VLOOKUP($A180,'Data Vlaue (Cr)'!$C:$FB,128)*100</f>
        <v>40</v>
      </c>
    </row>
    <row r="181" spans="1:19" x14ac:dyDescent="0.25">
      <c r="A181" s="96" t="str">
        <f>'Data Vlaue (Cr)'!C172</f>
        <v>PETRONET</v>
      </c>
      <c r="B181" s="75">
        <f>VLOOKUP($A181,'Data Vlaue (Cr)'!$C:$FB,2)</f>
        <v>1800</v>
      </c>
      <c r="C181" s="75">
        <f>VLOOKUP($A181,'Data Vlaue (Cr)'!$C:$FB,8)</f>
        <v>288.2</v>
      </c>
      <c r="D181" s="75">
        <f>VLOOKUP($A181,'Data Vlaue (Cr)'!$C:$FB,4)</f>
        <v>289.8</v>
      </c>
      <c r="E181" s="75">
        <f>VLOOKUP($A181,'Data Vlaue (Cr)'!$C:$FB,5)</f>
        <v>293.89999999999998</v>
      </c>
      <c r="F181" s="75">
        <f t="shared" si="18"/>
        <v>1.6000000000000227</v>
      </c>
      <c r="G181" s="75">
        <f t="shared" si="19"/>
        <v>-1.414768806073142</v>
      </c>
      <c r="H181" s="75">
        <f>VLOOKUP($A181,'Data Vlaue (Cr)'!$C:$FB,99)</f>
        <v>1564</v>
      </c>
      <c r="I181" s="75">
        <f>VLOOKUP($A181,'Data Vlaue (Cr)'!$C:$FB,100)</f>
        <v>1862</v>
      </c>
      <c r="J181" s="75">
        <f t="shared" si="20"/>
        <v>-298</v>
      </c>
      <c r="K181" s="75">
        <f t="shared" si="21"/>
        <v>-19.053708439897697</v>
      </c>
      <c r="L181" s="75">
        <f>VLOOKUP($A181,'Data Vlaue (Cr)'!$C:$FB,67)</f>
        <v>1375</v>
      </c>
      <c r="M181" s="75">
        <f>VLOOKUP($A181,'Data Vlaue (Cr)'!$C:$FB,68)</f>
        <v>1064</v>
      </c>
      <c r="N181" s="75">
        <f t="shared" si="22"/>
        <v>311</v>
      </c>
      <c r="O181" s="75">
        <f t="shared" si="23"/>
        <v>22.618181818181817</v>
      </c>
      <c r="P181" s="75">
        <f>VLOOKUP($A181,'Data Vlaue (Cr)'!$C:$FB,119)</f>
        <v>0.8</v>
      </c>
      <c r="Q181" s="75">
        <f>VLOOKUP($A181,'Data Vlaue (Cr)'!$C:$FB,122)*100</f>
        <v>17.649999999999999</v>
      </c>
      <c r="R181" s="75">
        <f>VLOOKUP($A181,'Data Vlaue (Cr)'!$C:$FB,125)</f>
        <v>0.75</v>
      </c>
      <c r="S181" s="75">
        <f>VLOOKUP($A181,'Data Vlaue (Cr)'!$C:$FB,128)*100</f>
        <v>-8.5400000000000009</v>
      </c>
    </row>
    <row r="182" spans="1:19" x14ac:dyDescent="0.25">
      <c r="A182" s="96" t="str">
        <f>'Data Vlaue (Cr)'!C173</f>
        <v>PFC</v>
      </c>
      <c r="B182" s="75">
        <f>VLOOKUP($A182,'Data Vlaue (Cr)'!$C:$FB,2)</f>
        <v>1300</v>
      </c>
      <c r="C182" s="75">
        <f>VLOOKUP($A182,'Data Vlaue (Cr)'!$C:$FB,8)</f>
        <v>409.95</v>
      </c>
      <c r="D182" s="75">
        <f>VLOOKUP($A182,'Data Vlaue (Cr)'!$C:$FB,4)</f>
        <v>408.95</v>
      </c>
      <c r="E182" s="75">
        <f>VLOOKUP($A182,'Data Vlaue (Cr)'!$C:$FB,5)</f>
        <v>410.95</v>
      </c>
      <c r="F182" s="75">
        <f t="shared" si="18"/>
        <v>-1</v>
      </c>
      <c r="G182" s="75">
        <f t="shared" si="19"/>
        <v>-0.48905734197334638</v>
      </c>
      <c r="H182" s="75">
        <f>VLOOKUP($A182,'Data Vlaue (Cr)'!$C:$FB,99)</f>
        <v>3008</v>
      </c>
      <c r="I182" s="75">
        <f>VLOOKUP($A182,'Data Vlaue (Cr)'!$C:$FB,100)</f>
        <v>3912</v>
      </c>
      <c r="J182" s="75">
        <f t="shared" si="20"/>
        <v>-904</v>
      </c>
      <c r="K182" s="75">
        <f t="shared" si="21"/>
        <v>-30.053191489361701</v>
      </c>
      <c r="L182" s="75">
        <f>VLOOKUP($A182,'Data Vlaue (Cr)'!$C:$FB,67)</f>
        <v>2769</v>
      </c>
      <c r="M182" s="75">
        <f>VLOOKUP($A182,'Data Vlaue (Cr)'!$C:$FB,68)</f>
        <v>2915</v>
      </c>
      <c r="N182" s="75">
        <f t="shared" si="22"/>
        <v>-146</v>
      </c>
      <c r="O182" s="75">
        <f t="shared" si="23"/>
        <v>-5.2726616106897799</v>
      </c>
      <c r="P182" s="75">
        <f>VLOOKUP($A182,'Data Vlaue (Cr)'!$C:$FB,119)</f>
        <v>1.04</v>
      </c>
      <c r="Q182" s="75">
        <f>VLOOKUP($A182,'Data Vlaue (Cr)'!$C:$FB,122)*100</f>
        <v>35.06</v>
      </c>
      <c r="R182" s="75">
        <f>VLOOKUP($A182,'Data Vlaue (Cr)'!$C:$FB,125)</f>
        <v>0.77</v>
      </c>
      <c r="S182" s="75">
        <f>VLOOKUP($A182,'Data Vlaue (Cr)'!$C:$FB,128)*100</f>
        <v>1.32</v>
      </c>
    </row>
    <row r="183" spans="1:19" x14ac:dyDescent="0.25">
      <c r="A183" s="96" t="str">
        <f>'Data Vlaue (Cr)'!C174</f>
        <v>PGEL</v>
      </c>
      <c r="B183" s="75">
        <f>VLOOKUP($A183,'Data Vlaue (Cr)'!$C:$FB,2)</f>
        <v>700</v>
      </c>
      <c r="C183" s="75">
        <f>VLOOKUP($A183,'Data Vlaue (Cr)'!$C:$FB,8)</f>
        <v>811.65</v>
      </c>
      <c r="D183" s="75">
        <f>VLOOKUP($A183,'Data Vlaue (Cr)'!$C:$FB,4)</f>
        <v>817.6</v>
      </c>
      <c r="E183" s="75">
        <f>VLOOKUP($A183,'Data Vlaue (Cr)'!$C:$FB,5)</f>
        <v>810.5</v>
      </c>
      <c r="F183" s="75">
        <f t="shared" si="18"/>
        <v>5.9500000000000455</v>
      </c>
      <c r="G183" s="75">
        <f t="shared" si="19"/>
        <v>0.86839530332681292</v>
      </c>
      <c r="H183" s="75">
        <f>VLOOKUP($A183,'Data Vlaue (Cr)'!$C:$FB,99)</f>
        <v>656</v>
      </c>
      <c r="I183" s="75">
        <f>VLOOKUP($A183,'Data Vlaue (Cr)'!$C:$FB,100)</f>
        <v>761</v>
      </c>
      <c r="J183" s="75">
        <f t="shared" si="20"/>
        <v>-105</v>
      </c>
      <c r="K183" s="75">
        <f t="shared" si="21"/>
        <v>-16.006097560975611</v>
      </c>
      <c r="L183" s="75">
        <f>VLOOKUP($A183,'Data Vlaue (Cr)'!$C:$FB,67)</f>
        <v>810</v>
      </c>
      <c r="M183" s="75">
        <f>VLOOKUP($A183,'Data Vlaue (Cr)'!$C:$FB,68)</f>
        <v>629</v>
      </c>
      <c r="N183" s="75">
        <f t="shared" si="22"/>
        <v>181</v>
      </c>
      <c r="O183" s="75">
        <f t="shared" si="23"/>
        <v>22.345679012345681</v>
      </c>
      <c r="P183" s="75">
        <f>VLOOKUP($A183,'Data Vlaue (Cr)'!$C:$FB,119)</f>
        <v>0.42</v>
      </c>
      <c r="Q183" s="75">
        <f>VLOOKUP($A183,'Data Vlaue (Cr)'!$C:$FB,122)*100</f>
        <v>-25</v>
      </c>
      <c r="R183" s="75">
        <f>VLOOKUP($A183,'Data Vlaue (Cr)'!$C:$FB,125)</f>
        <v>0.25</v>
      </c>
      <c r="S183" s="75">
        <f>VLOOKUP($A183,'Data Vlaue (Cr)'!$C:$FB,128)*100</f>
        <v>-21.88</v>
      </c>
    </row>
    <row r="184" spans="1:19" x14ac:dyDescent="0.25">
      <c r="A184" s="96" t="str">
        <f>'Data Vlaue (Cr)'!C175</f>
        <v>PHOENIXLTD</v>
      </c>
      <c r="B184" s="75">
        <f>VLOOKUP($A184,'Data Vlaue (Cr)'!$C:$FB,2)</f>
        <v>350</v>
      </c>
      <c r="C184" s="75">
        <f>VLOOKUP($A184,'Data Vlaue (Cr)'!$C:$FB,8)</f>
        <v>1484</v>
      </c>
      <c r="D184" s="75">
        <f>VLOOKUP($A184,'Data Vlaue (Cr)'!$C:$FB,4)</f>
        <v>1490.9</v>
      </c>
      <c r="E184" s="75">
        <f>VLOOKUP($A184,'Data Vlaue (Cr)'!$C:$FB,5)</f>
        <v>1509.2</v>
      </c>
      <c r="F184" s="75">
        <f t="shared" si="18"/>
        <v>6.9000000000000909</v>
      </c>
      <c r="G184" s="75">
        <f t="shared" si="19"/>
        <v>-1.2274465088201725</v>
      </c>
      <c r="H184" s="75">
        <f>VLOOKUP($A184,'Data Vlaue (Cr)'!$C:$FB,99)</f>
        <v>668</v>
      </c>
      <c r="I184" s="75">
        <f>VLOOKUP($A184,'Data Vlaue (Cr)'!$C:$FB,100)</f>
        <v>946</v>
      </c>
      <c r="J184" s="75">
        <f t="shared" si="20"/>
        <v>-278</v>
      </c>
      <c r="K184" s="75">
        <f t="shared" si="21"/>
        <v>-41.616766467065872</v>
      </c>
      <c r="L184" s="75">
        <f>VLOOKUP($A184,'Data Vlaue (Cr)'!$C:$FB,67)</f>
        <v>477</v>
      </c>
      <c r="M184" s="75">
        <f>VLOOKUP($A184,'Data Vlaue (Cr)'!$C:$FB,68)</f>
        <v>579</v>
      </c>
      <c r="N184" s="75">
        <f t="shared" si="22"/>
        <v>-102</v>
      </c>
      <c r="O184" s="75">
        <f t="shared" si="23"/>
        <v>-21.383647798742139</v>
      </c>
      <c r="P184" s="75">
        <f>VLOOKUP($A184,'Data Vlaue (Cr)'!$C:$FB,119)</f>
        <v>0.57999999999999996</v>
      </c>
      <c r="Q184" s="75">
        <f>VLOOKUP($A184,'Data Vlaue (Cr)'!$C:$FB,122)*100</f>
        <v>9.43</v>
      </c>
      <c r="R184" s="75">
        <f>VLOOKUP($A184,'Data Vlaue (Cr)'!$C:$FB,125)</f>
        <v>0.42</v>
      </c>
      <c r="S184" s="75">
        <f>VLOOKUP($A184,'Data Vlaue (Cr)'!$C:$FB,128)*100</f>
        <v>75</v>
      </c>
    </row>
    <row r="185" spans="1:19" x14ac:dyDescent="0.25">
      <c r="A185" s="96" t="str">
        <f>'Data Vlaue (Cr)'!C176</f>
        <v>PIDILITIND</v>
      </c>
      <c r="B185" s="75">
        <f>VLOOKUP($A185,'Data Vlaue (Cr)'!$C:$FB,2)</f>
        <v>250</v>
      </c>
      <c r="C185" s="75">
        <f>VLOOKUP($A185,'Data Vlaue (Cr)'!$C:$FB,8)</f>
        <v>2869.8</v>
      </c>
      <c r="D185" s="75">
        <f>VLOOKUP($A185,'Data Vlaue (Cr)'!$C:$FB,4)</f>
        <v>2885.6</v>
      </c>
      <c r="E185" s="75">
        <f>VLOOKUP($A185,'Data Vlaue (Cr)'!$C:$FB,5)</f>
        <v>2886.7</v>
      </c>
      <c r="F185" s="75">
        <f t="shared" si="18"/>
        <v>15.799999999999727</v>
      </c>
      <c r="G185" s="75">
        <f t="shared" si="19"/>
        <v>-3.8120321596891778E-2</v>
      </c>
      <c r="H185" s="75">
        <f>VLOOKUP($A185,'Data Vlaue (Cr)'!$C:$FB,99)</f>
        <v>1123</v>
      </c>
      <c r="I185" s="75">
        <f>VLOOKUP($A185,'Data Vlaue (Cr)'!$C:$FB,100)</f>
        <v>1473</v>
      </c>
      <c r="J185" s="75">
        <f t="shared" si="20"/>
        <v>-350</v>
      </c>
      <c r="K185" s="75">
        <f t="shared" si="21"/>
        <v>-31.16651825467498</v>
      </c>
      <c r="L185" s="75">
        <f>VLOOKUP($A185,'Data Vlaue (Cr)'!$C:$FB,67)</f>
        <v>792</v>
      </c>
      <c r="M185" s="75">
        <f>VLOOKUP($A185,'Data Vlaue (Cr)'!$C:$FB,68)</f>
        <v>908</v>
      </c>
      <c r="N185" s="75">
        <f t="shared" si="22"/>
        <v>-116</v>
      </c>
      <c r="O185" s="75">
        <f t="shared" si="23"/>
        <v>-14.646464646464647</v>
      </c>
      <c r="P185" s="75">
        <f>VLOOKUP($A185,'Data Vlaue (Cr)'!$C:$FB,119)</f>
        <v>0.77</v>
      </c>
      <c r="Q185" s="75">
        <f>VLOOKUP($A185,'Data Vlaue (Cr)'!$C:$FB,122)*100</f>
        <v>45.28</v>
      </c>
      <c r="R185" s="75">
        <f>VLOOKUP($A185,'Data Vlaue (Cr)'!$C:$FB,125)</f>
        <v>0.53</v>
      </c>
      <c r="S185" s="75">
        <f>VLOOKUP($A185,'Data Vlaue (Cr)'!$C:$FB,128)*100</f>
        <v>70.97</v>
      </c>
    </row>
    <row r="186" spans="1:19" x14ac:dyDescent="0.25">
      <c r="A186" s="96" t="str">
        <f>'Data Vlaue (Cr)'!C177</f>
        <v>PIIND</v>
      </c>
      <c r="B186" s="75">
        <f>VLOOKUP($A186,'Data Vlaue (Cr)'!$C:$FB,2)</f>
        <v>175</v>
      </c>
      <c r="C186" s="75">
        <f>VLOOKUP($A186,'Data Vlaue (Cr)'!$C:$FB,8)</f>
        <v>4250.8999999999996</v>
      </c>
      <c r="D186" s="75">
        <f>VLOOKUP($A186,'Data Vlaue (Cr)'!$C:$FB,4)</f>
        <v>4255</v>
      </c>
      <c r="E186" s="75">
        <f>VLOOKUP($A186,'Data Vlaue (Cr)'!$C:$FB,5)</f>
        <v>4329.8</v>
      </c>
      <c r="F186" s="75">
        <f t="shared" ref="F186:F193" si="24">D186-C186</f>
        <v>4.1000000000003638</v>
      </c>
      <c r="G186" s="75">
        <f t="shared" ref="G186:G193" si="25">(D186-E186)/D186*100</f>
        <v>-1.7579318448883707</v>
      </c>
      <c r="H186" s="75">
        <f>VLOOKUP($A186,'Data Vlaue (Cr)'!$C:$FB,99)</f>
        <v>820</v>
      </c>
      <c r="I186" s="75">
        <f>VLOOKUP($A186,'Data Vlaue (Cr)'!$C:$FB,100)</f>
        <v>998</v>
      </c>
      <c r="J186" s="75">
        <f t="shared" ref="J186:J193" si="26">H186-I186</f>
        <v>-178</v>
      </c>
      <c r="K186" s="75">
        <f t="shared" ref="K186:K193" si="27">J186/H186*100</f>
        <v>-21.707317073170731</v>
      </c>
      <c r="L186" s="75">
        <f>VLOOKUP($A186,'Data Vlaue (Cr)'!$C:$FB,67)</f>
        <v>838</v>
      </c>
      <c r="M186" s="75">
        <f>VLOOKUP($A186,'Data Vlaue (Cr)'!$C:$FB,68)</f>
        <v>1795</v>
      </c>
      <c r="N186" s="75">
        <f t="shared" ref="N186:N193" si="28">L186-M186</f>
        <v>-957</v>
      </c>
      <c r="O186" s="75">
        <f t="shared" ref="O186:O193" si="29">N186/L186*100</f>
        <v>-114.20047732696897</v>
      </c>
      <c r="P186" s="75">
        <f>VLOOKUP($A186,'Data Vlaue (Cr)'!$C:$FB,119)</f>
        <v>0.56999999999999995</v>
      </c>
      <c r="Q186" s="75">
        <f>VLOOKUP($A186,'Data Vlaue (Cr)'!$C:$FB,122)*100</f>
        <v>-10.94</v>
      </c>
      <c r="R186" s="75">
        <f>VLOOKUP($A186,'Data Vlaue (Cr)'!$C:$FB,125)</f>
        <v>0.28999999999999998</v>
      </c>
      <c r="S186" s="75">
        <f>VLOOKUP($A186,'Data Vlaue (Cr)'!$C:$FB,128)*100</f>
        <v>70.59</v>
      </c>
    </row>
    <row r="187" spans="1:19" x14ac:dyDescent="0.25">
      <c r="A187" s="96" t="str">
        <f>'Data Vlaue (Cr)'!C178</f>
        <v>PNB</v>
      </c>
      <c r="B187" s="75">
        <f>VLOOKUP($A187,'Data Vlaue (Cr)'!$C:$FB,2)</f>
        <v>8000</v>
      </c>
      <c r="C187" s="75">
        <f>VLOOKUP($A187,'Data Vlaue (Cr)'!$C:$FB,8)</f>
        <v>105.38</v>
      </c>
      <c r="D187" s="75">
        <f>VLOOKUP($A187,'Data Vlaue (Cr)'!$C:$FB,4)</f>
        <v>105.72</v>
      </c>
      <c r="E187" s="75">
        <f>VLOOKUP($A187,'Data Vlaue (Cr)'!$C:$FB,5)</f>
        <v>108.8</v>
      </c>
      <c r="F187" s="75">
        <f t="shared" si="24"/>
        <v>0.34000000000000341</v>
      </c>
      <c r="G187" s="75">
        <f t="shared" si="25"/>
        <v>-2.9133560348089276</v>
      </c>
      <c r="H187" s="75">
        <f>VLOOKUP($A187,'Data Vlaue (Cr)'!$C:$FB,99)</f>
        <v>4348</v>
      </c>
      <c r="I187" s="75">
        <f>VLOOKUP($A187,'Data Vlaue (Cr)'!$C:$FB,100)</f>
        <v>5730</v>
      </c>
      <c r="J187" s="75">
        <f t="shared" si="26"/>
        <v>-1382</v>
      </c>
      <c r="K187" s="75">
        <f t="shared" si="27"/>
        <v>-31.784728610855566</v>
      </c>
      <c r="L187" s="75">
        <f>VLOOKUP($A187,'Data Vlaue (Cr)'!$C:$FB,67)</f>
        <v>8513</v>
      </c>
      <c r="M187" s="75">
        <f>VLOOKUP($A187,'Data Vlaue (Cr)'!$C:$FB,68)</f>
        <v>14498</v>
      </c>
      <c r="N187" s="75">
        <f t="shared" si="28"/>
        <v>-5985</v>
      </c>
      <c r="O187" s="75">
        <f t="shared" si="29"/>
        <v>-70.304240573240932</v>
      </c>
      <c r="P187" s="75">
        <f>VLOOKUP($A187,'Data Vlaue (Cr)'!$C:$FB,119)</f>
        <v>0.67</v>
      </c>
      <c r="Q187" s="75">
        <f>VLOOKUP($A187,'Data Vlaue (Cr)'!$C:$FB,122)*100</f>
        <v>1.52</v>
      </c>
      <c r="R187" s="75">
        <f>VLOOKUP($A187,'Data Vlaue (Cr)'!$C:$FB,125)</f>
        <v>0.65</v>
      </c>
      <c r="S187" s="75">
        <f>VLOOKUP($A187,'Data Vlaue (Cr)'!$C:$FB,128)*100</f>
        <v>20.369999999999997</v>
      </c>
    </row>
    <row r="188" spans="1:19" x14ac:dyDescent="0.25">
      <c r="A188" s="96" t="str">
        <f>'Data Vlaue (Cr)'!C179</f>
        <v>PNBHOUSING</v>
      </c>
      <c r="B188" s="75">
        <f>VLOOKUP($A188,'Data Vlaue (Cr)'!$C:$FB,2)</f>
        <v>650</v>
      </c>
      <c r="C188" s="75">
        <f>VLOOKUP($A188,'Data Vlaue (Cr)'!$C:$FB,8)</f>
        <v>986.2</v>
      </c>
      <c r="D188" s="75">
        <f>VLOOKUP($A188,'Data Vlaue (Cr)'!$C:$FB,4)</f>
        <v>986.2</v>
      </c>
      <c r="E188" s="75">
        <f>VLOOKUP($A188,'Data Vlaue (Cr)'!$C:$FB,5)</f>
        <v>987.1</v>
      </c>
      <c r="F188" s="75">
        <f t="shared" si="24"/>
        <v>0</v>
      </c>
      <c r="G188" s="75">
        <f t="shared" si="25"/>
        <v>-9.1259379436217522E-2</v>
      </c>
      <c r="H188" s="75">
        <f>VLOOKUP($A188,'Data Vlaue (Cr)'!$C:$FB,99)</f>
        <v>1097</v>
      </c>
      <c r="I188" s="75">
        <f>VLOOKUP($A188,'Data Vlaue (Cr)'!$C:$FB,100)</f>
        <v>1581</v>
      </c>
      <c r="J188" s="75">
        <f t="shared" si="26"/>
        <v>-484</v>
      </c>
      <c r="K188" s="75">
        <f t="shared" si="27"/>
        <v>-44.120328167730172</v>
      </c>
      <c r="L188" s="75">
        <f>VLOOKUP($A188,'Data Vlaue (Cr)'!$C:$FB,67)</f>
        <v>771</v>
      </c>
      <c r="M188" s="75">
        <f>VLOOKUP($A188,'Data Vlaue (Cr)'!$C:$FB,68)</f>
        <v>860</v>
      </c>
      <c r="N188" s="75">
        <f t="shared" si="28"/>
        <v>-89</v>
      </c>
      <c r="O188" s="75">
        <f t="shared" si="29"/>
        <v>-11.543450064850843</v>
      </c>
      <c r="P188" s="75">
        <f>VLOOKUP($A188,'Data Vlaue (Cr)'!$C:$FB,119)</f>
        <v>0.88</v>
      </c>
      <c r="Q188" s="75">
        <f>VLOOKUP($A188,'Data Vlaue (Cr)'!$C:$FB,122)*100</f>
        <v>60</v>
      </c>
      <c r="R188" s="75">
        <f>VLOOKUP($A188,'Data Vlaue (Cr)'!$C:$FB,125)</f>
        <v>0.54</v>
      </c>
      <c r="S188" s="75">
        <f>VLOOKUP($A188,'Data Vlaue (Cr)'!$C:$FB,128)*100</f>
        <v>31.71</v>
      </c>
    </row>
    <row r="189" spans="1:19" x14ac:dyDescent="0.25">
      <c r="A189" s="96" t="str">
        <f>'Data Vlaue (Cr)'!C180</f>
        <v>POLICYBZR</v>
      </c>
      <c r="B189" s="75">
        <f>VLOOKUP($A189,'Data Vlaue (Cr)'!$C:$FB,2)</f>
        <v>350</v>
      </c>
      <c r="C189" s="75">
        <f>VLOOKUP($A189,'Data Vlaue (Cr)'!$C:$FB,8)</f>
        <v>1812.1</v>
      </c>
      <c r="D189" s="75">
        <f>VLOOKUP($A189,'Data Vlaue (Cr)'!$C:$FB,4)</f>
        <v>1820</v>
      </c>
      <c r="E189" s="75">
        <f>VLOOKUP($A189,'Data Vlaue (Cr)'!$C:$FB,5)</f>
        <v>1829.2</v>
      </c>
      <c r="F189" s="75">
        <f t="shared" si="24"/>
        <v>7.9000000000000909</v>
      </c>
      <c r="G189" s="75">
        <f t="shared" si="25"/>
        <v>-0.50549450549450792</v>
      </c>
      <c r="H189" s="75">
        <f>VLOOKUP($A189,'Data Vlaue (Cr)'!$C:$FB,99)</f>
        <v>1549</v>
      </c>
      <c r="I189" s="75">
        <f>VLOOKUP($A189,'Data Vlaue (Cr)'!$C:$FB,100)</f>
        <v>1990</v>
      </c>
      <c r="J189" s="75">
        <f t="shared" si="26"/>
        <v>-441</v>
      </c>
      <c r="K189" s="75">
        <f t="shared" si="27"/>
        <v>-28.469980632666235</v>
      </c>
      <c r="L189" s="75">
        <f>VLOOKUP($A189,'Data Vlaue (Cr)'!$C:$FB,67)</f>
        <v>1348</v>
      </c>
      <c r="M189" s="75">
        <f>VLOOKUP($A189,'Data Vlaue (Cr)'!$C:$FB,68)</f>
        <v>1641</v>
      </c>
      <c r="N189" s="75">
        <f t="shared" si="28"/>
        <v>-293</v>
      </c>
      <c r="O189" s="75">
        <f t="shared" si="29"/>
        <v>-21.735905044510385</v>
      </c>
      <c r="P189" s="75">
        <f>VLOOKUP($A189,'Data Vlaue (Cr)'!$C:$FB,119)</f>
        <v>1.27</v>
      </c>
      <c r="Q189" s="75">
        <f>VLOOKUP($A189,'Data Vlaue (Cr)'!$C:$FB,122)*100</f>
        <v>86.76</v>
      </c>
      <c r="R189" s="75">
        <f>VLOOKUP($A189,'Data Vlaue (Cr)'!$C:$FB,125)</f>
        <v>0.37</v>
      </c>
      <c r="S189" s="75">
        <f>VLOOKUP($A189,'Data Vlaue (Cr)'!$C:$FB,128)*100</f>
        <v>48</v>
      </c>
    </row>
    <row r="190" spans="1:19" x14ac:dyDescent="0.25">
      <c r="A190" s="96" t="str">
        <f>'Data Vlaue (Cr)'!C181</f>
        <v>POLYCAB</v>
      </c>
      <c r="B190" s="75">
        <f>VLOOKUP($A190,'Data Vlaue (Cr)'!$C:$FB,2)</f>
        <v>125</v>
      </c>
      <c r="C190" s="75">
        <f>VLOOKUP($A190,'Data Vlaue (Cr)'!$C:$FB,8)</f>
        <v>6821</v>
      </c>
      <c r="D190" s="75">
        <f>VLOOKUP($A190,'Data Vlaue (Cr)'!$C:$FB,4)</f>
        <v>6837</v>
      </c>
      <c r="E190" s="75">
        <f>VLOOKUP($A190,'Data Vlaue (Cr)'!$C:$FB,5)</f>
        <v>6964.5</v>
      </c>
      <c r="F190" s="75">
        <f t="shared" si="24"/>
        <v>16</v>
      </c>
      <c r="G190" s="75">
        <f t="shared" si="25"/>
        <v>-1.8648530057042563</v>
      </c>
      <c r="H190" s="75">
        <f>VLOOKUP($A190,'Data Vlaue (Cr)'!$C:$FB,99)</f>
        <v>1829</v>
      </c>
      <c r="I190" s="75">
        <f>VLOOKUP($A190,'Data Vlaue (Cr)'!$C:$FB,100)</f>
        <v>2911</v>
      </c>
      <c r="J190" s="75">
        <f t="shared" si="26"/>
        <v>-1082</v>
      </c>
      <c r="K190" s="75">
        <f t="shared" si="27"/>
        <v>-59.158009841443416</v>
      </c>
      <c r="L190" s="75">
        <f>VLOOKUP($A190,'Data Vlaue (Cr)'!$C:$FB,67)</f>
        <v>3512</v>
      </c>
      <c r="M190" s="75">
        <f>VLOOKUP($A190,'Data Vlaue (Cr)'!$C:$FB,68)</f>
        <v>2336</v>
      </c>
      <c r="N190" s="75">
        <f t="shared" si="28"/>
        <v>1176</v>
      </c>
      <c r="O190" s="75">
        <f t="shared" si="29"/>
        <v>33.485193621867879</v>
      </c>
      <c r="P190" s="75">
        <f>VLOOKUP($A190,'Data Vlaue (Cr)'!$C:$FB,119)</f>
        <v>0.57999999999999996</v>
      </c>
      <c r="Q190" s="75">
        <f>VLOOKUP($A190,'Data Vlaue (Cr)'!$C:$FB,122)*100</f>
        <v>-24.68</v>
      </c>
      <c r="R190" s="75">
        <f>VLOOKUP($A190,'Data Vlaue (Cr)'!$C:$FB,125)</f>
        <v>0.56999999999999995</v>
      </c>
      <c r="S190" s="75">
        <f>VLOOKUP($A190,'Data Vlaue (Cr)'!$C:$FB,128)*100</f>
        <v>-19.72</v>
      </c>
    </row>
    <row r="191" spans="1:19" x14ac:dyDescent="0.25">
      <c r="A191" s="96" t="str">
        <f>'Data Vlaue (Cr)'!C182</f>
        <v>POONAWALLA</v>
      </c>
      <c r="B191" s="75">
        <f>VLOOKUP($A191,'Data Vlaue (Cr)'!$C:$FB,2)</f>
        <v>1700</v>
      </c>
      <c r="C191" s="75">
        <f>VLOOKUP($A191,'Data Vlaue (Cr)'!$C:$FB,8)</f>
        <v>422.25</v>
      </c>
      <c r="D191" s="75">
        <f>VLOOKUP($A191,'Data Vlaue (Cr)'!$C:$FB,4)</f>
        <v>423.95</v>
      </c>
      <c r="E191" s="75">
        <f>VLOOKUP($A191,'Data Vlaue (Cr)'!$C:$FB,5)</f>
        <v>416.6</v>
      </c>
      <c r="F191" s="75">
        <f t="shared" si="24"/>
        <v>1.6999999999999886</v>
      </c>
      <c r="G191" s="75">
        <f t="shared" si="25"/>
        <v>1.7336950112041436</v>
      </c>
      <c r="H191" s="75">
        <f>VLOOKUP($A191,'Data Vlaue (Cr)'!$C:$FB,99)</f>
        <v>660</v>
      </c>
      <c r="I191" s="75">
        <f>VLOOKUP($A191,'Data Vlaue (Cr)'!$C:$FB,100)</f>
        <v>1196</v>
      </c>
      <c r="J191" s="75">
        <f t="shared" si="26"/>
        <v>-536</v>
      </c>
      <c r="K191" s="75">
        <f t="shared" si="27"/>
        <v>-81.212121212121218</v>
      </c>
      <c r="L191" s="75">
        <f>VLOOKUP($A191,'Data Vlaue (Cr)'!$C:$FB,67)</f>
        <v>900</v>
      </c>
      <c r="M191" s="75">
        <f>VLOOKUP($A191,'Data Vlaue (Cr)'!$C:$FB,68)</f>
        <v>1273</v>
      </c>
      <c r="N191" s="75">
        <f t="shared" si="28"/>
        <v>-373</v>
      </c>
      <c r="O191" s="75">
        <f t="shared" si="29"/>
        <v>-41.444444444444443</v>
      </c>
      <c r="P191" s="75">
        <f>VLOOKUP($A191,'Data Vlaue (Cr)'!$C:$FB,119)</f>
        <v>0.66</v>
      </c>
      <c r="Q191" s="75">
        <f>VLOOKUP($A191,'Data Vlaue (Cr)'!$C:$FB,122)*100</f>
        <v>24.529999999999998</v>
      </c>
      <c r="R191" s="75">
        <f>VLOOKUP($A191,'Data Vlaue (Cr)'!$C:$FB,125)</f>
        <v>0.46</v>
      </c>
      <c r="S191" s="75">
        <f>VLOOKUP($A191,'Data Vlaue (Cr)'!$C:$FB,128)*100</f>
        <v>-6.12</v>
      </c>
    </row>
    <row r="192" spans="1:19" x14ac:dyDescent="0.25">
      <c r="A192" s="96" t="str">
        <f>'Data Vlaue (Cr)'!C183</f>
        <v>POWERGRID</v>
      </c>
      <c r="B192" s="75">
        <f>VLOOKUP($A192,'Data Vlaue (Cr)'!$C:$FB,2)</f>
        <v>1900</v>
      </c>
      <c r="C192" s="75">
        <f>VLOOKUP($A192,'Data Vlaue (Cr)'!$C:$FB,8)</f>
        <v>291</v>
      </c>
      <c r="D192" s="75">
        <f>VLOOKUP($A192,'Data Vlaue (Cr)'!$C:$FB,4)</f>
        <v>291.89999999999998</v>
      </c>
      <c r="E192" s="75">
        <f>VLOOKUP($A192,'Data Vlaue (Cr)'!$C:$FB,5)</f>
        <v>289.45</v>
      </c>
      <c r="F192" s="75">
        <f t="shared" si="24"/>
        <v>0.89999999999997726</v>
      </c>
      <c r="G192" s="75">
        <f t="shared" si="25"/>
        <v>0.8393285371702599</v>
      </c>
      <c r="H192" s="75">
        <f>VLOOKUP($A192,'Data Vlaue (Cr)'!$C:$FB,99)</f>
        <v>2580</v>
      </c>
      <c r="I192" s="75">
        <f>VLOOKUP($A192,'Data Vlaue (Cr)'!$C:$FB,100)</f>
        <v>3617</v>
      </c>
      <c r="J192" s="75">
        <f t="shared" si="26"/>
        <v>-1037</v>
      </c>
      <c r="K192" s="75">
        <f t="shared" si="27"/>
        <v>-40.193798449612409</v>
      </c>
      <c r="L192" s="75">
        <f>VLOOKUP($A192,'Data Vlaue (Cr)'!$C:$FB,67)</f>
        <v>2260</v>
      </c>
      <c r="M192" s="75">
        <f>VLOOKUP($A192,'Data Vlaue (Cr)'!$C:$FB,68)</f>
        <v>3616</v>
      </c>
      <c r="N192" s="75">
        <f t="shared" si="28"/>
        <v>-1356</v>
      </c>
      <c r="O192" s="75">
        <f t="shared" si="29"/>
        <v>-60</v>
      </c>
      <c r="P192" s="75">
        <f>VLOOKUP($A192,'Data Vlaue (Cr)'!$C:$FB,119)</f>
        <v>1.1100000000000001</v>
      </c>
      <c r="Q192" s="75">
        <f>VLOOKUP($A192,'Data Vlaue (Cr)'!$C:$FB,122)*100</f>
        <v>70.77</v>
      </c>
      <c r="R192" s="75">
        <f>VLOOKUP($A192,'Data Vlaue (Cr)'!$C:$FB,125)</f>
        <v>0.72</v>
      </c>
      <c r="S192" s="75">
        <f>VLOOKUP($A192,'Data Vlaue (Cr)'!$C:$FB,128)*100</f>
        <v>-18.18</v>
      </c>
    </row>
    <row r="193" spans="1:19" x14ac:dyDescent="0.25">
      <c r="A193" s="96" t="str">
        <f>'Data Vlaue (Cr)'!C231</f>
        <v>ZYDUSLIFE</v>
      </c>
      <c r="B193" s="75">
        <f>VLOOKUP($A193,'Data Vlaue (Cr)'!$C:$FB,2)</f>
        <v>900</v>
      </c>
      <c r="C193" s="75">
        <f>VLOOKUP($A193,'Data Vlaue (Cr)'!$C:$FB,8)</f>
        <v>969.8</v>
      </c>
      <c r="D193" s="75">
        <f>VLOOKUP($A193,'Data Vlaue (Cr)'!$C:$FB,4)</f>
        <v>972.8</v>
      </c>
      <c r="E193" s="75">
        <f>VLOOKUP($A193,'Data Vlaue (Cr)'!$C:$FB,5)</f>
        <v>999.85</v>
      </c>
      <c r="F193" s="75">
        <f t="shared" si="24"/>
        <v>3</v>
      </c>
      <c r="G193" s="75">
        <f t="shared" si="25"/>
        <v>-2.7806332236842177</v>
      </c>
      <c r="H193" s="75">
        <f>VLOOKUP($A193,'Data Vlaue (Cr)'!$C:$FB,99)</f>
        <v>1055</v>
      </c>
      <c r="I193" s="75">
        <f>VLOOKUP($A193,'Data Vlaue (Cr)'!$C:$FB,100)</f>
        <v>1476</v>
      </c>
      <c r="J193" s="75">
        <f t="shared" si="26"/>
        <v>-421</v>
      </c>
      <c r="K193" s="75">
        <f t="shared" si="27"/>
        <v>-39.905213270142184</v>
      </c>
      <c r="L193" s="75">
        <f>VLOOKUP($A193,'Data Vlaue (Cr)'!$C:$FB,67)</f>
        <v>1250</v>
      </c>
      <c r="M193" s="75">
        <f>VLOOKUP($A193,'Data Vlaue (Cr)'!$C:$FB,68)</f>
        <v>851</v>
      </c>
      <c r="N193" s="75">
        <f t="shared" si="28"/>
        <v>399</v>
      </c>
      <c r="O193" s="75">
        <f t="shared" si="29"/>
        <v>31.919999999999998</v>
      </c>
      <c r="P193" s="75">
        <f>VLOOKUP($A193,'Data Vlaue (Cr)'!$C:$FB,119)</f>
        <v>0.78</v>
      </c>
      <c r="Q193" s="75">
        <f>VLOOKUP($A193,'Data Vlaue (Cr)'!$C:$FB,122)*100</f>
        <v>1.3</v>
      </c>
      <c r="R193" s="75">
        <f>VLOOKUP($A193,'Data Vlaue (Cr)'!$C:$FB,125)</f>
        <v>1.24</v>
      </c>
      <c r="S193" s="75">
        <f>VLOOKUP($A193,'Data Vlaue (Cr)'!$C:$FB,128)*100</f>
        <v>181.82</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36"/>
      <c r="B224" s="236"/>
      <c r="C224" s="236"/>
      <c r="D224" s="236"/>
      <c r="E224" s="236"/>
      <c r="F224" s="236"/>
      <c r="G224" s="15"/>
      <c r="H224" s="16"/>
      <c r="I224" s="236"/>
      <c r="J224" s="236"/>
      <c r="K224" s="236"/>
      <c r="L224" s="236"/>
      <c r="M224" s="236"/>
      <c r="N224" s="16"/>
      <c r="O224" s="16"/>
      <c r="P224" s="16"/>
      <c r="Q224" s="236"/>
      <c r="R224" s="236"/>
      <c r="S224" s="236"/>
    </row>
    <row r="225" spans="1:19" x14ac:dyDescent="0.25">
      <c r="A225" s="233" t="s">
        <v>391</v>
      </c>
      <c r="B225" s="234"/>
      <c r="C225" s="234"/>
      <c r="D225" s="234"/>
      <c r="E225" s="234"/>
      <c r="F225" s="235"/>
      <c r="G225" s="18"/>
      <c r="H225" s="18">
        <f>SUM(H11:H223)</f>
        <v>1220415</v>
      </c>
      <c r="I225" s="18">
        <f>SUM(I11:I223)</f>
        <v>2329896</v>
      </c>
      <c r="J225" s="18">
        <f>H225-I225</f>
        <v>-1109481</v>
      </c>
      <c r="K225" s="19">
        <f>J225/I225</f>
        <v>-0.47619335798679424</v>
      </c>
      <c r="L225" s="18">
        <f>SUM(L11:L223)</f>
        <v>75765518</v>
      </c>
      <c r="M225" s="18">
        <f>SUM(M11:M223)</f>
        <v>22807799</v>
      </c>
      <c r="N225" s="18">
        <f>L225-M225</f>
        <v>52957719</v>
      </c>
      <c r="O225" s="19">
        <f>N225/M225</f>
        <v>2.3219127369545829</v>
      </c>
      <c r="P225" s="233"/>
      <c r="Q225" s="234"/>
      <c r="R225" s="234"/>
      <c r="S225" s="235"/>
    </row>
    <row r="229" spans="1:19" x14ac:dyDescent="0.25">
      <c r="A229" s="239" t="s">
        <v>334</v>
      </c>
      <c r="B229" s="239"/>
      <c r="C229" s="239"/>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10989</v>
      </c>
      <c r="C231" s="146">
        <f>VLOOKUP(B230,'OI(Value)'!A7:G209,7,0)</f>
        <v>-0.25240000000000001</v>
      </c>
      <c r="D231" s="9">
        <f>VLOOKUP(D230,'OI(Value)'!A7:E209,5,0)</f>
        <v>40921</v>
      </c>
      <c r="E231" s="147">
        <f>VLOOKUP(D230,'OI(Value)'!A7:G209,7,0)</f>
        <v>-0.1918</v>
      </c>
      <c r="F231" s="9">
        <f>G231-D231-B231</f>
        <v>341503</v>
      </c>
      <c r="G231" s="10">
        <f>'OI(Value)'!E210</f>
        <v>393413</v>
      </c>
      <c r="H231" s="147">
        <f>'OI(Value)'!D217</f>
        <v>-0.10170482419238815</v>
      </c>
    </row>
    <row r="232" spans="1:19" x14ac:dyDescent="0.25">
      <c r="A232" s="26" t="s">
        <v>389</v>
      </c>
      <c r="B232" s="9">
        <f>VLOOKUP(B230,'OI(Value)'!A7:H209,8,0)</f>
        <v>53744</v>
      </c>
      <c r="C232" s="146">
        <f>VLOOKUP(B230,'OI(Value)'!A7:J209,10,0)</f>
        <v>-0.72750000000000004</v>
      </c>
      <c r="D232" s="9">
        <f>VLOOKUP(D230,'OI(Value)'!A1:O210,8,0)</f>
        <v>299307</v>
      </c>
      <c r="E232" s="147">
        <f>VLOOKUP(D230,'OI(Value)'!A1:J209,10,0)</f>
        <v>-0.54849999999999999</v>
      </c>
      <c r="F232" s="9">
        <f>G232-D232-B232</f>
        <v>61610</v>
      </c>
      <c r="G232" s="9">
        <f>'OI(Value)'!H210</f>
        <v>414661</v>
      </c>
      <c r="H232" s="147">
        <f>'OI(Value)'!D218</f>
        <v>-1.5487422255770376</v>
      </c>
    </row>
    <row r="233" spans="1:19" x14ac:dyDescent="0.25">
      <c r="A233" s="26" t="s">
        <v>390</v>
      </c>
      <c r="B233" s="9">
        <f>VLOOKUP(B230,'OI(Value)'!A7:K209,11,0)</f>
        <v>52356</v>
      </c>
      <c r="C233" s="146">
        <f>VLOOKUP(B230,'OI(Value)'!A7:M209,13,0)</f>
        <v>-0.6109</v>
      </c>
      <c r="D233" s="9">
        <f>VLOOKUP(D230,'OI(Value)'!A2:O211,11,0)</f>
        <v>311451</v>
      </c>
      <c r="E233" s="147">
        <f>VLOOKUP(D230,'OI(Value)'!A7:M209,13,0)</f>
        <v>-0.46179999999999999</v>
      </c>
      <c r="F233" s="9">
        <f>G233-D233-B233</f>
        <v>48523</v>
      </c>
      <c r="G233" s="9">
        <f>'OI(Value)'!K210</f>
        <v>412330</v>
      </c>
      <c r="H233" s="147">
        <f>'OI(Volume)'!D229</f>
        <v>-0.94774157168108186</v>
      </c>
    </row>
    <row r="234" spans="1:19" x14ac:dyDescent="0.25">
      <c r="A234" s="22" t="s">
        <v>391</v>
      </c>
      <c r="B234" s="62">
        <f>SUM(B231:B233)</f>
        <v>117089</v>
      </c>
      <c r="C234" s="148">
        <f>VLOOKUP(B230,'OI(Value)'!A7:D148,4,0)</f>
        <v>-0.66210000000000002</v>
      </c>
      <c r="D234" s="62">
        <f>SUM(D231:D233)</f>
        <v>651679</v>
      </c>
      <c r="E234" s="148">
        <f>VLOOKUP(D230,'OI(Value)'!A1:D210,4,0)</f>
        <v>-0.49569999999999997</v>
      </c>
      <c r="F234" s="62">
        <f>SUM(F231:F233)</f>
        <v>451636</v>
      </c>
      <c r="G234" s="62">
        <f>SUM(G231:G233)</f>
        <v>1220404</v>
      </c>
      <c r="H234" s="151">
        <f>'OI(Value)'!D220</f>
        <v>-0.90911861973575958</v>
      </c>
    </row>
    <row r="238" spans="1:19" x14ac:dyDescent="0.25">
      <c r="A238" s="20" t="s">
        <v>392</v>
      </c>
      <c r="B238" s="11"/>
      <c r="C238" s="11"/>
      <c r="D238" s="11"/>
      <c r="E238" s="11"/>
      <c r="F238" s="11"/>
      <c r="G238" s="11"/>
      <c r="H238" s="12"/>
    </row>
    <row r="239" spans="1:19" x14ac:dyDescent="0.25">
      <c r="A239" s="27"/>
      <c r="B239" s="27"/>
      <c r="C239" s="240" t="s">
        <v>459</v>
      </c>
      <c r="D239" s="241"/>
      <c r="E239" s="242"/>
      <c r="F239" s="240" t="s">
        <v>460</v>
      </c>
      <c r="G239" s="241"/>
      <c r="H239" s="242"/>
    </row>
    <row r="240" spans="1:19" x14ac:dyDescent="0.25">
      <c r="A240" s="28"/>
      <c r="B240" s="27"/>
      <c r="C240" s="31">
        <f>D10</f>
        <v>45869</v>
      </c>
      <c r="D240" s="31" t="s">
        <v>397</v>
      </c>
      <c r="E240" s="32" t="s">
        <v>321</v>
      </c>
      <c r="F240" s="31">
        <f>C240</f>
        <v>45869</v>
      </c>
      <c r="G240" s="31" t="str">
        <f>D240</f>
        <v>Preious</v>
      </c>
      <c r="H240" s="32" t="s">
        <v>386</v>
      </c>
    </row>
    <row r="241" spans="1:8" x14ac:dyDescent="0.25">
      <c r="A241" s="29" t="s">
        <v>393</v>
      </c>
      <c r="B241" s="30"/>
      <c r="C241" s="13">
        <f>FII!N3</f>
        <v>5457</v>
      </c>
      <c r="D241" s="13">
        <f>FII!J3</f>
        <v>7750</v>
      </c>
      <c r="E241" s="14">
        <f>(C241-D241)/C241</f>
        <v>-0.42019424592266813</v>
      </c>
      <c r="F241" s="13">
        <f>FII!M3</f>
        <v>27745</v>
      </c>
      <c r="G241" s="13">
        <f>FII!I3</f>
        <v>39331</v>
      </c>
      <c r="H241" s="14">
        <f>(F241-G241)/F241</f>
        <v>-0.4175887547305821</v>
      </c>
    </row>
    <row r="242" spans="1:8" x14ac:dyDescent="0.25">
      <c r="A242" s="237" t="s">
        <v>394</v>
      </c>
      <c r="B242" s="238"/>
      <c r="C242" s="13">
        <f>FII!N4</f>
        <v>17141</v>
      </c>
      <c r="D242" s="13">
        <f>FII!J4</f>
        <v>62353</v>
      </c>
      <c r="E242" s="14">
        <f>(C242-D242)/C242</f>
        <v>-2.6376524123446705</v>
      </c>
      <c r="F242" s="13">
        <f>FII!M4</f>
        <v>87514</v>
      </c>
      <c r="G242" s="13">
        <f>FII!I4</f>
        <v>317275</v>
      </c>
      <c r="H242" s="14">
        <f>(F242-G242)/F242</f>
        <v>-2.6254199328107504</v>
      </c>
    </row>
    <row r="243" spans="1:8" x14ac:dyDescent="0.25">
      <c r="A243" s="237" t="s">
        <v>395</v>
      </c>
      <c r="B243" s="238"/>
      <c r="C243" s="13">
        <f>FII!N15</f>
        <v>367430</v>
      </c>
      <c r="D243" s="13">
        <f>FII!J15</f>
        <v>385779</v>
      </c>
      <c r="E243" s="14">
        <f>(C243-D243)/C243</f>
        <v>-4.993876384617478E-2</v>
      </c>
      <c r="F243" s="13">
        <f>FII!M15</f>
        <v>5354485</v>
      </c>
      <c r="G243" s="13">
        <f>FII!I15</f>
        <v>5599109</v>
      </c>
      <c r="H243" s="14">
        <f>(F243-G243)/F243</f>
        <v>-4.5685812921317362E-2</v>
      </c>
    </row>
    <row r="244" spans="1:8" x14ac:dyDescent="0.25">
      <c r="A244" s="237" t="s">
        <v>396</v>
      </c>
      <c r="B244" s="238"/>
      <c r="C244" s="13">
        <f>FII!N16</f>
        <v>6008</v>
      </c>
      <c r="D244" s="13">
        <f>FII!J16</f>
        <v>51901</v>
      </c>
      <c r="E244" s="14">
        <f>(C244-D244)/C244</f>
        <v>-7.6386484687083884</v>
      </c>
      <c r="F244" s="13">
        <f>FII!M16</f>
        <v>88193</v>
      </c>
      <c r="G244" s="13">
        <f>FII!I16</f>
        <v>761569</v>
      </c>
      <c r="H244" s="14">
        <f>(F244-G244)/F244</f>
        <v>-7.635254498656356</v>
      </c>
    </row>
    <row r="245" spans="1:8" x14ac:dyDescent="0.25">
      <c r="A245" s="237" t="s">
        <v>391</v>
      </c>
      <c r="B245" s="238"/>
      <c r="C245" s="155">
        <f>SUM(C241:C244)</f>
        <v>396036</v>
      </c>
      <c r="D245" s="155">
        <f>SUM(D241:D244)</f>
        <v>507783</v>
      </c>
      <c r="E245" s="156">
        <f>(C245-D245)/C245</f>
        <v>-0.28216374269005851</v>
      </c>
      <c r="F245" s="157">
        <f>SUM(F241:F244)</f>
        <v>5557937</v>
      </c>
      <c r="G245" s="158">
        <f>SUM(G241:G244)</f>
        <v>6717284</v>
      </c>
      <c r="H245" s="156">
        <f>(F245-G245)/F245</f>
        <v>-0.20859304450554225</v>
      </c>
    </row>
  </sheetData>
  <mergeCells count="24">
    <mergeCell ref="A6:S6"/>
    <mergeCell ref="A7:S7"/>
    <mergeCell ref="A8:A9"/>
    <mergeCell ref="H8:K8"/>
    <mergeCell ref="L8:O8"/>
    <mergeCell ref="P8:S8"/>
    <mergeCell ref="D9:G9"/>
    <mergeCell ref="H9:K9"/>
    <mergeCell ref="C8:G8"/>
    <mergeCell ref="L9:O9"/>
    <mergeCell ref="P9:Q9"/>
    <mergeCell ref="R9:S9"/>
    <mergeCell ref="A244:B244"/>
    <mergeCell ref="A245:B245"/>
    <mergeCell ref="A229:C229"/>
    <mergeCell ref="C239:E239"/>
    <mergeCell ref="F239:H239"/>
    <mergeCell ref="A242:B242"/>
    <mergeCell ref="A243:B243"/>
    <mergeCell ref="P225:S225"/>
    <mergeCell ref="A225:F225"/>
    <mergeCell ref="Q224:S224"/>
    <mergeCell ref="I224:M224"/>
    <mergeCell ref="A224:F224"/>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N20" sqref="A20:N20"/>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45869</v>
      </c>
      <c r="C5" s="3">
        <f>B5</f>
        <v>45869</v>
      </c>
      <c r="D5" s="76" t="s">
        <v>367</v>
      </c>
      <c r="E5" s="76" t="s">
        <v>321</v>
      </c>
      <c r="F5" s="76" t="s">
        <v>368</v>
      </c>
      <c r="G5" s="76" t="s">
        <v>369</v>
      </c>
      <c r="H5" s="48"/>
    </row>
    <row r="6" spans="1:8" x14ac:dyDescent="0.25">
      <c r="A6" s="101" t="str">
        <f>'Data shares'!C2</f>
        <v>360ONE</v>
      </c>
      <c r="B6" s="144">
        <f>VLOOKUP($A6,'Data shares'!$C:$FA,7)</f>
        <v>1052.7</v>
      </c>
      <c r="C6" s="144">
        <f>VLOOKUP($A6,'Data shares'!$C:$FA,3)</f>
        <v>1057.5999999999999</v>
      </c>
      <c r="D6" s="144">
        <f>VLOOKUP($A6,'Data shares'!$C:$FA,23)</f>
        <v>4.9000000000000004</v>
      </c>
      <c r="E6" s="145">
        <f>VLOOKUP($A6,'Data shares'!$C:$FA,26)*100</f>
        <v>0.47000000000000003</v>
      </c>
      <c r="F6" s="144">
        <f>VLOOKUP($A6,'Data shares'!$C:$FA,24)</f>
        <v>0</v>
      </c>
      <c r="G6" s="144">
        <f>VLOOKUP($A6,'Data shares'!$C:$FA,25)</f>
        <v>4.9000000000000004</v>
      </c>
    </row>
    <row r="7" spans="1:8" x14ac:dyDescent="0.25">
      <c r="A7" s="101" t="str">
        <f>'Data shares'!C3</f>
        <v>AARTIIND</v>
      </c>
      <c r="B7" s="144">
        <f>VLOOKUP($A7,'Data shares'!$C:$FA,7)</f>
        <v>420.05</v>
      </c>
      <c r="C7" s="144">
        <f>VLOOKUP($A7,'Data shares'!$C:$FA,3)</f>
        <v>0</v>
      </c>
      <c r="D7" s="144">
        <f>VLOOKUP($A7,'Data shares'!$C:$FA,23)</f>
        <v>0</v>
      </c>
      <c r="E7" s="145">
        <f>VLOOKUP($A7,'Data shares'!$C:$FA,26)*100</f>
        <v>0</v>
      </c>
      <c r="F7" s="144">
        <f>VLOOKUP($A7,'Data shares'!$C:$FA,24)</f>
        <v>-0.15</v>
      </c>
      <c r="G7" s="144">
        <f>VLOOKUP($A7,'Data shares'!$C:$FA,25)</f>
        <v>0</v>
      </c>
    </row>
    <row r="8" spans="1:8" x14ac:dyDescent="0.25">
      <c r="A8" s="101" t="str">
        <f>'Data shares'!C4</f>
        <v>ABB</v>
      </c>
      <c r="B8" s="144">
        <f>VLOOKUP($A8,'Data shares'!$C:$FA,7)</f>
        <v>5510</v>
      </c>
      <c r="C8" s="144">
        <f>VLOOKUP($A8,'Data shares'!$C:$FA,3)</f>
        <v>5525</v>
      </c>
      <c r="D8" s="144">
        <f>VLOOKUP($A8,'Data shares'!$C:$FA,23)</f>
        <v>15</v>
      </c>
      <c r="E8" s="145">
        <f>VLOOKUP($A8,'Data shares'!$C:$FA,26)*100</f>
        <v>0.27</v>
      </c>
      <c r="F8" s="144">
        <f>VLOOKUP($A8,'Data shares'!$C:$FA,24)</f>
        <v>-6.5</v>
      </c>
      <c r="G8" s="144">
        <f>VLOOKUP($A8,'Data shares'!$C:$FA,25)</f>
        <v>21.5</v>
      </c>
    </row>
    <row r="9" spans="1:8" x14ac:dyDescent="0.25">
      <c r="A9" s="101" t="str">
        <f>'Data shares'!C5</f>
        <v>ABCAPITAL</v>
      </c>
      <c r="B9" s="144">
        <f>VLOOKUP($A9,'Data shares'!$C:$FA,7)</f>
        <v>256.64999999999998</v>
      </c>
      <c r="C9" s="144">
        <f>VLOOKUP($A9,'Data shares'!$C:$FA,3)</f>
        <v>257.3</v>
      </c>
      <c r="D9" s="144">
        <f>VLOOKUP($A9,'Data shares'!$C:$FA,23)</f>
        <v>0.65</v>
      </c>
      <c r="E9" s="145">
        <f>VLOOKUP($A9,'Data shares'!$C:$FA,26)*100</f>
        <v>0.25</v>
      </c>
      <c r="F9" s="144">
        <f>VLOOKUP($A9,'Data shares'!$C:$FA,24)</f>
        <v>-0.05</v>
      </c>
      <c r="G9" s="144">
        <f>VLOOKUP($A9,'Data shares'!$C:$FA,25)</f>
        <v>0.7</v>
      </c>
    </row>
    <row r="10" spans="1:8" x14ac:dyDescent="0.25">
      <c r="A10" s="101" t="str">
        <f>'Data shares'!C6</f>
        <v>ABFRL</v>
      </c>
      <c r="B10" s="144">
        <f>VLOOKUP($A10,'Data shares'!$C:$FA,7)</f>
        <v>72.87</v>
      </c>
      <c r="C10" s="144">
        <f>VLOOKUP($A10,'Data shares'!$C:$FA,3)</f>
        <v>73.22</v>
      </c>
      <c r="D10" s="144">
        <f>VLOOKUP($A10,'Data shares'!$C:$FA,23)</f>
        <v>0.35</v>
      </c>
      <c r="E10" s="145">
        <f>VLOOKUP($A10,'Data shares'!$C:$FA,26)*100</f>
        <v>0.48</v>
      </c>
      <c r="F10" s="144">
        <f>VLOOKUP($A10,'Data shares'!$C:$FA,24)</f>
        <v>0.12</v>
      </c>
      <c r="G10" s="144">
        <f>VLOOKUP($A10,'Data shares'!$C:$FA,25)</f>
        <v>0.23</v>
      </c>
    </row>
    <row r="11" spans="1:8" x14ac:dyDescent="0.25">
      <c r="A11" s="101" t="str">
        <f>'Data shares'!C7</f>
        <v>ACC</v>
      </c>
      <c r="B11" s="144">
        <f>VLOOKUP($A11,'Data shares'!$C:$FA,7)</f>
        <v>1788.4</v>
      </c>
      <c r="C11" s="144">
        <f>VLOOKUP($A11,'Data shares'!$C:$FA,3)</f>
        <v>0</v>
      </c>
      <c r="D11" s="144">
        <f>VLOOKUP($A11,'Data shares'!$C:$FA,23)</f>
        <v>0</v>
      </c>
      <c r="E11" s="145">
        <f>VLOOKUP($A11,'Data shares'!$C:$FA,26)*100</f>
        <v>0</v>
      </c>
      <c r="F11" s="144">
        <f>VLOOKUP($A11,'Data shares'!$C:$FA,24)</f>
        <v>-1.8</v>
      </c>
      <c r="G11" s="144">
        <f>VLOOKUP($A11,'Data shares'!$C:$FA,25)</f>
        <v>0</v>
      </c>
    </row>
    <row r="12" spans="1:8" x14ac:dyDescent="0.25">
      <c r="A12" s="101" t="str">
        <f>'Data shares'!C8</f>
        <v>ADANIENSOL</v>
      </c>
      <c r="B12" s="144">
        <f>VLOOKUP($A12,'Data shares'!$C:$FA,7)</f>
        <v>808.4</v>
      </c>
      <c r="C12" s="144">
        <f>VLOOKUP($A12,'Data shares'!$C:$FA,3)</f>
        <v>811.4</v>
      </c>
      <c r="D12" s="144">
        <f>VLOOKUP($A12,'Data shares'!$C:$FA,23)</f>
        <v>3</v>
      </c>
      <c r="E12" s="145">
        <f>VLOOKUP($A12,'Data shares'!$C:$FA,26)*100</f>
        <v>0.37</v>
      </c>
      <c r="F12" s="144">
        <f>VLOOKUP($A12,'Data shares'!$C:$FA,24)</f>
        <v>0.45</v>
      </c>
      <c r="G12" s="144">
        <f>VLOOKUP($A12,'Data shares'!$C:$FA,25)</f>
        <v>2.5499999999999998</v>
      </c>
    </row>
    <row r="13" spans="1:8" x14ac:dyDescent="0.25">
      <c r="A13" s="101" t="str">
        <f>'Data shares'!C9</f>
        <v>ADANIENT</v>
      </c>
      <c r="B13" s="144">
        <f>VLOOKUP($A13,'Data shares'!$C:$FA,7)</f>
        <v>2430.6999999999998</v>
      </c>
      <c r="C13" s="144">
        <f>VLOOKUP($A13,'Data shares'!$C:$FA,3)</f>
        <v>2440.1</v>
      </c>
      <c r="D13" s="144">
        <f>VLOOKUP($A13,'Data shares'!$C:$FA,23)</f>
        <v>9.4</v>
      </c>
      <c r="E13" s="145">
        <f>VLOOKUP($A13,'Data shares'!$C:$FA,26)*100</f>
        <v>0.38999999999999996</v>
      </c>
      <c r="F13" s="144">
        <f>VLOOKUP($A13,'Data shares'!$C:$FA,24)</f>
        <v>-1</v>
      </c>
      <c r="G13" s="144">
        <f>VLOOKUP($A13,'Data shares'!$C:$FA,25)</f>
        <v>10.4</v>
      </c>
    </row>
    <row r="14" spans="1:8" x14ac:dyDescent="0.25">
      <c r="A14" s="101" t="str">
        <f>'Data shares'!C10</f>
        <v>ADANIGREEN</v>
      </c>
      <c r="B14" s="144">
        <f>VLOOKUP($A14,'Data shares'!$C:$FA,7)</f>
        <v>984.7</v>
      </c>
      <c r="C14" s="144">
        <f>VLOOKUP($A14,'Data shares'!$C:$FA,3)</f>
        <v>988.2</v>
      </c>
      <c r="D14" s="144">
        <f>VLOOKUP($A14,'Data shares'!$C:$FA,23)</f>
        <v>3.5</v>
      </c>
      <c r="E14" s="145">
        <f>VLOOKUP($A14,'Data shares'!$C:$FA,26)*100</f>
        <v>0.36</v>
      </c>
      <c r="F14" s="144">
        <f>VLOOKUP($A14,'Data shares'!$C:$FA,24)</f>
        <v>0.5</v>
      </c>
      <c r="G14" s="144">
        <f>VLOOKUP($A14,'Data shares'!$C:$FA,25)</f>
        <v>3</v>
      </c>
    </row>
    <row r="15" spans="1:8" x14ac:dyDescent="0.25">
      <c r="A15" s="101" t="str">
        <f>'Data shares'!C11</f>
        <v>ADANIPORTS</v>
      </c>
      <c r="B15" s="144">
        <f>VLOOKUP($A15,'Data shares'!$C:$FA,7)</f>
        <v>1373.1</v>
      </c>
      <c r="C15" s="144">
        <f>VLOOKUP($A15,'Data shares'!$C:$FA,3)</f>
        <v>1380.9</v>
      </c>
      <c r="D15" s="144">
        <f>VLOOKUP($A15,'Data shares'!$C:$FA,23)</f>
        <v>7.8</v>
      </c>
      <c r="E15" s="145">
        <f>VLOOKUP($A15,'Data shares'!$C:$FA,26)*100</f>
        <v>0.57000000000000006</v>
      </c>
      <c r="F15" s="144">
        <f>VLOOKUP($A15,'Data shares'!$C:$FA,24)</f>
        <v>1.6</v>
      </c>
      <c r="G15" s="144">
        <f>VLOOKUP($A15,'Data shares'!$C:$FA,25)</f>
        <v>6.2</v>
      </c>
    </row>
    <row r="16" spans="1:8" x14ac:dyDescent="0.25">
      <c r="A16" s="101" t="str">
        <f>'Data shares'!C12</f>
        <v>ALKEM</v>
      </c>
      <c r="B16" s="144">
        <f>VLOOKUP($A16,'Data shares'!$C:$FA,7)</f>
        <v>5031.1000000000004</v>
      </c>
      <c r="C16" s="144">
        <f>VLOOKUP($A16,'Data shares'!$C:$FA,3)</f>
        <v>5039.3999999999996</v>
      </c>
      <c r="D16" s="144">
        <f>VLOOKUP($A16,'Data shares'!$C:$FA,23)</f>
        <v>8.3000000000000007</v>
      </c>
      <c r="E16" s="145">
        <f>VLOOKUP($A16,'Data shares'!$C:$FA,26)*100</f>
        <v>0.16</v>
      </c>
      <c r="F16" s="144">
        <f>VLOOKUP($A16,'Data shares'!$C:$FA,24)</f>
        <v>-1.4</v>
      </c>
      <c r="G16" s="144">
        <f>VLOOKUP($A16,'Data shares'!$C:$FA,25)</f>
        <v>9.6999999999999993</v>
      </c>
    </row>
    <row r="17" spans="1:7" x14ac:dyDescent="0.25">
      <c r="A17" s="101" t="str">
        <f>'Data shares'!C13</f>
        <v>AMBER</v>
      </c>
      <c r="B17" s="144">
        <f>VLOOKUP($A17,'Data shares'!$C:$FA,7)</f>
        <v>7963.5</v>
      </c>
      <c r="C17" s="144">
        <f>VLOOKUP($A17,'Data shares'!$C:$FA,3)</f>
        <v>7995</v>
      </c>
      <c r="D17" s="144">
        <f>VLOOKUP($A17,'Data shares'!$C:$FA,23)</f>
        <v>31.5</v>
      </c>
      <c r="E17" s="145">
        <f>VLOOKUP($A17,'Data shares'!$C:$FA,26)*100</f>
        <v>0.4</v>
      </c>
      <c r="F17" s="144">
        <f>VLOOKUP($A17,'Data shares'!$C:$FA,24)</f>
        <v>-13.5</v>
      </c>
      <c r="G17" s="144">
        <f>VLOOKUP($A17,'Data shares'!$C:$FA,25)</f>
        <v>45</v>
      </c>
    </row>
    <row r="18" spans="1:7" x14ac:dyDescent="0.25">
      <c r="A18" s="101" t="str">
        <f>'Data shares'!C14</f>
        <v>AMBUJACEM</v>
      </c>
      <c r="B18" s="144">
        <f>VLOOKUP($A18,'Data shares'!$C:$FA,7)</f>
        <v>592.70000000000005</v>
      </c>
      <c r="C18" s="144">
        <f>VLOOKUP($A18,'Data shares'!$C:$FA,3)</f>
        <v>594.65</v>
      </c>
      <c r="D18" s="144">
        <f>VLOOKUP($A18,'Data shares'!$C:$FA,23)</f>
        <v>1.95</v>
      </c>
      <c r="E18" s="145">
        <f>VLOOKUP($A18,'Data shares'!$C:$FA,26)*100</f>
        <v>0.33</v>
      </c>
      <c r="F18" s="144">
        <f>VLOOKUP($A18,'Data shares'!$C:$FA,24)</f>
        <v>-0.6</v>
      </c>
      <c r="G18" s="144">
        <f>VLOOKUP($A18,'Data shares'!$C:$FA,25)</f>
        <v>2.5499999999999998</v>
      </c>
    </row>
    <row r="19" spans="1:7" x14ac:dyDescent="0.25">
      <c r="A19" s="101" t="str">
        <f>'Data shares'!C15</f>
        <v>ANGELONE</v>
      </c>
      <c r="B19" s="144">
        <f>VLOOKUP($A19,'Data shares'!$C:$FA,7)</f>
        <v>2600.9</v>
      </c>
      <c r="C19" s="144">
        <f>VLOOKUP($A19,'Data shares'!$C:$FA,3)</f>
        <v>2611.8000000000002</v>
      </c>
      <c r="D19" s="144">
        <f>VLOOKUP($A19,'Data shares'!$C:$FA,23)</f>
        <v>10.9</v>
      </c>
      <c r="E19" s="145">
        <f>VLOOKUP($A19,'Data shares'!$C:$FA,26)*100</f>
        <v>0.42</v>
      </c>
      <c r="F19" s="144">
        <f>VLOOKUP($A19,'Data shares'!$C:$FA,24)</f>
        <v>5.6</v>
      </c>
      <c r="G19" s="144">
        <f>VLOOKUP($A19,'Data shares'!$C:$FA,25)</f>
        <v>5.3</v>
      </c>
    </row>
    <row r="20" spans="1:7" x14ac:dyDescent="0.25">
      <c r="A20" s="101" t="str">
        <f>'Data shares'!C16</f>
        <v>APLAPOLLO</v>
      </c>
      <c r="B20" s="144">
        <f>VLOOKUP($A20,'Data shares'!$C:$FA,7)</f>
        <v>1601.2</v>
      </c>
      <c r="C20" s="144">
        <f>VLOOKUP($A20,'Data shares'!$C:$FA,3)</f>
        <v>1600.6</v>
      </c>
      <c r="D20" s="144">
        <f>VLOOKUP($A20,'Data shares'!$C:$FA,23)</f>
        <v>-0.6</v>
      </c>
      <c r="E20" s="145">
        <f>VLOOKUP($A20,'Data shares'!$C:$FA,26)*100</f>
        <v>-0.04</v>
      </c>
      <c r="F20" s="144">
        <f>VLOOKUP($A20,'Data shares'!$C:$FA,24)</f>
        <v>-2</v>
      </c>
      <c r="G20" s="144">
        <f>VLOOKUP($A20,'Data shares'!$C:$FA,25)</f>
        <v>1.4</v>
      </c>
    </row>
    <row r="21" spans="1:7" x14ac:dyDescent="0.25">
      <c r="A21" s="101" t="str">
        <f>'Data shares'!C17</f>
        <v>APOLLOHOSP</v>
      </c>
      <c r="B21" s="144">
        <f>VLOOKUP($A21,'Data shares'!$C:$FA,7)</f>
        <v>7498</v>
      </c>
      <c r="C21" s="144">
        <f>VLOOKUP($A21,'Data shares'!$C:$FA,3)</f>
        <v>7517.5</v>
      </c>
      <c r="D21" s="144">
        <f>VLOOKUP($A21,'Data shares'!$C:$FA,23)</f>
        <v>19.5</v>
      </c>
      <c r="E21" s="145">
        <f>VLOOKUP($A21,'Data shares'!$C:$FA,26)*100</f>
        <v>0.26</v>
      </c>
      <c r="F21" s="144">
        <f>VLOOKUP($A21,'Data shares'!$C:$FA,24)</f>
        <v>-8</v>
      </c>
      <c r="G21" s="144">
        <f>VLOOKUP($A21,'Data shares'!$C:$FA,25)</f>
        <v>27.5</v>
      </c>
    </row>
    <row r="22" spans="1:7" x14ac:dyDescent="0.25">
      <c r="A22" s="101" t="str">
        <f>'Data shares'!C18</f>
        <v>ASHOKLEY</v>
      </c>
      <c r="B22" s="144">
        <f>VLOOKUP($A22,'Data shares'!$C:$FA,7)</f>
        <v>121.05</v>
      </c>
      <c r="C22" s="144">
        <f>VLOOKUP($A22,'Data shares'!$C:$FA,3)</f>
        <v>121.75</v>
      </c>
      <c r="D22" s="144">
        <f>VLOOKUP($A22,'Data shares'!$C:$FA,23)</f>
        <v>0.7</v>
      </c>
      <c r="E22" s="145">
        <f>VLOOKUP($A22,'Data shares'!$C:$FA,26)*100</f>
        <v>0.57999999999999996</v>
      </c>
      <c r="F22" s="144">
        <f>VLOOKUP($A22,'Data shares'!$C:$FA,24)</f>
        <v>0.35</v>
      </c>
      <c r="G22" s="144">
        <f>VLOOKUP($A22,'Data shares'!$C:$FA,25)</f>
        <v>0.35</v>
      </c>
    </row>
    <row r="23" spans="1:7" x14ac:dyDescent="0.25">
      <c r="A23" s="101" t="str">
        <f>'Data shares'!C19</f>
        <v>ASIANPAINT</v>
      </c>
      <c r="B23" s="144">
        <f>VLOOKUP($A23,'Data shares'!$C:$FA,7)</f>
        <v>2396.1</v>
      </c>
      <c r="C23" s="144">
        <f>VLOOKUP($A23,'Data shares'!$C:$FA,3)</f>
        <v>2404.6</v>
      </c>
      <c r="D23" s="144">
        <f>VLOOKUP($A23,'Data shares'!$C:$FA,23)</f>
        <v>8.5</v>
      </c>
      <c r="E23" s="145">
        <f>VLOOKUP($A23,'Data shares'!$C:$FA,26)*100</f>
        <v>0.35000000000000003</v>
      </c>
      <c r="F23" s="144">
        <f>VLOOKUP($A23,'Data shares'!$C:$FA,24)</f>
        <v>-1.8</v>
      </c>
      <c r="G23" s="144">
        <f>VLOOKUP($A23,'Data shares'!$C:$FA,25)</f>
        <v>10.3</v>
      </c>
    </row>
    <row r="24" spans="1:7" x14ac:dyDescent="0.25">
      <c r="A24" s="101" t="str">
        <f>'Data shares'!C20</f>
        <v>ASTRAL</v>
      </c>
      <c r="B24" s="144">
        <f>VLOOKUP($A24,'Data shares'!$C:$FA,7)</f>
        <v>1401.2</v>
      </c>
      <c r="C24" s="144">
        <f>VLOOKUP($A24,'Data shares'!$C:$FA,3)</f>
        <v>1408.6</v>
      </c>
      <c r="D24" s="144">
        <f>VLOOKUP($A24,'Data shares'!$C:$FA,23)</f>
        <v>7.4</v>
      </c>
      <c r="E24" s="145">
        <f>VLOOKUP($A24,'Data shares'!$C:$FA,26)*100</f>
        <v>0.53</v>
      </c>
      <c r="F24" s="144">
        <f>VLOOKUP($A24,'Data shares'!$C:$FA,24)</f>
        <v>3.9</v>
      </c>
      <c r="G24" s="144">
        <f>VLOOKUP($A24,'Data shares'!$C:$FA,25)</f>
        <v>3.5</v>
      </c>
    </row>
    <row r="25" spans="1:7" x14ac:dyDescent="0.25">
      <c r="A25" s="101" t="str">
        <f>'Data shares'!C21</f>
        <v>ATGL</v>
      </c>
      <c r="B25" s="144">
        <f>VLOOKUP($A25,'Data shares'!$C:$FA,7)</f>
        <v>604.1</v>
      </c>
      <c r="C25" s="144">
        <f>VLOOKUP($A25,'Data shares'!$C:$FA,3)</f>
        <v>605.75</v>
      </c>
      <c r="D25" s="144">
        <f>VLOOKUP($A25,'Data shares'!$C:$FA,23)</f>
        <v>1.65</v>
      </c>
      <c r="E25" s="145">
        <f>VLOOKUP($A25,'Data shares'!$C:$FA,26)*100</f>
        <v>0.27</v>
      </c>
      <c r="F25" s="144">
        <f>VLOOKUP($A25,'Data shares'!$C:$FA,24)</f>
        <v>1</v>
      </c>
      <c r="G25" s="144">
        <f>VLOOKUP($A25,'Data shares'!$C:$FA,25)</f>
        <v>0.65</v>
      </c>
    </row>
    <row r="26" spans="1:7" x14ac:dyDescent="0.25">
      <c r="A26" s="101" t="str">
        <f>'Data shares'!C22</f>
        <v>AUBANK</v>
      </c>
      <c r="B26" s="144">
        <f>VLOOKUP($A26,'Data shares'!$C:$FA,7)</f>
        <v>741.5</v>
      </c>
      <c r="C26" s="144">
        <f>VLOOKUP($A26,'Data shares'!$C:$FA,3)</f>
        <v>746.05</v>
      </c>
      <c r="D26" s="144">
        <f>VLOOKUP($A26,'Data shares'!$C:$FA,23)</f>
        <v>4.55</v>
      </c>
      <c r="E26" s="145">
        <f>VLOOKUP($A26,'Data shares'!$C:$FA,26)*100</f>
        <v>0.61</v>
      </c>
      <c r="F26" s="144">
        <f>VLOOKUP($A26,'Data shares'!$C:$FA,24)</f>
        <v>2</v>
      </c>
      <c r="G26" s="144">
        <f>VLOOKUP($A26,'Data shares'!$C:$FA,25)</f>
        <v>2.5499999999999998</v>
      </c>
    </row>
    <row r="27" spans="1:7" x14ac:dyDescent="0.25">
      <c r="A27" s="101" t="str">
        <f>'Data shares'!C23</f>
        <v>AUROPHARMA</v>
      </c>
      <c r="B27" s="144">
        <f>VLOOKUP($A27,'Data shares'!$C:$FA,7)</f>
        <v>1139.8</v>
      </c>
      <c r="C27" s="144">
        <f>VLOOKUP($A27,'Data shares'!$C:$FA,3)</f>
        <v>1145.9000000000001</v>
      </c>
      <c r="D27" s="144">
        <f>VLOOKUP($A27,'Data shares'!$C:$FA,23)</f>
        <v>6.1</v>
      </c>
      <c r="E27" s="145">
        <f>VLOOKUP($A27,'Data shares'!$C:$FA,26)*100</f>
        <v>0.54</v>
      </c>
      <c r="F27" s="144">
        <f>VLOOKUP($A27,'Data shares'!$C:$FA,24)</f>
        <v>-0.7</v>
      </c>
      <c r="G27" s="144">
        <f>VLOOKUP($A27,'Data shares'!$C:$FA,25)</f>
        <v>6.8</v>
      </c>
    </row>
    <row r="28" spans="1:7" x14ac:dyDescent="0.25">
      <c r="A28" s="101" t="str">
        <f>'Data shares'!C24</f>
        <v>AXISBANK</v>
      </c>
      <c r="B28" s="144">
        <f>VLOOKUP($A28,'Data shares'!$C:$FA,7)</f>
        <v>1068.4000000000001</v>
      </c>
      <c r="C28" s="144">
        <f>VLOOKUP($A28,'Data shares'!$C:$FA,3)</f>
        <v>1074.4000000000001</v>
      </c>
      <c r="D28" s="144">
        <f>VLOOKUP($A28,'Data shares'!$C:$FA,23)</f>
        <v>6</v>
      </c>
      <c r="E28" s="145">
        <f>VLOOKUP($A28,'Data shares'!$C:$FA,26)*100</f>
        <v>0.55999999999999994</v>
      </c>
      <c r="F28" s="144">
        <f>VLOOKUP($A28,'Data shares'!$C:$FA,24)</f>
        <v>0.6</v>
      </c>
      <c r="G28" s="144">
        <f>VLOOKUP($A28,'Data shares'!$C:$FA,25)</f>
        <v>5.4</v>
      </c>
    </row>
    <row r="29" spans="1:7" x14ac:dyDescent="0.25">
      <c r="A29" s="101" t="str">
        <f>'Data shares'!C25</f>
        <v>BAJAJ-AUTO</v>
      </c>
      <c r="B29" s="144">
        <f>VLOOKUP($A29,'Data shares'!$C:$FA,7)</f>
        <v>8008</v>
      </c>
      <c r="C29" s="144">
        <f>VLOOKUP($A29,'Data shares'!$C:$FA,3)</f>
        <v>8051</v>
      </c>
      <c r="D29" s="144">
        <f>VLOOKUP($A29,'Data shares'!$C:$FA,23)</f>
        <v>43</v>
      </c>
      <c r="E29" s="145">
        <f>VLOOKUP($A29,'Data shares'!$C:$FA,26)*100</f>
        <v>0.54</v>
      </c>
      <c r="F29" s="144">
        <f>VLOOKUP($A29,'Data shares'!$C:$FA,24)</f>
        <v>12.5</v>
      </c>
      <c r="G29" s="144">
        <f>VLOOKUP($A29,'Data shares'!$C:$FA,25)</f>
        <v>30.5</v>
      </c>
    </row>
    <row r="30" spans="1:7" x14ac:dyDescent="0.25">
      <c r="A30" s="101" t="str">
        <f>'Data shares'!C26</f>
        <v>BAJAJFINSV</v>
      </c>
      <c r="B30" s="144">
        <f>VLOOKUP($A30,'Data shares'!$C:$FA,7)</f>
        <v>1948</v>
      </c>
      <c r="C30" s="144">
        <f>VLOOKUP($A30,'Data shares'!$C:$FA,3)</f>
        <v>1954.2</v>
      </c>
      <c r="D30" s="144">
        <f>VLOOKUP($A30,'Data shares'!$C:$FA,23)</f>
        <v>6.2</v>
      </c>
      <c r="E30" s="145">
        <f>VLOOKUP($A30,'Data shares'!$C:$FA,26)*100</f>
        <v>0.32</v>
      </c>
      <c r="F30" s="144">
        <f>VLOOKUP($A30,'Data shares'!$C:$FA,24)</f>
        <v>-2.7</v>
      </c>
      <c r="G30" s="144">
        <f>VLOOKUP($A30,'Data shares'!$C:$FA,25)</f>
        <v>8.9</v>
      </c>
    </row>
    <row r="31" spans="1:7" x14ac:dyDescent="0.25">
      <c r="A31" s="101" t="str">
        <f>'Data shares'!C27</f>
        <v>BAJFINANCE</v>
      </c>
      <c r="B31" s="144">
        <f>VLOOKUP($A31,'Data shares'!$C:$FA,7)</f>
        <v>881.2</v>
      </c>
      <c r="C31" s="144">
        <f>VLOOKUP($A31,'Data shares'!$C:$FA,3)</f>
        <v>883.95</v>
      </c>
      <c r="D31" s="144">
        <f>VLOOKUP($A31,'Data shares'!$C:$FA,23)</f>
        <v>2.75</v>
      </c>
      <c r="E31" s="145">
        <f>VLOOKUP($A31,'Data shares'!$C:$FA,26)*100</f>
        <v>0.31</v>
      </c>
      <c r="F31" s="144">
        <f>VLOOKUP($A31,'Data shares'!$C:$FA,24)</f>
        <v>-0.15</v>
      </c>
      <c r="G31" s="144">
        <f>VLOOKUP($A31,'Data shares'!$C:$FA,25)</f>
        <v>2.9</v>
      </c>
    </row>
    <row r="32" spans="1:7" x14ac:dyDescent="0.25">
      <c r="A32" s="101" t="str">
        <f>'Data shares'!C28</f>
        <v>BALKRISIND</v>
      </c>
      <c r="B32" s="144">
        <f>VLOOKUP($A32,'Data shares'!$C:$FA,7)</f>
        <v>2676.2</v>
      </c>
      <c r="C32" s="144">
        <f>VLOOKUP($A32,'Data shares'!$C:$FA,3)</f>
        <v>0</v>
      </c>
      <c r="D32" s="144">
        <f>VLOOKUP($A32,'Data shares'!$C:$FA,23)</f>
        <v>0</v>
      </c>
      <c r="E32" s="145">
        <f>VLOOKUP($A32,'Data shares'!$C:$FA,26)*100</f>
        <v>0</v>
      </c>
      <c r="F32" s="144">
        <f>VLOOKUP($A32,'Data shares'!$C:$FA,24)</f>
        <v>-0.4</v>
      </c>
      <c r="G32" s="144">
        <f>VLOOKUP($A32,'Data shares'!$C:$FA,25)</f>
        <v>0</v>
      </c>
    </row>
    <row r="33" spans="1:7" x14ac:dyDescent="0.25">
      <c r="A33" s="101" t="str">
        <f>'Data shares'!C29</f>
        <v>BANDHANBNK</v>
      </c>
      <c r="B33" s="144">
        <f>VLOOKUP($A33,'Data shares'!$C:$FA,7)</f>
        <v>168.08</v>
      </c>
      <c r="C33" s="144">
        <f>VLOOKUP($A33,'Data shares'!$C:$FA,3)</f>
        <v>167.52</v>
      </c>
      <c r="D33" s="144">
        <f>VLOOKUP($A33,'Data shares'!$C:$FA,23)</f>
        <v>-0.56000000000000005</v>
      </c>
      <c r="E33" s="145">
        <f>VLOOKUP($A33,'Data shares'!$C:$FA,26)*100</f>
        <v>-0.33</v>
      </c>
      <c r="F33" s="144">
        <f>VLOOKUP($A33,'Data shares'!$C:$FA,24)</f>
        <v>0.39</v>
      </c>
      <c r="G33" s="144">
        <f>VLOOKUP($A33,'Data shares'!$C:$FA,25)</f>
        <v>-0.95</v>
      </c>
    </row>
    <row r="34" spans="1:7" x14ac:dyDescent="0.25">
      <c r="A34" s="101" t="str">
        <f>'Data shares'!C30</f>
        <v>BANKBARODA</v>
      </c>
      <c r="B34" s="144">
        <f>VLOOKUP($A34,'Data shares'!$C:$FA,7)</f>
        <v>237.87</v>
      </c>
      <c r="C34" s="144">
        <f>VLOOKUP($A34,'Data shares'!$C:$FA,3)</f>
        <v>239.02</v>
      </c>
      <c r="D34" s="144">
        <f>VLOOKUP($A34,'Data shares'!$C:$FA,23)</f>
        <v>1.1499999999999999</v>
      </c>
      <c r="E34" s="145">
        <f>VLOOKUP($A34,'Data shares'!$C:$FA,26)*100</f>
        <v>0.48</v>
      </c>
      <c r="F34" s="144">
        <f>VLOOKUP($A34,'Data shares'!$C:$FA,24)</f>
        <v>0.14000000000000001</v>
      </c>
      <c r="G34" s="144">
        <f>VLOOKUP($A34,'Data shares'!$C:$FA,25)</f>
        <v>1.01</v>
      </c>
    </row>
    <row r="35" spans="1:7" x14ac:dyDescent="0.25">
      <c r="A35" s="101" t="str">
        <f>'Data shares'!C31</f>
        <v>BANKINDIA</v>
      </c>
      <c r="B35" s="144">
        <f>VLOOKUP($A35,'Data shares'!$C:$FA,7)</f>
        <v>111.38</v>
      </c>
      <c r="C35" s="144">
        <f>VLOOKUP($A35,'Data shares'!$C:$FA,3)</f>
        <v>111.89</v>
      </c>
      <c r="D35" s="144">
        <f>VLOOKUP($A35,'Data shares'!$C:$FA,23)</f>
        <v>0.51</v>
      </c>
      <c r="E35" s="145">
        <f>VLOOKUP($A35,'Data shares'!$C:$FA,26)*100</f>
        <v>0.45999999999999996</v>
      </c>
      <c r="F35" s="144">
        <f>VLOOKUP($A35,'Data shares'!$C:$FA,24)</f>
        <v>0.38</v>
      </c>
      <c r="G35" s="144">
        <f>VLOOKUP($A35,'Data shares'!$C:$FA,25)</f>
        <v>0.13</v>
      </c>
    </row>
    <row r="36" spans="1:7" x14ac:dyDescent="0.25">
      <c r="A36" s="101" t="str">
        <f>'Data shares'!C32</f>
        <v>BANKNIFTY</v>
      </c>
      <c r="B36" s="144">
        <f>VLOOKUP($A36,'Data shares'!$C:$FA,7)</f>
        <v>55961.95</v>
      </c>
      <c r="C36" s="144">
        <f>VLOOKUP($A36,'Data shares'!$C:$FA,3)</f>
        <v>56194</v>
      </c>
      <c r="D36" s="144">
        <f>VLOOKUP($A36,'Data shares'!$C:$FA,23)</f>
        <v>232.05</v>
      </c>
      <c r="E36" s="145">
        <f>VLOOKUP($A36,'Data shares'!$C:$FA,26)*100</f>
        <v>0.41000000000000003</v>
      </c>
      <c r="F36" s="144">
        <f>VLOOKUP($A36,'Data shares'!$C:$FA,24)</f>
        <v>66.900000000000006</v>
      </c>
      <c r="G36" s="144">
        <f>VLOOKUP($A36,'Data shares'!$C:$FA,25)</f>
        <v>165.15</v>
      </c>
    </row>
    <row r="37" spans="1:7" x14ac:dyDescent="0.25">
      <c r="A37" s="101" t="str">
        <f>'Data shares'!C33</f>
        <v>BDL</v>
      </c>
      <c r="B37" s="144">
        <f>VLOOKUP($A37,'Data shares'!$C:$FA,7)</f>
        <v>1619</v>
      </c>
      <c r="C37" s="144">
        <f>VLOOKUP($A37,'Data shares'!$C:$FA,3)</f>
        <v>1627.1</v>
      </c>
      <c r="D37" s="144">
        <f>VLOOKUP($A37,'Data shares'!$C:$FA,23)</f>
        <v>8.1</v>
      </c>
      <c r="E37" s="145">
        <f>VLOOKUP($A37,'Data shares'!$C:$FA,26)*100</f>
        <v>0.5</v>
      </c>
      <c r="F37" s="144">
        <f>VLOOKUP($A37,'Data shares'!$C:$FA,24)</f>
        <v>2.1</v>
      </c>
      <c r="G37" s="144">
        <f>VLOOKUP($A37,'Data shares'!$C:$FA,25)</f>
        <v>6</v>
      </c>
    </row>
    <row r="38" spans="1:7" x14ac:dyDescent="0.25">
      <c r="A38" s="101" t="str">
        <f>'Data shares'!C34</f>
        <v>BEL</v>
      </c>
      <c r="B38" s="144">
        <f>VLOOKUP($A38,'Data shares'!$C:$FA,7)</f>
        <v>383.1</v>
      </c>
      <c r="C38" s="144">
        <f>VLOOKUP($A38,'Data shares'!$C:$FA,3)</f>
        <v>384.9</v>
      </c>
      <c r="D38" s="144">
        <f>VLOOKUP($A38,'Data shares'!$C:$FA,23)</f>
        <v>1.8</v>
      </c>
      <c r="E38" s="145">
        <f>VLOOKUP($A38,'Data shares'!$C:$FA,26)*100</f>
        <v>0.47000000000000003</v>
      </c>
      <c r="F38" s="144">
        <f>VLOOKUP($A38,'Data shares'!$C:$FA,24)</f>
        <v>0.15</v>
      </c>
      <c r="G38" s="144">
        <f>VLOOKUP($A38,'Data shares'!$C:$FA,25)</f>
        <v>1.65</v>
      </c>
    </row>
    <row r="39" spans="1:7" x14ac:dyDescent="0.25">
      <c r="A39" s="101" t="str">
        <f>'Data shares'!C35</f>
        <v>BHARATFORG</v>
      </c>
      <c r="B39" s="144">
        <f>VLOOKUP($A39,'Data shares'!$C:$FA,7)</f>
        <v>1169.0999999999999</v>
      </c>
      <c r="C39" s="144">
        <f>VLOOKUP($A39,'Data shares'!$C:$FA,3)</f>
        <v>1171.5</v>
      </c>
      <c r="D39" s="144">
        <f>VLOOKUP($A39,'Data shares'!$C:$FA,23)</f>
        <v>2.4</v>
      </c>
      <c r="E39" s="145">
        <f>VLOOKUP($A39,'Data shares'!$C:$FA,26)*100</f>
        <v>0.21</v>
      </c>
      <c r="F39" s="144">
        <f>VLOOKUP($A39,'Data shares'!$C:$FA,24)</f>
        <v>-1.8</v>
      </c>
      <c r="G39" s="144">
        <f>VLOOKUP($A39,'Data shares'!$C:$FA,25)</f>
        <v>4.2</v>
      </c>
    </row>
    <row r="40" spans="1:7" x14ac:dyDescent="0.25">
      <c r="A40" s="101" t="str">
        <f>'Data shares'!C36</f>
        <v>BHARTIARTL</v>
      </c>
      <c r="B40" s="144">
        <f>VLOOKUP($A40,'Data shares'!$C:$FA,7)</f>
        <v>1914.3</v>
      </c>
      <c r="C40" s="144">
        <f>VLOOKUP($A40,'Data shares'!$C:$FA,3)</f>
        <v>1921.7</v>
      </c>
      <c r="D40" s="144">
        <f>VLOOKUP($A40,'Data shares'!$C:$FA,23)</f>
        <v>7.4</v>
      </c>
      <c r="E40" s="145">
        <f>VLOOKUP($A40,'Data shares'!$C:$FA,26)*100</f>
        <v>0.38999999999999996</v>
      </c>
      <c r="F40" s="144">
        <f>VLOOKUP($A40,'Data shares'!$C:$FA,24)</f>
        <v>0</v>
      </c>
      <c r="G40" s="144">
        <f>VLOOKUP($A40,'Data shares'!$C:$FA,25)</f>
        <v>7.4</v>
      </c>
    </row>
    <row r="41" spans="1:7" x14ac:dyDescent="0.25">
      <c r="A41" s="101" t="str">
        <f>'Data shares'!C37</f>
        <v>BHEL</v>
      </c>
      <c r="B41" s="144">
        <f>VLOOKUP($A41,'Data shares'!$C:$FA,7)</f>
        <v>238.45</v>
      </c>
      <c r="C41" s="144">
        <f>VLOOKUP($A41,'Data shares'!$C:$FA,3)</f>
        <v>239.1</v>
      </c>
      <c r="D41" s="144">
        <f>VLOOKUP($A41,'Data shares'!$C:$FA,23)</f>
        <v>0.65</v>
      </c>
      <c r="E41" s="145">
        <f>VLOOKUP($A41,'Data shares'!$C:$FA,26)*100</f>
        <v>0.27</v>
      </c>
      <c r="F41" s="144">
        <f>VLOOKUP($A41,'Data shares'!$C:$FA,24)</f>
        <v>0.3</v>
      </c>
      <c r="G41" s="144">
        <f>VLOOKUP($A41,'Data shares'!$C:$FA,25)</f>
        <v>0.35</v>
      </c>
    </row>
    <row r="42" spans="1:7" x14ac:dyDescent="0.25">
      <c r="A42" s="101" t="str">
        <f>'Data shares'!C38</f>
        <v>BIOCON</v>
      </c>
      <c r="B42" s="144">
        <f>VLOOKUP($A42,'Data shares'!$C:$FA,7)</f>
        <v>391.4</v>
      </c>
      <c r="C42" s="144">
        <f>VLOOKUP($A42,'Data shares'!$C:$FA,3)</f>
        <v>393.55</v>
      </c>
      <c r="D42" s="144">
        <f>VLOOKUP($A42,'Data shares'!$C:$FA,23)</f>
        <v>2.15</v>
      </c>
      <c r="E42" s="145">
        <f>VLOOKUP($A42,'Data shares'!$C:$FA,26)*100</f>
        <v>0.54999999999999993</v>
      </c>
      <c r="F42" s="144">
        <f>VLOOKUP($A42,'Data shares'!$C:$FA,24)</f>
        <v>0.75</v>
      </c>
      <c r="G42" s="144">
        <f>VLOOKUP($A42,'Data shares'!$C:$FA,25)</f>
        <v>1.4</v>
      </c>
    </row>
    <row r="43" spans="1:7" x14ac:dyDescent="0.25">
      <c r="A43" s="101" t="str">
        <f>'Data shares'!C39</f>
        <v>BLUESTARCO</v>
      </c>
      <c r="B43" s="144">
        <f>VLOOKUP($A43,'Data shares'!$C:$FA,7)</f>
        <v>1738.1</v>
      </c>
      <c r="C43" s="144">
        <f>VLOOKUP($A43,'Data shares'!$C:$FA,3)</f>
        <v>1743.9</v>
      </c>
      <c r="D43" s="144">
        <f>VLOOKUP($A43,'Data shares'!$C:$FA,23)</f>
        <v>5.8</v>
      </c>
      <c r="E43" s="145">
        <f>VLOOKUP($A43,'Data shares'!$C:$FA,26)*100</f>
        <v>0.33</v>
      </c>
      <c r="F43" s="144">
        <f>VLOOKUP($A43,'Data shares'!$C:$FA,24)</f>
        <v>0</v>
      </c>
      <c r="G43" s="144">
        <f>VLOOKUP($A43,'Data shares'!$C:$FA,25)</f>
        <v>5.8</v>
      </c>
    </row>
    <row r="44" spans="1:7" x14ac:dyDescent="0.25">
      <c r="A44" s="101" t="str">
        <f>'Data shares'!C40</f>
        <v>BOSCHLTD</v>
      </c>
      <c r="B44" s="144">
        <f>VLOOKUP($A44,'Data shares'!$C:$FA,7)</f>
        <v>40385</v>
      </c>
      <c r="C44" s="144">
        <f>VLOOKUP($A44,'Data shares'!$C:$FA,3)</f>
        <v>40495</v>
      </c>
      <c r="D44" s="144">
        <f>VLOOKUP($A44,'Data shares'!$C:$FA,23)</f>
        <v>110</v>
      </c>
      <c r="E44" s="145">
        <f>VLOOKUP($A44,'Data shares'!$C:$FA,26)*100</f>
        <v>0.27</v>
      </c>
      <c r="F44" s="144">
        <f>VLOOKUP($A44,'Data shares'!$C:$FA,24)</f>
        <v>-15</v>
      </c>
      <c r="G44" s="144">
        <f>VLOOKUP($A44,'Data shares'!$C:$FA,25)</f>
        <v>125</v>
      </c>
    </row>
    <row r="45" spans="1:7" x14ac:dyDescent="0.25">
      <c r="A45" s="101" t="str">
        <f>'Data shares'!C41</f>
        <v>BPCL</v>
      </c>
      <c r="B45" s="144">
        <f>VLOOKUP($A45,'Data shares'!$C:$FA,7)</f>
        <v>329.3</v>
      </c>
      <c r="C45" s="144">
        <f>VLOOKUP($A45,'Data shares'!$C:$FA,3)</f>
        <v>328.45</v>
      </c>
      <c r="D45" s="144">
        <f>VLOOKUP($A45,'Data shares'!$C:$FA,23)</f>
        <v>-0.85</v>
      </c>
      <c r="E45" s="145">
        <f>VLOOKUP($A45,'Data shares'!$C:$FA,26)*100</f>
        <v>-0.26</v>
      </c>
      <c r="F45" s="144">
        <f>VLOOKUP($A45,'Data shares'!$C:$FA,24)</f>
        <v>-4.05</v>
      </c>
      <c r="G45" s="144">
        <f>VLOOKUP($A45,'Data shares'!$C:$FA,25)</f>
        <v>3.2</v>
      </c>
    </row>
    <row r="46" spans="1:7" x14ac:dyDescent="0.25">
      <c r="A46" s="101" t="str">
        <f>'Data shares'!C42</f>
        <v>BRITANNIA</v>
      </c>
      <c r="B46" s="144">
        <f>VLOOKUP($A46,'Data shares'!$C:$FA,7)</f>
        <v>5771</v>
      </c>
      <c r="C46" s="144">
        <f>VLOOKUP($A46,'Data shares'!$C:$FA,3)</f>
        <v>5727</v>
      </c>
      <c r="D46" s="144">
        <f>VLOOKUP($A46,'Data shares'!$C:$FA,23)</f>
        <v>-44</v>
      </c>
      <c r="E46" s="145">
        <f>VLOOKUP($A46,'Data shares'!$C:$FA,26)*100</f>
        <v>-0.76</v>
      </c>
      <c r="F46" s="144">
        <f>VLOOKUP($A46,'Data shares'!$C:$FA,24)</f>
        <v>-1.5</v>
      </c>
      <c r="G46" s="144">
        <f>VLOOKUP($A46,'Data shares'!$C:$FA,25)</f>
        <v>-42.5</v>
      </c>
    </row>
    <row r="47" spans="1:7" x14ac:dyDescent="0.25">
      <c r="A47" s="101" t="str">
        <f>'Data shares'!C43</f>
        <v>BSE</v>
      </c>
      <c r="B47" s="144">
        <f>VLOOKUP($A47,'Data shares'!$C:$FA,7)</f>
        <v>2427.4</v>
      </c>
      <c r="C47" s="144">
        <f>VLOOKUP($A47,'Data shares'!$C:$FA,3)</f>
        <v>2437.6</v>
      </c>
      <c r="D47" s="144">
        <f>VLOOKUP($A47,'Data shares'!$C:$FA,23)</f>
        <v>10.199999999999999</v>
      </c>
      <c r="E47" s="145">
        <f>VLOOKUP($A47,'Data shares'!$C:$FA,26)*100</f>
        <v>0.42</v>
      </c>
      <c r="F47" s="144">
        <f>VLOOKUP($A47,'Data shares'!$C:$FA,24)</f>
        <v>0.8</v>
      </c>
      <c r="G47" s="144">
        <f>VLOOKUP($A47,'Data shares'!$C:$FA,25)</f>
        <v>9.4</v>
      </c>
    </row>
    <row r="48" spans="1:7" x14ac:dyDescent="0.25">
      <c r="A48" s="101" t="str">
        <f>'Data shares'!C44</f>
        <v>BSOFT</v>
      </c>
      <c r="B48" s="144">
        <f>VLOOKUP($A48,'Data shares'!$C:$FA,7)</f>
        <v>391.5</v>
      </c>
      <c r="C48" s="144">
        <f>VLOOKUP($A48,'Data shares'!$C:$FA,3)</f>
        <v>0</v>
      </c>
      <c r="D48" s="144">
        <f>VLOOKUP($A48,'Data shares'!$C:$FA,23)</f>
        <v>0</v>
      </c>
      <c r="E48" s="145">
        <f>VLOOKUP($A48,'Data shares'!$C:$FA,26)*100</f>
        <v>0</v>
      </c>
      <c r="F48" s="144">
        <f>VLOOKUP($A48,'Data shares'!$C:$FA,24)</f>
        <v>-0.5</v>
      </c>
      <c r="G48" s="144">
        <f>VLOOKUP($A48,'Data shares'!$C:$FA,25)</f>
        <v>0</v>
      </c>
    </row>
    <row r="49" spans="1:7" x14ac:dyDescent="0.25">
      <c r="A49" s="101" t="str">
        <f>'Data shares'!C45</f>
        <v>CAMS</v>
      </c>
      <c r="B49" s="144">
        <f>VLOOKUP($A49,'Data shares'!$C:$FA,7)</f>
        <v>3736.8</v>
      </c>
      <c r="C49" s="144">
        <f>VLOOKUP($A49,'Data shares'!$C:$FA,3)</f>
        <v>3748.1</v>
      </c>
      <c r="D49" s="144">
        <f>VLOOKUP($A49,'Data shares'!$C:$FA,23)</f>
        <v>11.3</v>
      </c>
      <c r="E49" s="145">
        <f>VLOOKUP($A49,'Data shares'!$C:$FA,26)*100</f>
        <v>0.3</v>
      </c>
      <c r="F49" s="144">
        <f>VLOOKUP($A49,'Data shares'!$C:$FA,24)</f>
        <v>-0.5</v>
      </c>
      <c r="G49" s="144">
        <f>VLOOKUP($A49,'Data shares'!$C:$FA,25)</f>
        <v>11.8</v>
      </c>
    </row>
    <row r="50" spans="1:7" x14ac:dyDescent="0.25">
      <c r="A50" s="101" t="str">
        <f>'Data shares'!C46</f>
        <v>CANBK</v>
      </c>
      <c r="B50" s="144">
        <f>VLOOKUP($A50,'Data shares'!$C:$FA,7)</f>
        <v>107.25</v>
      </c>
      <c r="C50" s="144">
        <f>VLOOKUP($A50,'Data shares'!$C:$FA,3)</f>
        <v>107.84</v>
      </c>
      <c r="D50" s="144">
        <f>VLOOKUP($A50,'Data shares'!$C:$FA,23)</f>
        <v>0.59</v>
      </c>
      <c r="E50" s="145">
        <f>VLOOKUP($A50,'Data shares'!$C:$FA,26)*100</f>
        <v>0.54999999999999993</v>
      </c>
      <c r="F50" s="144">
        <f>VLOOKUP($A50,'Data shares'!$C:$FA,24)</f>
        <v>0.03</v>
      </c>
      <c r="G50" s="144">
        <f>VLOOKUP($A50,'Data shares'!$C:$FA,25)</f>
        <v>0.56000000000000005</v>
      </c>
    </row>
    <row r="51" spans="1:7" x14ac:dyDescent="0.25">
      <c r="A51" s="101" t="str">
        <f>'Data shares'!C47</f>
        <v>CDSL</v>
      </c>
      <c r="B51" s="144">
        <f>VLOOKUP($A51,'Data shares'!$C:$FA,7)</f>
        <v>1480.8</v>
      </c>
      <c r="C51" s="144">
        <f>VLOOKUP($A51,'Data shares'!$C:$FA,3)</f>
        <v>1476</v>
      </c>
      <c r="D51" s="144">
        <f>VLOOKUP($A51,'Data shares'!$C:$FA,23)</f>
        <v>-4.8</v>
      </c>
      <c r="E51" s="145">
        <f>VLOOKUP($A51,'Data shares'!$C:$FA,26)*100</f>
        <v>-0.32</v>
      </c>
      <c r="F51" s="144">
        <f>VLOOKUP($A51,'Data shares'!$C:$FA,24)</f>
        <v>3.9</v>
      </c>
      <c r="G51" s="144">
        <f>VLOOKUP($A51,'Data shares'!$C:$FA,25)</f>
        <v>-8.6999999999999993</v>
      </c>
    </row>
    <row r="52" spans="1:7" x14ac:dyDescent="0.25">
      <c r="A52" s="101" t="str">
        <f>'Data shares'!C48</f>
        <v>CESC</v>
      </c>
      <c r="B52" s="144">
        <f>VLOOKUP($A52,'Data shares'!$C:$FA,7)</f>
        <v>169.51</v>
      </c>
      <c r="C52" s="144">
        <f>VLOOKUP($A52,'Data shares'!$C:$FA,3)</f>
        <v>170.04</v>
      </c>
      <c r="D52" s="144">
        <f>VLOOKUP($A52,'Data shares'!$C:$FA,23)</f>
        <v>0.53</v>
      </c>
      <c r="E52" s="145">
        <f>VLOOKUP($A52,'Data shares'!$C:$FA,26)*100</f>
        <v>0.31</v>
      </c>
      <c r="F52" s="144">
        <f>VLOOKUP($A52,'Data shares'!$C:$FA,24)</f>
        <v>0.26</v>
      </c>
      <c r="G52" s="144">
        <f>VLOOKUP($A52,'Data shares'!$C:$FA,25)</f>
        <v>0.27</v>
      </c>
    </row>
    <row r="53" spans="1:7" x14ac:dyDescent="0.25">
      <c r="A53" s="101" t="str">
        <f>'Data shares'!C49</f>
        <v>CGPOWER</v>
      </c>
      <c r="B53" s="144">
        <f>VLOOKUP($A53,'Data shares'!$C:$FA,7)</f>
        <v>661.7</v>
      </c>
      <c r="C53" s="144">
        <f>VLOOKUP($A53,'Data shares'!$C:$FA,3)</f>
        <v>664.2</v>
      </c>
      <c r="D53" s="144">
        <f>VLOOKUP($A53,'Data shares'!$C:$FA,23)</f>
        <v>2.5</v>
      </c>
      <c r="E53" s="145">
        <f>VLOOKUP($A53,'Data shares'!$C:$FA,26)*100</f>
        <v>0.38</v>
      </c>
      <c r="F53" s="144">
        <f>VLOOKUP($A53,'Data shares'!$C:$FA,24)</f>
        <v>-0.1</v>
      </c>
      <c r="G53" s="144">
        <f>VLOOKUP($A53,'Data shares'!$C:$FA,25)</f>
        <v>2.6</v>
      </c>
    </row>
    <row r="54" spans="1:7" x14ac:dyDescent="0.25">
      <c r="A54" s="101" t="str">
        <f>'Data shares'!C50</f>
        <v>CHAMBLFERT</v>
      </c>
      <c r="B54" s="144">
        <f>VLOOKUP($A54,'Data shares'!$C:$FA,7)</f>
        <v>514.9</v>
      </c>
      <c r="C54" s="144">
        <f>VLOOKUP($A54,'Data shares'!$C:$FA,3)</f>
        <v>0</v>
      </c>
      <c r="D54" s="144">
        <f>VLOOKUP($A54,'Data shares'!$C:$FA,23)</f>
        <v>0</v>
      </c>
      <c r="E54" s="145">
        <f>VLOOKUP($A54,'Data shares'!$C:$FA,26)*100</f>
        <v>0</v>
      </c>
      <c r="F54" s="144">
        <f>VLOOKUP($A54,'Data shares'!$C:$FA,24)</f>
        <v>-0.2</v>
      </c>
      <c r="G54" s="144">
        <f>VLOOKUP($A54,'Data shares'!$C:$FA,25)</f>
        <v>0</v>
      </c>
    </row>
    <row r="55" spans="1:7" x14ac:dyDescent="0.25">
      <c r="A55" s="101" t="str">
        <f>'Data shares'!C51</f>
        <v>CHOLAFIN</v>
      </c>
      <c r="B55" s="144">
        <f>VLOOKUP($A55,'Data shares'!$C:$FA,7)</f>
        <v>1443.2</v>
      </c>
      <c r="C55" s="144">
        <f>VLOOKUP($A55,'Data shares'!$C:$FA,3)</f>
        <v>1426.8</v>
      </c>
      <c r="D55" s="144">
        <f>VLOOKUP($A55,'Data shares'!$C:$FA,23)</f>
        <v>-16.399999999999999</v>
      </c>
      <c r="E55" s="145">
        <f>VLOOKUP($A55,'Data shares'!$C:$FA,26)*100</f>
        <v>-1.1400000000000001</v>
      </c>
      <c r="F55" s="144">
        <f>VLOOKUP($A55,'Data shares'!$C:$FA,24)</f>
        <v>-1.5</v>
      </c>
      <c r="G55" s="144">
        <f>VLOOKUP($A55,'Data shares'!$C:$FA,25)</f>
        <v>-14.9</v>
      </c>
    </row>
    <row r="56" spans="1:7" x14ac:dyDescent="0.25">
      <c r="A56" s="101" t="str">
        <f>'Data shares'!C52</f>
        <v>CIPLA</v>
      </c>
      <c r="B56" s="144">
        <f>VLOOKUP($A56,'Data shares'!$C:$FA,7)</f>
        <v>1554.6</v>
      </c>
      <c r="C56" s="144">
        <f>VLOOKUP($A56,'Data shares'!$C:$FA,3)</f>
        <v>1560.8</v>
      </c>
      <c r="D56" s="144">
        <f>VLOOKUP($A56,'Data shares'!$C:$FA,23)</f>
        <v>6.2</v>
      </c>
      <c r="E56" s="145">
        <f>VLOOKUP($A56,'Data shares'!$C:$FA,26)*100</f>
        <v>0.4</v>
      </c>
      <c r="F56" s="144">
        <f>VLOOKUP($A56,'Data shares'!$C:$FA,24)</f>
        <v>-0.4</v>
      </c>
      <c r="G56" s="144">
        <f>VLOOKUP($A56,'Data shares'!$C:$FA,25)</f>
        <v>6.6</v>
      </c>
    </row>
    <row r="57" spans="1:7" x14ac:dyDescent="0.25">
      <c r="A57" s="101" t="str">
        <f>'Data shares'!C53</f>
        <v>COALINDIA</v>
      </c>
      <c r="B57" s="144">
        <f>VLOOKUP($A57,'Data shares'!$C:$FA,7)</f>
        <v>376.35</v>
      </c>
      <c r="C57" s="144">
        <f>VLOOKUP($A57,'Data shares'!$C:$FA,3)</f>
        <v>370.7</v>
      </c>
      <c r="D57" s="144">
        <f>VLOOKUP($A57,'Data shares'!$C:$FA,23)</f>
        <v>-5.65</v>
      </c>
      <c r="E57" s="145">
        <f>VLOOKUP($A57,'Data shares'!$C:$FA,26)*100</f>
        <v>-1.5</v>
      </c>
      <c r="F57" s="144">
        <f>VLOOKUP($A57,'Data shares'!$C:$FA,24)</f>
        <v>-0.15</v>
      </c>
      <c r="G57" s="144">
        <f>VLOOKUP($A57,'Data shares'!$C:$FA,25)</f>
        <v>-5.5</v>
      </c>
    </row>
    <row r="58" spans="1:7" x14ac:dyDescent="0.25">
      <c r="A58" s="101" t="str">
        <f>'Data shares'!C54</f>
        <v>COFORGE</v>
      </c>
      <c r="B58" s="144">
        <f>VLOOKUP($A58,'Data shares'!$C:$FA,7)</f>
        <v>1748.2</v>
      </c>
      <c r="C58" s="144">
        <f>VLOOKUP($A58,'Data shares'!$C:$FA,3)</f>
        <v>1752.6</v>
      </c>
      <c r="D58" s="144">
        <f>VLOOKUP($A58,'Data shares'!$C:$FA,23)</f>
        <v>4.4000000000000004</v>
      </c>
      <c r="E58" s="145">
        <f>VLOOKUP($A58,'Data shares'!$C:$FA,26)*100</f>
        <v>0.25</v>
      </c>
      <c r="F58" s="144">
        <f>VLOOKUP($A58,'Data shares'!$C:$FA,24)</f>
        <v>-5.7</v>
      </c>
      <c r="G58" s="144">
        <f>VLOOKUP($A58,'Data shares'!$C:$FA,25)</f>
        <v>10.1</v>
      </c>
    </row>
    <row r="59" spans="1:7" x14ac:dyDescent="0.25">
      <c r="A59" s="101" t="str">
        <f>'Data shares'!C55</f>
        <v>COLPAL</v>
      </c>
      <c r="B59" s="144">
        <f>VLOOKUP($A59,'Data shares'!$C:$FA,7)</f>
        <v>2245.3000000000002</v>
      </c>
      <c r="C59" s="144">
        <f>VLOOKUP($A59,'Data shares'!$C:$FA,3)</f>
        <v>2258</v>
      </c>
      <c r="D59" s="144">
        <f>VLOOKUP($A59,'Data shares'!$C:$FA,23)</f>
        <v>12.7</v>
      </c>
      <c r="E59" s="145">
        <f>VLOOKUP($A59,'Data shares'!$C:$FA,26)*100</f>
        <v>0.57000000000000006</v>
      </c>
      <c r="F59" s="144">
        <f>VLOOKUP($A59,'Data shares'!$C:$FA,24)</f>
        <v>2.6</v>
      </c>
      <c r="G59" s="144">
        <f>VLOOKUP($A59,'Data shares'!$C:$FA,25)</f>
        <v>10.1</v>
      </c>
    </row>
    <row r="60" spans="1:7" x14ac:dyDescent="0.25">
      <c r="A60" s="101" t="str">
        <f>'Data shares'!C56</f>
        <v>CONCOR</v>
      </c>
      <c r="B60" s="144">
        <f>VLOOKUP($A60,'Data shares'!$C:$FA,7)</f>
        <v>578.20000000000005</v>
      </c>
      <c r="C60" s="144">
        <f>VLOOKUP($A60,'Data shares'!$C:$FA,3)</f>
        <v>579.4</v>
      </c>
      <c r="D60" s="144">
        <f>VLOOKUP($A60,'Data shares'!$C:$FA,23)</f>
        <v>1.2</v>
      </c>
      <c r="E60" s="145">
        <f>VLOOKUP($A60,'Data shares'!$C:$FA,26)*100</f>
        <v>0.21</v>
      </c>
      <c r="F60" s="144">
        <f>VLOOKUP($A60,'Data shares'!$C:$FA,24)</f>
        <v>1.45</v>
      </c>
      <c r="G60" s="144">
        <f>VLOOKUP($A60,'Data shares'!$C:$FA,25)</f>
        <v>-0.25</v>
      </c>
    </row>
    <row r="61" spans="1:7" x14ac:dyDescent="0.25">
      <c r="A61" s="101" t="str">
        <f>'Data shares'!C57</f>
        <v>CROMPTON</v>
      </c>
      <c r="B61" s="144">
        <f>VLOOKUP($A61,'Data shares'!$C:$FA,7)</f>
        <v>323</v>
      </c>
      <c r="C61" s="144">
        <f>VLOOKUP($A61,'Data shares'!$C:$FA,3)</f>
        <v>324.85000000000002</v>
      </c>
      <c r="D61" s="144">
        <f>VLOOKUP($A61,'Data shares'!$C:$FA,23)</f>
        <v>1.85</v>
      </c>
      <c r="E61" s="145">
        <f>VLOOKUP($A61,'Data shares'!$C:$FA,26)*100</f>
        <v>0.57000000000000006</v>
      </c>
      <c r="F61" s="144">
        <f>VLOOKUP($A61,'Data shares'!$C:$FA,24)</f>
        <v>-0.45</v>
      </c>
      <c r="G61" s="144">
        <f>VLOOKUP($A61,'Data shares'!$C:$FA,25)</f>
        <v>2.2999999999999998</v>
      </c>
    </row>
    <row r="62" spans="1:7" x14ac:dyDescent="0.25">
      <c r="A62" s="101" t="str">
        <f>'Data shares'!C58</f>
        <v>CUMMINSIND</v>
      </c>
      <c r="B62" s="144">
        <f>VLOOKUP($A62,'Data shares'!$C:$FA,7)</f>
        <v>3555.5</v>
      </c>
      <c r="C62" s="144">
        <f>VLOOKUP($A62,'Data shares'!$C:$FA,3)</f>
        <v>3575.6</v>
      </c>
      <c r="D62" s="144">
        <f>VLOOKUP($A62,'Data shares'!$C:$FA,23)</f>
        <v>20.100000000000001</v>
      </c>
      <c r="E62" s="145">
        <f>VLOOKUP($A62,'Data shares'!$C:$FA,26)*100</f>
        <v>0.57000000000000006</v>
      </c>
      <c r="F62" s="144">
        <f>VLOOKUP($A62,'Data shares'!$C:$FA,24)</f>
        <v>-4.4000000000000004</v>
      </c>
      <c r="G62" s="144">
        <f>VLOOKUP($A62,'Data shares'!$C:$FA,25)</f>
        <v>24.5</v>
      </c>
    </row>
    <row r="63" spans="1:7" x14ac:dyDescent="0.25">
      <c r="A63" s="101" t="str">
        <f>'Data shares'!C59</f>
        <v>CYIENT</v>
      </c>
      <c r="B63" s="144">
        <f>VLOOKUP($A63,'Data shares'!$C:$FA,7)</f>
        <v>1205.5999999999999</v>
      </c>
      <c r="C63" s="144">
        <f>VLOOKUP($A63,'Data shares'!$C:$FA,3)</f>
        <v>1212.2</v>
      </c>
      <c r="D63" s="144">
        <f>VLOOKUP($A63,'Data shares'!$C:$FA,23)</f>
        <v>6.6</v>
      </c>
      <c r="E63" s="145">
        <f>VLOOKUP($A63,'Data shares'!$C:$FA,26)*100</f>
        <v>0.54999999999999993</v>
      </c>
      <c r="F63" s="144">
        <f>VLOOKUP($A63,'Data shares'!$C:$FA,24)</f>
        <v>-1.5</v>
      </c>
      <c r="G63" s="144">
        <f>VLOOKUP($A63,'Data shares'!$C:$FA,25)</f>
        <v>8.1</v>
      </c>
    </row>
    <row r="64" spans="1:7" x14ac:dyDescent="0.25">
      <c r="A64" s="101" t="str">
        <f>'Data shares'!C60</f>
        <v>DABUR</v>
      </c>
      <c r="B64" s="144">
        <f>VLOOKUP($A64,'Data shares'!$C:$FA,7)</f>
        <v>529</v>
      </c>
      <c r="C64" s="144">
        <f>VLOOKUP($A64,'Data shares'!$C:$FA,3)</f>
        <v>531.35</v>
      </c>
      <c r="D64" s="144">
        <f>VLOOKUP($A64,'Data shares'!$C:$FA,23)</f>
        <v>2.35</v>
      </c>
      <c r="E64" s="145">
        <f>VLOOKUP($A64,'Data shares'!$C:$FA,26)*100</f>
        <v>0.44</v>
      </c>
      <c r="F64" s="144">
        <f>VLOOKUP($A64,'Data shares'!$C:$FA,24)</f>
        <v>-1.1499999999999999</v>
      </c>
      <c r="G64" s="144">
        <f>VLOOKUP($A64,'Data shares'!$C:$FA,25)</f>
        <v>3.5</v>
      </c>
    </row>
    <row r="65" spans="1:7" x14ac:dyDescent="0.25">
      <c r="A65" s="101" t="str">
        <f>'Data shares'!C61</f>
        <v>DALBHARAT</v>
      </c>
      <c r="B65" s="144">
        <f>VLOOKUP($A65,'Data shares'!$C:$FA,7)</f>
        <v>2235.5</v>
      </c>
      <c r="C65" s="144">
        <f>VLOOKUP($A65,'Data shares'!$C:$FA,3)</f>
        <v>2245.9</v>
      </c>
      <c r="D65" s="144">
        <f>VLOOKUP($A65,'Data shares'!$C:$FA,23)</f>
        <v>10.4</v>
      </c>
      <c r="E65" s="145">
        <f>VLOOKUP($A65,'Data shares'!$C:$FA,26)*100</f>
        <v>0.47000000000000003</v>
      </c>
      <c r="F65" s="144">
        <f>VLOOKUP($A65,'Data shares'!$C:$FA,24)</f>
        <v>-1</v>
      </c>
      <c r="G65" s="144">
        <f>VLOOKUP($A65,'Data shares'!$C:$FA,25)</f>
        <v>11.4</v>
      </c>
    </row>
    <row r="66" spans="1:7" x14ac:dyDescent="0.25">
      <c r="A66" s="101" t="str">
        <f>'Data shares'!C62</f>
        <v>DELHIVERY</v>
      </c>
      <c r="B66" s="144">
        <f>VLOOKUP($A66,'Data shares'!$C:$FA,7)</f>
        <v>425.25</v>
      </c>
      <c r="C66" s="144">
        <f>VLOOKUP($A66,'Data shares'!$C:$FA,3)</f>
        <v>428.1</v>
      </c>
      <c r="D66" s="144">
        <f>VLOOKUP($A66,'Data shares'!$C:$FA,23)</f>
        <v>2.85</v>
      </c>
      <c r="E66" s="145">
        <f>VLOOKUP($A66,'Data shares'!$C:$FA,26)*100</f>
        <v>0.67</v>
      </c>
      <c r="F66" s="144">
        <f>VLOOKUP($A66,'Data shares'!$C:$FA,24)</f>
        <v>-0.3</v>
      </c>
      <c r="G66" s="144">
        <f>VLOOKUP($A66,'Data shares'!$C:$FA,25)</f>
        <v>3.15</v>
      </c>
    </row>
    <row r="67" spans="1:7" x14ac:dyDescent="0.25">
      <c r="A67" s="101" t="str">
        <f>'Data shares'!C63</f>
        <v>DIVISLAB</v>
      </c>
      <c r="B67" s="144">
        <f>VLOOKUP($A67,'Data shares'!$C:$FA,7)</f>
        <v>6595.5</v>
      </c>
      <c r="C67" s="144">
        <f>VLOOKUP($A67,'Data shares'!$C:$FA,3)</f>
        <v>6623.5</v>
      </c>
      <c r="D67" s="144">
        <f>VLOOKUP($A67,'Data shares'!$C:$FA,23)</f>
        <v>28</v>
      </c>
      <c r="E67" s="145">
        <f>VLOOKUP($A67,'Data shares'!$C:$FA,26)*100</f>
        <v>0.42</v>
      </c>
      <c r="F67" s="144">
        <f>VLOOKUP($A67,'Data shares'!$C:$FA,24)</f>
        <v>6</v>
      </c>
      <c r="G67" s="144">
        <f>VLOOKUP($A67,'Data shares'!$C:$FA,25)</f>
        <v>22</v>
      </c>
    </row>
    <row r="68" spans="1:7" x14ac:dyDescent="0.25">
      <c r="A68" s="101" t="str">
        <f>'Data shares'!C64</f>
        <v>DIXON</v>
      </c>
      <c r="B68" s="144">
        <f>VLOOKUP($A68,'Data shares'!$C:$FA,7)</f>
        <v>16841</v>
      </c>
      <c r="C68" s="144">
        <f>VLOOKUP($A68,'Data shares'!$C:$FA,3)</f>
        <v>16890</v>
      </c>
      <c r="D68" s="144">
        <f>VLOOKUP($A68,'Data shares'!$C:$FA,23)</f>
        <v>49</v>
      </c>
      <c r="E68" s="145">
        <f>VLOOKUP($A68,'Data shares'!$C:$FA,26)*100</f>
        <v>0.28999999999999998</v>
      </c>
      <c r="F68" s="144">
        <f>VLOOKUP($A68,'Data shares'!$C:$FA,24)</f>
        <v>6</v>
      </c>
      <c r="G68" s="144">
        <f>VLOOKUP($A68,'Data shares'!$C:$FA,25)</f>
        <v>43</v>
      </c>
    </row>
    <row r="69" spans="1:7" x14ac:dyDescent="0.25">
      <c r="A69" s="101" t="str">
        <f>'Data shares'!C65</f>
        <v>DLF</v>
      </c>
      <c r="B69" s="144">
        <f>VLOOKUP($A69,'Data shares'!$C:$FA,7)</f>
        <v>784.25</v>
      </c>
      <c r="C69" s="144">
        <f>VLOOKUP($A69,'Data shares'!$C:$FA,3)</f>
        <v>787.25</v>
      </c>
      <c r="D69" s="144">
        <f>VLOOKUP($A69,'Data shares'!$C:$FA,23)</f>
        <v>3</v>
      </c>
      <c r="E69" s="145">
        <f>VLOOKUP($A69,'Data shares'!$C:$FA,26)*100</f>
        <v>0.38</v>
      </c>
      <c r="F69" s="144">
        <f>VLOOKUP($A69,'Data shares'!$C:$FA,24)</f>
        <v>0.75</v>
      </c>
      <c r="G69" s="144">
        <f>VLOOKUP($A69,'Data shares'!$C:$FA,25)</f>
        <v>2.25</v>
      </c>
    </row>
    <row r="70" spans="1:7" x14ac:dyDescent="0.25">
      <c r="A70" s="101" t="str">
        <f>'Data shares'!C66</f>
        <v>DMART</v>
      </c>
      <c r="B70" s="144">
        <f>VLOOKUP($A70,'Data shares'!$C:$FA,7)</f>
        <v>4267.3999999999996</v>
      </c>
      <c r="C70" s="144">
        <f>VLOOKUP($A70,'Data shares'!$C:$FA,3)</f>
        <v>4246.6000000000004</v>
      </c>
      <c r="D70" s="144">
        <f>VLOOKUP($A70,'Data shares'!$C:$FA,23)</f>
        <v>-20.8</v>
      </c>
      <c r="E70" s="145">
        <f>VLOOKUP($A70,'Data shares'!$C:$FA,26)*100</f>
        <v>-0.49</v>
      </c>
      <c r="F70" s="144">
        <f>VLOOKUP($A70,'Data shares'!$C:$FA,24)</f>
        <v>4.7</v>
      </c>
      <c r="G70" s="144">
        <f>VLOOKUP($A70,'Data shares'!$C:$FA,25)</f>
        <v>-25.5</v>
      </c>
    </row>
    <row r="71" spans="1:7" x14ac:dyDescent="0.25">
      <c r="A71" s="101" t="str">
        <f>'Data shares'!C67</f>
        <v>DRREDDY</v>
      </c>
      <c r="B71" s="144">
        <f>VLOOKUP($A71,'Data shares'!$C:$FA,7)</f>
        <v>1270.3</v>
      </c>
      <c r="C71" s="144">
        <f>VLOOKUP($A71,'Data shares'!$C:$FA,3)</f>
        <v>1274.3</v>
      </c>
      <c r="D71" s="144">
        <f>VLOOKUP($A71,'Data shares'!$C:$FA,23)</f>
        <v>4</v>
      </c>
      <c r="E71" s="145">
        <f>VLOOKUP($A71,'Data shares'!$C:$FA,26)*100</f>
        <v>0.31</v>
      </c>
      <c r="F71" s="144">
        <f>VLOOKUP($A71,'Data shares'!$C:$FA,24)</f>
        <v>-1.6</v>
      </c>
      <c r="G71" s="144">
        <f>VLOOKUP($A71,'Data shares'!$C:$FA,25)</f>
        <v>5.6</v>
      </c>
    </row>
    <row r="72" spans="1:7" x14ac:dyDescent="0.25">
      <c r="A72" s="101" t="str">
        <f>'Data shares'!C68</f>
        <v>EICHERMOT</v>
      </c>
      <c r="B72" s="144">
        <f>VLOOKUP($A72,'Data shares'!$C:$FA,7)</f>
        <v>5468.5</v>
      </c>
      <c r="C72" s="144">
        <f>VLOOKUP($A72,'Data shares'!$C:$FA,3)</f>
        <v>5424.5</v>
      </c>
      <c r="D72" s="144">
        <f>VLOOKUP($A72,'Data shares'!$C:$FA,23)</f>
        <v>-44</v>
      </c>
      <c r="E72" s="145">
        <f>VLOOKUP($A72,'Data shares'!$C:$FA,26)*100</f>
        <v>-0.8</v>
      </c>
      <c r="F72" s="144">
        <f>VLOOKUP($A72,'Data shares'!$C:$FA,24)</f>
        <v>1</v>
      </c>
      <c r="G72" s="144">
        <f>VLOOKUP($A72,'Data shares'!$C:$FA,25)</f>
        <v>-45</v>
      </c>
    </row>
    <row r="73" spans="1:7" x14ac:dyDescent="0.25">
      <c r="A73" s="101" t="str">
        <f>'Data shares'!C69</f>
        <v>ETERNAL</v>
      </c>
      <c r="B73" s="144">
        <f>VLOOKUP($A73,'Data shares'!$C:$FA,7)</f>
        <v>307.8</v>
      </c>
      <c r="C73" s="144">
        <f>VLOOKUP($A73,'Data shares'!$C:$FA,3)</f>
        <v>309.7</v>
      </c>
      <c r="D73" s="144">
        <f>VLOOKUP($A73,'Data shares'!$C:$FA,23)</f>
        <v>1.9</v>
      </c>
      <c r="E73" s="145">
        <f>VLOOKUP($A73,'Data shares'!$C:$FA,26)*100</f>
        <v>0.62</v>
      </c>
      <c r="F73" s="144">
        <f>VLOOKUP($A73,'Data shares'!$C:$FA,24)</f>
        <v>0.1</v>
      </c>
      <c r="G73" s="144">
        <f>VLOOKUP($A73,'Data shares'!$C:$FA,25)</f>
        <v>1.8</v>
      </c>
    </row>
    <row r="74" spans="1:7" x14ac:dyDescent="0.25">
      <c r="A74" s="101" t="str">
        <f>'Data shares'!C70</f>
        <v>EXIDEIND</v>
      </c>
      <c r="B74" s="144">
        <f>VLOOKUP($A74,'Data shares'!$C:$FA,7)</f>
        <v>384.3</v>
      </c>
      <c r="C74" s="144">
        <f>VLOOKUP($A74,'Data shares'!$C:$FA,3)</f>
        <v>385.7</v>
      </c>
      <c r="D74" s="144">
        <f>VLOOKUP($A74,'Data shares'!$C:$FA,23)</f>
        <v>1.4</v>
      </c>
      <c r="E74" s="145">
        <f>VLOOKUP($A74,'Data shares'!$C:$FA,26)*100</f>
        <v>0.36</v>
      </c>
      <c r="F74" s="144">
        <f>VLOOKUP($A74,'Data shares'!$C:$FA,24)</f>
        <v>0.25</v>
      </c>
      <c r="G74" s="144">
        <f>VLOOKUP($A74,'Data shares'!$C:$FA,25)</f>
        <v>1.1499999999999999</v>
      </c>
    </row>
    <row r="75" spans="1:7" x14ac:dyDescent="0.25">
      <c r="A75" s="101" t="str">
        <f>'Data shares'!C71</f>
        <v>FEDERALBNK</v>
      </c>
      <c r="B75" s="144">
        <f>VLOOKUP($A75,'Data shares'!$C:$FA,7)</f>
        <v>202.43</v>
      </c>
      <c r="C75" s="144">
        <f>VLOOKUP($A75,'Data shares'!$C:$FA,3)</f>
        <v>202.5</v>
      </c>
      <c r="D75" s="144">
        <f>VLOOKUP($A75,'Data shares'!$C:$FA,23)</f>
        <v>7.0000000000000007E-2</v>
      </c>
      <c r="E75" s="145">
        <f>VLOOKUP($A75,'Data shares'!$C:$FA,26)*100</f>
        <v>0.03</v>
      </c>
      <c r="F75" s="144">
        <f>VLOOKUP($A75,'Data shares'!$C:$FA,24)</f>
        <v>0.51</v>
      </c>
      <c r="G75" s="144">
        <f>VLOOKUP($A75,'Data shares'!$C:$FA,25)</f>
        <v>-0.44</v>
      </c>
    </row>
    <row r="76" spans="1:7" x14ac:dyDescent="0.25">
      <c r="A76" s="101" t="str">
        <f>'Data shares'!C72</f>
        <v>FINNIFTY</v>
      </c>
      <c r="B76" s="144">
        <f>VLOOKUP($A76,'Data shares'!$C:$FA,7)</f>
        <v>26649.95</v>
      </c>
      <c r="C76" s="144">
        <f>VLOOKUP($A76,'Data shares'!$C:$FA,3)</f>
        <v>26731</v>
      </c>
      <c r="D76" s="144">
        <f>VLOOKUP($A76,'Data shares'!$C:$FA,23)</f>
        <v>81.05</v>
      </c>
      <c r="E76" s="145">
        <f>VLOOKUP($A76,'Data shares'!$C:$FA,26)*100</f>
        <v>0.3</v>
      </c>
      <c r="F76" s="144">
        <f>VLOOKUP($A76,'Data shares'!$C:$FA,24)</f>
        <v>12.1</v>
      </c>
      <c r="G76" s="144">
        <f>VLOOKUP($A76,'Data shares'!$C:$FA,25)</f>
        <v>68.95</v>
      </c>
    </row>
    <row r="77" spans="1:7" x14ac:dyDescent="0.25">
      <c r="A77" s="101" t="str">
        <f>'Data shares'!C73</f>
        <v>FORTIS</v>
      </c>
      <c r="B77" s="144">
        <f>VLOOKUP($A77,'Data shares'!$C:$FA,7)</f>
        <v>857.45</v>
      </c>
      <c r="C77" s="144">
        <f>VLOOKUP($A77,'Data shares'!$C:$FA,3)</f>
        <v>861.25</v>
      </c>
      <c r="D77" s="144">
        <f>VLOOKUP($A77,'Data shares'!$C:$FA,23)</f>
        <v>3.8</v>
      </c>
      <c r="E77" s="145">
        <f>VLOOKUP($A77,'Data shares'!$C:$FA,26)*100</f>
        <v>0.44</v>
      </c>
      <c r="F77" s="144">
        <f>VLOOKUP($A77,'Data shares'!$C:$FA,24)</f>
        <v>0.55000000000000004</v>
      </c>
      <c r="G77" s="144">
        <f>VLOOKUP($A77,'Data shares'!$C:$FA,25)</f>
        <v>3.25</v>
      </c>
    </row>
    <row r="78" spans="1:7" x14ac:dyDescent="0.25">
      <c r="A78" s="101" t="str">
        <f>'Data shares'!C74</f>
        <v>GAIL</v>
      </c>
      <c r="B78" s="144">
        <f>VLOOKUP($A78,'Data shares'!$C:$FA,7)</f>
        <v>177.68</v>
      </c>
      <c r="C78" s="144">
        <f>VLOOKUP($A78,'Data shares'!$C:$FA,3)</f>
        <v>177.36</v>
      </c>
      <c r="D78" s="144">
        <f>VLOOKUP($A78,'Data shares'!$C:$FA,23)</f>
        <v>-0.32</v>
      </c>
      <c r="E78" s="145">
        <f>VLOOKUP($A78,'Data shares'!$C:$FA,26)*100</f>
        <v>-0.18</v>
      </c>
      <c r="F78" s="144">
        <f>VLOOKUP($A78,'Data shares'!$C:$FA,24)</f>
        <v>-0.12</v>
      </c>
      <c r="G78" s="144">
        <f>VLOOKUP($A78,'Data shares'!$C:$FA,25)</f>
        <v>-0.2</v>
      </c>
    </row>
    <row r="79" spans="1:7" x14ac:dyDescent="0.25">
      <c r="A79" s="101" t="str">
        <f>'Data shares'!C75</f>
        <v>GLENMARK</v>
      </c>
      <c r="B79" s="144">
        <f>VLOOKUP($A79,'Data shares'!$C:$FA,7)</f>
        <v>2134.1</v>
      </c>
      <c r="C79" s="144">
        <f>VLOOKUP($A79,'Data shares'!$C:$FA,3)</f>
        <v>2145.3000000000002</v>
      </c>
      <c r="D79" s="144">
        <f>VLOOKUP($A79,'Data shares'!$C:$FA,23)</f>
        <v>11.2</v>
      </c>
      <c r="E79" s="145">
        <f>VLOOKUP($A79,'Data shares'!$C:$FA,26)*100</f>
        <v>0.52</v>
      </c>
      <c r="F79" s="144">
        <f>VLOOKUP($A79,'Data shares'!$C:$FA,24)</f>
        <v>-0.9</v>
      </c>
      <c r="G79" s="144">
        <f>VLOOKUP($A79,'Data shares'!$C:$FA,25)</f>
        <v>12.1</v>
      </c>
    </row>
    <row r="80" spans="1:7" x14ac:dyDescent="0.25">
      <c r="A80" s="101" t="str">
        <f>'Data shares'!C76</f>
        <v>GMRAIRPORT</v>
      </c>
      <c r="B80" s="144">
        <f>VLOOKUP($A80,'Data shares'!$C:$FA,7)</f>
        <v>90.06</v>
      </c>
      <c r="C80" s="144">
        <f>VLOOKUP($A80,'Data shares'!$C:$FA,3)</f>
        <v>90.59</v>
      </c>
      <c r="D80" s="144">
        <f>VLOOKUP($A80,'Data shares'!$C:$FA,23)</f>
        <v>0.53</v>
      </c>
      <c r="E80" s="145">
        <f>VLOOKUP($A80,'Data shares'!$C:$FA,26)*100</f>
        <v>0.59</v>
      </c>
      <c r="F80" s="144">
        <f>VLOOKUP($A80,'Data shares'!$C:$FA,24)</f>
        <v>-0.02</v>
      </c>
      <c r="G80" s="144">
        <f>VLOOKUP($A80,'Data shares'!$C:$FA,25)</f>
        <v>0.55000000000000004</v>
      </c>
    </row>
    <row r="81" spans="1:7" x14ac:dyDescent="0.25">
      <c r="A81" s="101" t="str">
        <f>'Data shares'!C77</f>
        <v>GODREJCP</v>
      </c>
      <c r="B81" s="144">
        <f>VLOOKUP($A81,'Data shares'!$C:$FA,7)</f>
        <v>1259</v>
      </c>
      <c r="C81" s="144">
        <f>VLOOKUP($A81,'Data shares'!$C:$FA,3)</f>
        <v>1259.9000000000001</v>
      </c>
      <c r="D81" s="144">
        <f>VLOOKUP($A81,'Data shares'!$C:$FA,23)</f>
        <v>0.9</v>
      </c>
      <c r="E81" s="145">
        <f>VLOOKUP($A81,'Data shares'!$C:$FA,26)*100</f>
        <v>6.9999999999999993E-2</v>
      </c>
      <c r="F81" s="144">
        <f>VLOOKUP($A81,'Data shares'!$C:$FA,24)</f>
        <v>1.9</v>
      </c>
      <c r="G81" s="144">
        <f>VLOOKUP($A81,'Data shares'!$C:$FA,25)</f>
        <v>-1</v>
      </c>
    </row>
    <row r="82" spans="1:7" x14ac:dyDescent="0.25">
      <c r="A82" s="101" t="str">
        <f>'Data shares'!C78</f>
        <v>GODREJPROP</v>
      </c>
      <c r="B82" s="144">
        <f>VLOOKUP($A82,'Data shares'!$C:$FA,7)</f>
        <v>2102.9</v>
      </c>
      <c r="C82" s="144">
        <f>VLOOKUP($A82,'Data shares'!$C:$FA,3)</f>
        <v>2109.3000000000002</v>
      </c>
      <c r="D82" s="144">
        <f>VLOOKUP($A82,'Data shares'!$C:$FA,23)</f>
        <v>6.4</v>
      </c>
      <c r="E82" s="145">
        <f>VLOOKUP($A82,'Data shares'!$C:$FA,26)*100</f>
        <v>0.3</v>
      </c>
      <c r="F82" s="144">
        <f>VLOOKUP($A82,'Data shares'!$C:$FA,24)</f>
        <v>2</v>
      </c>
      <c r="G82" s="144">
        <f>VLOOKUP($A82,'Data shares'!$C:$FA,25)</f>
        <v>4.4000000000000004</v>
      </c>
    </row>
    <row r="83" spans="1:7" x14ac:dyDescent="0.25">
      <c r="A83" s="101" t="str">
        <f>'Data shares'!C79</f>
        <v>GRANULES</v>
      </c>
      <c r="B83" s="144">
        <f>VLOOKUP($A83,'Data shares'!$C:$FA,7)</f>
        <v>474.9</v>
      </c>
      <c r="C83" s="144">
        <f>VLOOKUP($A83,'Data shares'!$C:$FA,3)</f>
        <v>476.8</v>
      </c>
      <c r="D83" s="144">
        <f>VLOOKUP($A83,'Data shares'!$C:$FA,23)</f>
        <v>1.9</v>
      </c>
      <c r="E83" s="145">
        <f>VLOOKUP($A83,'Data shares'!$C:$FA,26)*100</f>
        <v>0.4</v>
      </c>
      <c r="F83" s="144">
        <f>VLOOKUP($A83,'Data shares'!$C:$FA,24)</f>
        <v>-0.4</v>
      </c>
      <c r="G83" s="144">
        <f>VLOOKUP($A83,'Data shares'!$C:$FA,25)</f>
        <v>2.2999999999999998</v>
      </c>
    </row>
    <row r="84" spans="1:7" x14ac:dyDescent="0.25">
      <c r="A84" s="101" t="str">
        <f>'Data shares'!C80</f>
        <v>GRASIM</v>
      </c>
      <c r="B84" s="144">
        <f>VLOOKUP($A84,'Data shares'!$C:$FA,7)</f>
        <v>2746.4</v>
      </c>
      <c r="C84" s="144">
        <f>VLOOKUP($A84,'Data shares'!$C:$FA,3)</f>
        <v>2752.8</v>
      </c>
      <c r="D84" s="144">
        <f>VLOOKUP($A84,'Data shares'!$C:$FA,23)</f>
        <v>6.4</v>
      </c>
      <c r="E84" s="145">
        <f>VLOOKUP($A84,'Data shares'!$C:$FA,26)*100</f>
        <v>0.22999999999999998</v>
      </c>
      <c r="F84" s="144">
        <f>VLOOKUP($A84,'Data shares'!$C:$FA,24)</f>
        <v>1.8</v>
      </c>
      <c r="G84" s="144">
        <f>VLOOKUP($A84,'Data shares'!$C:$FA,25)</f>
        <v>4.5999999999999996</v>
      </c>
    </row>
    <row r="85" spans="1:7" x14ac:dyDescent="0.25">
      <c r="A85" s="101" t="str">
        <f>'Data shares'!C81</f>
        <v>HAL</v>
      </c>
      <c r="B85" s="144">
        <f>VLOOKUP($A85,'Data shares'!$C:$FA,7)</f>
        <v>4533.8999999999996</v>
      </c>
      <c r="C85" s="144">
        <f>VLOOKUP($A85,'Data shares'!$C:$FA,3)</f>
        <v>4536.5</v>
      </c>
      <c r="D85" s="144">
        <f>VLOOKUP($A85,'Data shares'!$C:$FA,23)</f>
        <v>2.6</v>
      </c>
      <c r="E85" s="145">
        <f>VLOOKUP($A85,'Data shares'!$C:$FA,26)*100</f>
        <v>0.06</v>
      </c>
      <c r="F85" s="144">
        <f>VLOOKUP($A85,'Data shares'!$C:$FA,24)</f>
        <v>-4.3</v>
      </c>
      <c r="G85" s="144">
        <f>VLOOKUP($A85,'Data shares'!$C:$FA,25)</f>
        <v>6.9</v>
      </c>
    </row>
    <row r="86" spans="1:7" x14ac:dyDescent="0.25">
      <c r="A86" s="101" t="str">
        <f>'Data shares'!C82</f>
        <v>HAVELLS</v>
      </c>
      <c r="B86" s="144">
        <f>VLOOKUP($A86,'Data shares'!$C:$FA,7)</f>
        <v>1500.6</v>
      </c>
      <c r="C86" s="144">
        <f>VLOOKUP($A86,'Data shares'!$C:$FA,3)</f>
        <v>1509.4</v>
      </c>
      <c r="D86" s="144">
        <f>VLOOKUP($A86,'Data shares'!$C:$FA,23)</f>
        <v>8.8000000000000007</v>
      </c>
      <c r="E86" s="145">
        <f>VLOOKUP($A86,'Data shares'!$C:$FA,26)*100</f>
        <v>0.59</v>
      </c>
      <c r="F86" s="144">
        <f>VLOOKUP($A86,'Data shares'!$C:$FA,24)</f>
        <v>0.9</v>
      </c>
      <c r="G86" s="144">
        <f>VLOOKUP($A86,'Data shares'!$C:$FA,25)</f>
        <v>7.9</v>
      </c>
    </row>
    <row r="87" spans="1:7" x14ac:dyDescent="0.25">
      <c r="A87" s="101" t="str">
        <f>'Data shares'!C83</f>
        <v>HCLTECH</v>
      </c>
      <c r="B87" s="144">
        <f>VLOOKUP($A87,'Data shares'!$C:$FA,7)</f>
        <v>1467.9</v>
      </c>
      <c r="C87" s="144">
        <f>VLOOKUP($A87,'Data shares'!$C:$FA,3)</f>
        <v>1476.2</v>
      </c>
      <c r="D87" s="144">
        <f>VLOOKUP($A87,'Data shares'!$C:$FA,23)</f>
        <v>8.3000000000000007</v>
      </c>
      <c r="E87" s="145">
        <f>VLOOKUP($A87,'Data shares'!$C:$FA,26)*100</f>
        <v>0.57000000000000006</v>
      </c>
      <c r="F87" s="144">
        <f>VLOOKUP($A87,'Data shares'!$C:$FA,24)</f>
        <v>0.9</v>
      </c>
      <c r="G87" s="144">
        <f>VLOOKUP($A87,'Data shares'!$C:$FA,25)</f>
        <v>7.4</v>
      </c>
    </row>
    <row r="88" spans="1:7" x14ac:dyDescent="0.25">
      <c r="A88" s="101" t="str">
        <f>'Data shares'!C84</f>
        <v>HDFCAMC</v>
      </c>
      <c r="B88" s="144">
        <f>VLOOKUP($A88,'Data shares'!$C:$FA,7)</f>
        <v>5650</v>
      </c>
      <c r="C88" s="144">
        <f>VLOOKUP($A88,'Data shares'!$C:$FA,3)</f>
        <v>5637.5</v>
      </c>
      <c r="D88" s="144">
        <f>VLOOKUP($A88,'Data shares'!$C:$FA,23)</f>
        <v>-12.5</v>
      </c>
      <c r="E88" s="145">
        <f>VLOOKUP($A88,'Data shares'!$C:$FA,26)*100</f>
        <v>-0.22</v>
      </c>
      <c r="F88" s="144">
        <f>VLOOKUP($A88,'Data shares'!$C:$FA,24)</f>
        <v>-20.5</v>
      </c>
      <c r="G88" s="144">
        <f>VLOOKUP($A88,'Data shares'!$C:$FA,25)</f>
        <v>8</v>
      </c>
    </row>
    <row r="89" spans="1:7" x14ac:dyDescent="0.25">
      <c r="A89" s="101" t="str">
        <f>'Data shares'!C85</f>
        <v>HDFCBANK</v>
      </c>
      <c r="B89" s="144">
        <f>VLOOKUP($A89,'Data shares'!$C:$FA,7)</f>
        <v>2018.2</v>
      </c>
      <c r="C89" s="144">
        <f>VLOOKUP($A89,'Data shares'!$C:$FA,3)</f>
        <v>2028.7</v>
      </c>
      <c r="D89" s="144">
        <f>VLOOKUP($A89,'Data shares'!$C:$FA,23)</f>
        <v>10.5</v>
      </c>
      <c r="E89" s="145">
        <f>VLOOKUP($A89,'Data shares'!$C:$FA,26)*100</f>
        <v>0.52</v>
      </c>
      <c r="F89" s="144">
        <f>VLOOKUP($A89,'Data shares'!$C:$FA,24)</f>
        <v>-2.7</v>
      </c>
      <c r="G89" s="144">
        <f>VLOOKUP($A89,'Data shares'!$C:$FA,25)</f>
        <v>13.2</v>
      </c>
    </row>
    <row r="90" spans="1:7" x14ac:dyDescent="0.25">
      <c r="A90" s="101" t="str">
        <f>'Data shares'!C86</f>
        <v>HDFCLIFE</v>
      </c>
      <c r="B90" s="144">
        <f>VLOOKUP($A90,'Data shares'!$C:$FA,7)</f>
        <v>755.5</v>
      </c>
      <c r="C90" s="144">
        <f>VLOOKUP($A90,'Data shares'!$C:$FA,3)</f>
        <v>760</v>
      </c>
      <c r="D90" s="144">
        <f>VLOOKUP($A90,'Data shares'!$C:$FA,23)</f>
        <v>4.5</v>
      </c>
      <c r="E90" s="145">
        <f>VLOOKUP($A90,'Data shares'!$C:$FA,26)*100</f>
        <v>0.6</v>
      </c>
      <c r="F90" s="144">
        <f>VLOOKUP($A90,'Data shares'!$C:$FA,24)</f>
        <v>-0.15</v>
      </c>
      <c r="G90" s="144">
        <f>VLOOKUP($A90,'Data shares'!$C:$FA,25)</f>
        <v>4.6500000000000004</v>
      </c>
    </row>
    <row r="91" spans="1:7" x14ac:dyDescent="0.25">
      <c r="A91" s="101" t="str">
        <f>'Data shares'!C87</f>
        <v>HEROMOTOCO</v>
      </c>
      <c r="B91" s="144">
        <f>VLOOKUP($A91,'Data shares'!$C:$FA,7)</f>
        <v>4260.7</v>
      </c>
      <c r="C91" s="144">
        <f>VLOOKUP($A91,'Data shares'!$C:$FA,3)</f>
        <v>4225</v>
      </c>
      <c r="D91" s="144">
        <f>VLOOKUP($A91,'Data shares'!$C:$FA,23)</f>
        <v>-35.700000000000003</v>
      </c>
      <c r="E91" s="145">
        <f>VLOOKUP($A91,'Data shares'!$C:$FA,26)*100</f>
        <v>-0.84</v>
      </c>
      <c r="F91" s="144">
        <f>VLOOKUP($A91,'Data shares'!$C:$FA,24)</f>
        <v>1.3</v>
      </c>
      <c r="G91" s="144">
        <f>VLOOKUP($A91,'Data shares'!$C:$FA,25)</f>
        <v>-37</v>
      </c>
    </row>
    <row r="92" spans="1:7" x14ac:dyDescent="0.25">
      <c r="A92" s="101" t="str">
        <f>'Data shares'!C88</f>
        <v>HFCL</v>
      </c>
      <c r="B92" s="144">
        <f>VLOOKUP($A92,'Data shares'!$C:$FA,7)</f>
        <v>75.569999999999993</v>
      </c>
      <c r="C92" s="144">
        <f>VLOOKUP($A92,'Data shares'!$C:$FA,3)</f>
        <v>76.09</v>
      </c>
      <c r="D92" s="144">
        <f>VLOOKUP($A92,'Data shares'!$C:$FA,23)</f>
        <v>0.52</v>
      </c>
      <c r="E92" s="145">
        <f>VLOOKUP($A92,'Data shares'!$C:$FA,26)*100</f>
        <v>0.69</v>
      </c>
      <c r="F92" s="144">
        <f>VLOOKUP($A92,'Data shares'!$C:$FA,24)</f>
        <v>0.01</v>
      </c>
      <c r="G92" s="144">
        <f>VLOOKUP($A92,'Data shares'!$C:$FA,25)</f>
        <v>0.51</v>
      </c>
    </row>
    <row r="93" spans="1:7" x14ac:dyDescent="0.25">
      <c r="A93" s="101" t="str">
        <f>'Data shares'!C89</f>
        <v>HINDALCO</v>
      </c>
      <c r="B93" s="144">
        <f>VLOOKUP($A93,'Data shares'!$C:$FA,7)</f>
        <v>683.05</v>
      </c>
      <c r="C93" s="144">
        <f>VLOOKUP($A93,'Data shares'!$C:$FA,3)</f>
        <v>680.2</v>
      </c>
      <c r="D93" s="144">
        <f>VLOOKUP($A93,'Data shares'!$C:$FA,23)</f>
        <v>-2.85</v>
      </c>
      <c r="E93" s="145">
        <f>VLOOKUP($A93,'Data shares'!$C:$FA,26)*100</f>
        <v>-0.42</v>
      </c>
      <c r="F93" s="144">
        <f>VLOOKUP($A93,'Data shares'!$C:$FA,24)</f>
        <v>-0.1</v>
      </c>
      <c r="G93" s="144">
        <f>VLOOKUP($A93,'Data shares'!$C:$FA,25)</f>
        <v>-2.75</v>
      </c>
    </row>
    <row r="94" spans="1:7" x14ac:dyDescent="0.25">
      <c r="A94" s="101" t="str">
        <f>'Data shares'!C90</f>
        <v>HINDCOPPER</v>
      </c>
      <c r="B94" s="144">
        <f>VLOOKUP($A94,'Data shares'!$C:$FA,7)</f>
        <v>243.35</v>
      </c>
      <c r="C94" s="144">
        <f>VLOOKUP($A94,'Data shares'!$C:$FA,3)</f>
        <v>0</v>
      </c>
      <c r="D94" s="144">
        <f>VLOOKUP($A94,'Data shares'!$C:$FA,23)</f>
        <v>0</v>
      </c>
      <c r="E94" s="145">
        <f>VLOOKUP($A94,'Data shares'!$C:$FA,26)*100</f>
        <v>0</v>
      </c>
      <c r="F94" s="144">
        <f>VLOOKUP($A94,'Data shares'!$C:$FA,24)</f>
        <v>-0.4</v>
      </c>
      <c r="G94" s="144">
        <f>VLOOKUP($A94,'Data shares'!$C:$FA,25)</f>
        <v>0</v>
      </c>
    </row>
    <row r="95" spans="1:7" x14ac:dyDescent="0.25">
      <c r="A95" s="101" t="str">
        <f>'Data shares'!C91</f>
        <v>HINDPETRO</v>
      </c>
      <c r="B95" s="144">
        <f>VLOOKUP($A95,'Data shares'!$C:$FA,7)</f>
        <v>418.45</v>
      </c>
      <c r="C95" s="144">
        <f>VLOOKUP($A95,'Data shares'!$C:$FA,3)</f>
        <v>418.45</v>
      </c>
      <c r="D95" s="144">
        <f>VLOOKUP($A95,'Data shares'!$C:$FA,23)</f>
        <v>0</v>
      </c>
      <c r="E95" s="145">
        <f>VLOOKUP($A95,'Data shares'!$C:$FA,26)*100</f>
        <v>0</v>
      </c>
      <c r="F95" s="144">
        <f>VLOOKUP($A95,'Data shares'!$C:$FA,24)</f>
        <v>-0.05</v>
      </c>
      <c r="G95" s="144">
        <f>VLOOKUP($A95,'Data shares'!$C:$FA,25)</f>
        <v>0.05</v>
      </c>
    </row>
    <row r="96" spans="1:7" x14ac:dyDescent="0.25">
      <c r="A96" s="101" t="str">
        <f>'Data shares'!C92</f>
        <v>HINDUNILVR</v>
      </c>
      <c r="B96" s="144">
        <f>VLOOKUP($A96,'Data shares'!$C:$FA,7)</f>
        <v>2521.1999999999998</v>
      </c>
      <c r="C96" s="144">
        <f>VLOOKUP($A96,'Data shares'!$C:$FA,3)</f>
        <v>2532.5</v>
      </c>
      <c r="D96" s="144">
        <f>VLOOKUP($A96,'Data shares'!$C:$FA,23)</f>
        <v>11.3</v>
      </c>
      <c r="E96" s="145">
        <f>VLOOKUP($A96,'Data shares'!$C:$FA,26)*100</f>
        <v>0.44999999999999996</v>
      </c>
      <c r="F96" s="144">
        <f>VLOOKUP($A96,'Data shares'!$C:$FA,24)</f>
        <v>-0.7</v>
      </c>
      <c r="G96" s="144">
        <f>VLOOKUP($A96,'Data shares'!$C:$FA,25)</f>
        <v>12</v>
      </c>
    </row>
    <row r="97" spans="1:7" x14ac:dyDescent="0.25">
      <c r="A97" s="101" t="str">
        <f>'Data shares'!C93</f>
        <v>HINDZINC</v>
      </c>
      <c r="B97" s="144">
        <f>VLOOKUP($A97,'Data shares'!$C:$FA,7)</f>
        <v>424.05</v>
      </c>
      <c r="C97" s="144">
        <f>VLOOKUP($A97,'Data shares'!$C:$FA,3)</f>
        <v>426.7</v>
      </c>
      <c r="D97" s="144">
        <f>VLOOKUP($A97,'Data shares'!$C:$FA,23)</f>
        <v>2.65</v>
      </c>
      <c r="E97" s="145">
        <f>VLOOKUP($A97,'Data shares'!$C:$FA,26)*100</f>
        <v>0.62</v>
      </c>
      <c r="F97" s="144">
        <f>VLOOKUP($A97,'Data shares'!$C:$FA,24)</f>
        <v>0</v>
      </c>
      <c r="G97" s="144">
        <f>VLOOKUP($A97,'Data shares'!$C:$FA,25)</f>
        <v>2.65</v>
      </c>
    </row>
    <row r="98" spans="1:7" x14ac:dyDescent="0.25">
      <c r="A98" s="101" t="str">
        <f>'Data shares'!C94</f>
        <v>HUDCO</v>
      </c>
      <c r="B98" s="144">
        <f>VLOOKUP($A98,'Data shares'!$C:$FA,7)</f>
        <v>212.27</v>
      </c>
      <c r="C98" s="144">
        <f>VLOOKUP($A98,'Data shares'!$C:$FA,3)</f>
        <v>212.15</v>
      </c>
      <c r="D98" s="144">
        <f>VLOOKUP($A98,'Data shares'!$C:$FA,23)</f>
        <v>-0.12</v>
      </c>
      <c r="E98" s="145">
        <f>VLOOKUP($A98,'Data shares'!$C:$FA,26)*100</f>
        <v>-0.06</v>
      </c>
      <c r="F98" s="144">
        <f>VLOOKUP($A98,'Data shares'!$C:$FA,24)</f>
        <v>-0.43</v>
      </c>
      <c r="G98" s="144">
        <f>VLOOKUP($A98,'Data shares'!$C:$FA,25)</f>
        <v>0.31</v>
      </c>
    </row>
    <row r="99" spans="1:7" x14ac:dyDescent="0.25">
      <c r="A99" s="101" t="str">
        <f>'Data shares'!C95</f>
        <v>ICICIBANK</v>
      </c>
      <c r="B99" s="144">
        <f>VLOOKUP($A99,'Data shares'!$C:$FA,7)</f>
        <v>1481.4</v>
      </c>
      <c r="C99" s="144">
        <f>VLOOKUP($A99,'Data shares'!$C:$FA,3)</f>
        <v>1477.4</v>
      </c>
      <c r="D99" s="144">
        <f>VLOOKUP($A99,'Data shares'!$C:$FA,23)</f>
        <v>-4</v>
      </c>
      <c r="E99" s="145">
        <f>VLOOKUP($A99,'Data shares'!$C:$FA,26)*100</f>
        <v>-0.27</v>
      </c>
      <c r="F99" s="144">
        <f>VLOOKUP($A99,'Data shares'!$C:$FA,24)</f>
        <v>-1.7</v>
      </c>
      <c r="G99" s="144">
        <f>VLOOKUP($A99,'Data shares'!$C:$FA,25)</f>
        <v>-2.2999999999999998</v>
      </c>
    </row>
    <row r="100" spans="1:7" x14ac:dyDescent="0.25">
      <c r="A100" s="101" t="str">
        <f>'Data shares'!C96</f>
        <v>ICICIGI</v>
      </c>
      <c r="B100" s="144">
        <f>VLOOKUP($A100,'Data shares'!$C:$FA,7)</f>
        <v>1927</v>
      </c>
      <c r="C100" s="144">
        <f>VLOOKUP($A100,'Data shares'!$C:$FA,3)</f>
        <v>1938.2</v>
      </c>
      <c r="D100" s="144">
        <f>VLOOKUP($A100,'Data shares'!$C:$FA,23)</f>
        <v>11.2</v>
      </c>
      <c r="E100" s="145">
        <f>VLOOKUP($A100,'Data shares'!$C:$FA,26)*100</f>
        <v>0.57999999999999996</v>
      </c>
      <c r="F100" s="144">
        <f>VLOOKUP($A100,'Data shares'!$C:$FA,24)</f>
        <v>-2.2999999999999998</v>
      </c>
      <c r="G100" s="144">
        <f>VLOOKUP($A100,'Data shares'!$C:$FA,25)</f>
        <v>13.5</v>
      </c>
    </row>
    <row r="101" spans="1:7" x14ac:dyDescent="0.25">
      <c r="A101" s="101" t="str">
        <f>'Data shares'!C97</f>
        <v>ICICIPRULI</v>
      </c>
      <c r="B101" s="144">
        <f>VLOOKUP($A101,'Data shares'!$C:$FA,7)</f>
        <v>615.95000000000005</v>
      </c>
      <c r="C101" s="144">
        <f>VLOOKUP($A101,'Data shares'!$C:$FA,3)</f>
        <v>618.29999999999995</v>
      </c>
      <c r="D101" s="144">
        <f>VLOOKUP($A101,'Data shares'!$C:$FA,23)</f>
        <v>2.35</v>
      </c>
      <c r="E101" s="145">
        <f>VLOOKUP($A101,'Data shares'!$C:$FA,26)*100</f>
        <v>0.38</v>
      </c>
      <c r="F101" s="144">
        <f>VLOOKUP($A101,'Data shares'!$C:$FA,24)</f>
        <v>0.15</v>
      </c>
      <c r="G101" s="144">
        <f>VLOOKUP($A101,'Data shares'!$C:$FA,25)</f>
        <v>2.2000000000000002</v>
      </c>
    </row>
    <row r="102" spans="1:7" x14ac:dyDescent="0.25">
      <c r="A102" s="101" t="str">
        <f>'Data shares'!C98</f>
        <v>IDEA</v>
      </c>
      <c r="B102" s="144">
        <f>VLOOKUP($A102,'Data shares'!$C:$FA,7)</f>
        <v>6.91</v>
      </c>
      <c r="C102" s="144">
        <f>VLOOKUP($A102,'Data shares'!$C:$FA,3)</f>
        <v>6.93</v>
      </c>
      <c r="D102" s="144">
        <f>VLOOKUP($A102,'Data shares'!$C:$FA,23)</f>
        <v>0.02</v>
      </c>
      <c r="E102" s="145">
        <f>VLOOKUP($A102,'Data shares'!$C:$FA,26)*100</f>
        <v>0.28999999999999998</v>
      </c>
      <c r="F102" s="144">
        <f>VLOOKUP($A102,'Data shares'!$C:$FA,24)</f>
        <v>0.01</v>
      </c>
      <c r="G102" s="144">
        <f>VLOOKUP($A102,'Data shares'!$C:$FA,25)</f>
        <v>0.01</v>
      </c>
    </row>
    <row r="103" spans="1:7" x14ac:dyDescent="0.25">
      <c r="A103" s="101" t="str">
        <f>'Data shares'!C99</f>
        <v>IDFCFIRSTB</v>
      </c>
      <c r="B103" s="144">
        <f>VLOOKUP($A103,'Data shares'!$C:$FA,7)</f>
        <v>68.760000000000005</v>
      </c>
      <c r="C103" s="144">
        <f>VLOOKUP($A103,'Data shares'!$C:$FA,3)</f>
        <v>69.150000000000006</v>
      </c>
      <c r="D103" s="144">
        <f>VLOOKUP($A103,'Data shares'!$C:$FA,23)</f>
        <v>0.39</v>
      </c>
      <c r="E103" s="145">
        <f>VLOOKUP($A103,'Data shares'!$C:$FA,26)*100</f>
        <v>0.57000000000000006</v>
      </c>
      <c r="F103" s="144">
        <f>VLOOKUP($A103,'Data shares'!$C:$FA,24)</f>
        <v>7.0000000000000007E-2</v>
      </c>
      <c r="G103" s="144">
        <f>VLOOKUP($A103,'Data shares'!$C:$FA,25)</f>
        <v>0.32</v>
      </c>
    </row>
    <row r="104" spans="1:7" x14ac:dyDescent="0.25">
      <c r="A104" s="101" t="str">
        <f>'Data shares'!C100</f>
        <v>IEX</v>
      </c>
      <c r="B104" s="144">
        <f>VLOOKUP($A104,'Data shares'!$C:$FA,7)</f>
        <v>135.30000000000001</v>
      </c>
      <c r="C104" s="144">
        <f>VLOOKUP($A104,'Data shares'!$C:$FA,3)</f>
        <v>136.07</v>
      </c>
      <c r="D104" s="144">
        <f>VLOOKUP($A104,'Data shares'!$C:$FA,23)</f>
        <v>0.77</v>
      </c>
      <c r="E104" s="145">
        <f>VLOOKUP($A104,'Data shares'!$C:$FA,26)*100</f>
        <v>0.57000000000000006</v>
      </c>
      <c r="F104" s="144">
        <f>VLOOKUP($A104,'Data shares'!$C:$FA,24)</f>
        <v>-0.16</v>
      </c>
      <c r="G104" s="144">
        <f>VLOOKUP($A104,'Data shares'!$C:$FA,25)</f>
        <v>0.93</v>
      </c>
    </row>
    <row r="105" spans="1:7" x14ac:dyDescent="0.25">
      <c r="A105" s="101" t="str">
        <f>'Data shares'!C101</f>
        <v>IGL</v>
      </c>
      <c r="B105" s="144">
        <f>VLOOKUP($A105,'Data shares'!$C:$FA,7)</f>
        <v>205.05</v>
      </c>
      <c r="C105" s="144">
        <f>VLOOKUP($A105,'Data shares'!$C:$FA,3)</f>
        <v>203.9</v>
      </c>
      <c r="D105" s="144">
        <f>VLOOKUP($A105,'Data shares'!$C:$FA,23)</f>
        <v>-1.1499999999999999</v>
      </c>
      <c r="E105" s="145">
        <f>VLOOKUP($A105,'Data shares'!$C:$FA,26)*100</f>
        <v>-0.55999999999999994</v>
      </c>
      <c r="F105" s="144">
        <f>VLOOKUP($A105,'Data shares'!$C:$FA,24)</f>
        <v>-0.08</v>
      </c>
      <c r="G105" s="144">
        <f>VLOOKUP($A105,'Data shares'!$C:$FA,25)</f>
        <v>-1.07</v>
      </c>
    </row>
    <row r="106" spans="1:7" x14ac:dyDescent="0.25">
      <c r="A106" s="101" t="str">
        <f>'Data shares'!C102</f>
        <v>IIFL</v>
      </c>
      <c r="B106" s="144">
        <f>VLOOKUP($A106,'Data shares'!$C:$FA,7)</f>
        <v>477.95</v>
      </c>
      <c r="C106" s="144">
        <f>VLOOKUP($A106,'Data shares'!$C:$FA,3)</f>
        <v>478.7</v>
      </c>
      <c r="D106" s="144">
        <f>VLOOKUP($A106,'Data shares'!$C:$FA,23)</f>
        <v>0.75</v>
      </c>
      <c r="E106" s="145">
        <f>VLOOKUP($A106,'Data shares'!$C:$FA,26)*100</f>
        <v>0.16</v>
      </c>
      <c r="F106" s="144">
        <f>VLOOKUP($A106,'Data shares'!$C:$FA,24)</f>
        <v>-0.15</v>
      </c>
      <c r="G106" s="144">
        <f>VLOOKUP($A106,'Data shares'!$C:$FA,25)</f>
        <v>0.9</v>
      </c>
    </row>
    <row r="107" spans="1:7" x14ac:dyDescent="0.25">
      <c r="A107" s="101" t="str">
        <f>'Data shares'!C103</f>
        <v>INDHOTEL</v>
      </c>
      <c r="B107" s="144">
        <f>VLOOKUP($A107,'Data shares'!$C:$FA,7)</f>
        <v>740.75</v>
      </c>
      <c r="C107" s="144">
        <f>VLOOKUP($A107,'Data shares'!$C:$FA,3)</f>
        <v>743.2</v>
      </c>
      <c r="D107" s="144">
        <f>VLOOKUP($A107,'Data shares'!$C:$FA,23)</f>
        <v>2.4500000000000002</v>
      </c>
      <c r="E107" s="145">
        <f>VLOOKUP($A107,'Data shares'!$C:$FA,26)*100</f>
        <v>0.33</v>
      </c>
      <c r="F107" s="144">
        <f>VLOOKUP($A107,'Data shares'!$C:$FA,24)</f>
        <v>-0.85</v>
      </c>
      <c r="G107" s="144">
        <f>VLOOKUP($A107,'Data shares'!$C:$FA,25)</f>
        <v>3.3</v>
      </c>
    </row>
    <row r="108" spans="1:7" x14ac:dyDescent="0.25">
      <c r="A108" s="101" t="str">
        <f>'Data shares'!C104</f>
        <v>INDIANB</v>
      </c>
      <c r="B108" s="144">
        <f>VLOOKUP($A108,'Data shares'!$C:$FA,7)</f>
        <v>621.70000000000005</v>
      </c>
      <c r="C108" s="144">
        <f>VLOOKUP($A108,'Data shares'!$C:$FA,3)</f>
        <v>622.6</v>
      </c>
      <c r="D108" s="144">
        <f>VLOOKUP($A108,'Data shares'!$C:$FA,23)</f>
        <v>0.9</v>
      </c>
      <c r="E108" s="145">
        <f>VLOOKUP($A108,'Data shares'!$C:$FA,26)*100</f>
        <v>0.13999999999999999</v>
      </c>
      <c r="F108" s="144">
        <f>VLOOKUP($A108,'Data shares'!$C:$FA,24)</f>
        <v>0.75</v>
      </c>
      <c r="G108" s="144">
        <f>VLOOKUP($A108,'Data shares'!$C:$FA,25)</f>
        <v>0.15</v>
      </c>
    </row>
    <row r="109" spans="1:7" x14ac:dyDescent="0.25">
      <c r="A109" s="101" t="str">
        <f>'Data shares'!C105</f>
        <v>INDIAVIX</v>
      </c>
      <c r="B109" s="144">
        <f>VLOOKUP($A109,'Data shares'!$C:$FA,7)</f>
        <v>11.54</v>
      </c>
      <c r="C109" s="144">
        <f>VLOOKUP($A109,'Data shares'!$C:$FA,3)</f>
        <v>0</v>
      </c>
      <c r="D109" s="144">
        <f>VLOOKUP($A109,'Data shares'!$C:$FA,23)</f>
        <v>0</v>
      </c>
      <c r="E109" s="145">
        <f>VLOOKUP($A109,'Data shares'!$C:$FA,26)*100</f>
        <v>0</v>
      </c>
      <c r="F109" s="144">
        <f>VLOOKUP($A109,'Data shares'!$C:$FA,24)</f>
        <v>0</v>
      </c>
      <c r="G109" s="144">
        <f>VLOOKUP($A109,'Data shares'!$C:$FA,25)</f>
        <v>0</v>
      </c>
    </row>
    <row r="110" spans="1:7" x14ac:dyDescent="0.25">
      <c r="A110" s="101" t="str">
        <f>'Data shares'!C106</f>
        <v>INDIGO</v>
      </c>
      <c r="B110" s="144">
        <f>VLOOKUP($A110,'Data shares'!$C:$FA,7)</f>
        <v>5910.5</v>
      </c>
      <c r="C110" s="144">
        <f>VLOOKUP($A110,'Data shares'!$C:$FA,3)</f>
        <v>5880.5</v>
      </c>
      <c r="D110" s="144">
        <f>VLOOKUP($A110,'Data shares'!$C:$FA,23)</f>
        <v>-30</v>
      </c>
      <c r="E110" s="145">
        <f>VLOOKUP($A110,'Data shares'!$C:$FA,26)*100</f>
        <v>-0.51</v>
      </c>
      <c r="F110" s="144">
        <f>VLOOKUP($A110,'Data shares'!$C:$FA,24)</f>
        <v>-32</v>
      </c>
      <c r="G110" s="144">
        <f>VLOOKUP($A110,'Data shares'!$C:$FA,25)</f>
        <v>2</v>
      </c>
    </row>
    <row r="111" spans="1:7" x14ac:dyDescent="0.25">
      <c r="A111" s="101" t="str">
        <f>'Data shares'!C107</f>
        <v>INDUSINDBK</v>
      </c>
      <c r="B111" s="144">
        <f>VLOOKUP($A111,'Data shares'!$C:$FA,7)</f>
        <v>798.9</v>
      </c>
      <c r="C111" s="144">
        <f>VLOOKUP($A111,'Data shares'!$C:$FA,3)</f>
        <v>803.7</v>
      </c>
      <c r="D111" s="144">
        <f>VLOOKUP($A111,'Data shares'!$C:$FA,23)</f>
        <v>4.8</v>
      </c>
      <c r="E111" s="145">
        <f>VLOOKUP($A111,'Data shares'!$C:$FA,26)*100</f>
        <v>0.6</v>
      </c>
      <c r="F111" s="144">
        <f>VLOOKUP($A111,'Data shares'!$C:$FA,24)</f>
        <v>0.65</v>
      </c>
      <c r="G111" s="144">
        <f>VLOOKUP($A111,'Data shares'!$C:$FA,25)</f>
        <v>4.1500000000000004</v>
      </c>
    </row>
    <row r="112" spans="1:7" x14ac:dyDescent="0.25">
      <c r="A112" s="101" t="str">
        <f>'Data shares'!C108</f>
        <v>INDUSTOWER</v>
      </c>
      <c r="B112" s="144">
        <f>VLOOKUP($A112,'Data shares'!$C:$FA,7)</f>
        <v>363</v>
      </c>
      <c r="C112" s="144">
        <f>VLOOKUP($A112,'Data shares'!$C:$FA,3)</f>
        <v>364.2</v>
      </c>
      <c r="D112" s="144">
        <f>VLOOKUP($A112,'Data shares'!$C:$FA,23)</f>
        <v>1.2</v>
      </c>
      <c r="E112" s="145">
        <f>VLOOKUP($A112,'Data shares'!$C:$FA,26)*100</f>
        <v>0.33</v>
      </c>
      <c r="F112" s="144">
        <f>VLOOKUP($A112,'Data shares'!$C:$FA,24)</f>
        <v>0.6</v>
      </c>
      <c r="G112" s="144">
        <f>VLOOKUP($A112,'Data shares'!$C:$FA,25)</f>
        <v>0.6</v>
      </c>
    </row>
    <row r="113" spans="1:7" x14ac:dyDescent="0.25">
      <c r="A113" s="101" t="str">
        <f>'Data shares'!C109</f>
        <v>INFY</v>
      </c>
      <c r="B113" s="144">
        <f>VLOOKUP($A113,'Data shares'!$C:$FA,7)</f>
        <v>1509</v>
      </c>
      <c r="C113" s="144">
        <f>VLOOKUP($A113,'Data shares'!$C:$FA,3)</f>
        <v>1515</v>
      </c>
      <c r="D113" s="144">
        <f>VLOOKUP($A113,'Data shares'!$C:$FA,23)</f>
        <v>6</v>
      </c>
      <c r="E113" s="145">
        <f>VLOOKUP($A113,'Data shares'!$C:$FA,26)*100</f>
        <v>0.4</v>
      </c>
      <c r="F113" s="144">
        <f>VLOOKUP($A113,'Data shares'!$C:$FA,24)</f>
        <v>1.2</v>
      </c>
      <c r="G113" s="144">
        <f>VLOOKUP($A113,'Data shares'!$C:$FA,25)</f>
        <v>4.8</v>
      </c>
    </row>
    <row r="114" spans="1:7" x14ac:dyDescent="0.25">
      <c r="A114" s="101" t="str">
        <f>'Data shares'!C110</f>
        <v>INOXWIND</v>
      </c>
      <c r="B114" s="144">
        <f>VLOOKUP($A114,'Data shares'!$C:$FA,7)</f>
        <v>150.74</v>
      </c>
      <c r="C114" s="144">
        <f>VLOOKUP($A114,'Data shares'!$C:$FA,3)</f>
        <v>151.53</v>
      </c>
      <c r="D114" s="144">
        <f>VLOOKUP($A114,'Data shares'!$C:$FA,23)</f>
        <v>0.79</v>
      </c>
      <c r="E114" s="145">
        <f>VLOOKUP($A114,'Data shares'!$C:$FA,26)*100</f>
        <v>0.52</v>
      </c>
      <c r="F114" s="144">
        <f>VLOOKUP($A114,'Data shares'!$C:$FA,24)</f>
        <v>-0.08</v>
      </c>
      <c r="G114" s="144">
        <f>VLOOKUP($A114,'Data shares'!$C:$FA,25)</f>
        <v>0.87</v>
      </c>
    </row>
    <row r="115" spans="1:7" x14ac:dyDescent="0.25">
      <c r="A115" s="101" t="str">
        <f>'Data shares'!C111</f>
        <v>IOC</v>
      </c>
      <c r="B115" s="144">
        <f>VLOOKUP($A115,'Data shares'!$C:$FA,7)</f>
        <v>145.62</v>
      </c>
      <c r="C115" s="144">
        <f>VLOOKUP($A115,'Data shares'!$C:$FA,3)</f>
        <v>146.04</v>
      </c>
      <c r="D115" s="144">
        <f>VLOOKUP($A115,'Data shares'!$C:$FA,23)</f>
        <v>0.42</v>
      </c>
      <c r="E115" s="145">
        <f>VLOOKUP($A115,'Data shares'!$C:$FA,26)*100</f>
        <v>0.28999999999999998</v>
      </c>
      <c r="F115" s="144">
        <f>VLOOKUP($A115,'Data shares'!$C:$FA,24)</f>
        <v>0.06</v>
      </c>
      <c r="G115" s="144">
        <f>VLOOKUP($A115,'Data shares'!$C:$FA,25)</f>
        <v>0.36</v>
      </c>
    </row>
    <row r="116" spans="1:7" x14ac:dyDescent="0.25">
      <c r="A116" s="101" t="str">
        <f>'Data shares'!C112</f>
        <v>IRB</v>
      </c>
      <c r="B116" s="144">
        <f>VLOOKUP($A116,'Data shares'!$C:$FA,7)</f>
        <v>45.07</v>
      </c>
      <c r="C116" s="144">
        <f>VLOOKUP($A116,'Data shares'!$C:$FA,3)</f>
        <v>45.27</v>
      </c>
      <c r="D116" s="144">
        <f>VLOOKUP($A116,'Data shares'!$C:$FA,23)</f>
        <v>0.2</v>
      </c>
      <c r="E116" s="145">
        <f>VLOOKUP($A116,'Data shares'!$C:$FA,26)*100</f>
        <v>0.44</v>
      </c>
      <c r="F116" s="144">
        <f>VLOOKUP($A116,'Data shares'!$C:$FA,24)</f>
        <v>-0.05</v>
      </c>
      <c r="G116" s="144">
        <f>VLOOKUP($A116,'Data shares'!$C:$FA,25)</f>
        <v>0.25</v>
      </c>
    </row>
    <row r="117" spans="1:7" x14ac:dyDescent="0.25">
      <c r="A117" s="101" t="str">
        <f>'Data shares'!C113</f>
        <v>IRCTC</v>
      </c>
      <c r="B117" s="144">
        <f>VLOOKUP($A117,'Data shares'!$C:$FA,7)</f>
        <v>726.05</v>
      </c>
      <c r="C117" s="144">
        <f>VLOOKUP($A117,'Data shares'!$C:$FA,3)</f>
        <v>728.3</v>
      </c>
      <c r="D117" s="144">
        <f>VLOOKUP($A117,'Data shares'!$C:$FA,23)</f>
        <v>2.25</v>
      </c>
      <c r="E117" s="145">
        <f>VLOOKUP($A117,'Data shares'!$C:$FA,26)*100</f>
        <v>0.31</v>
      </c>
      <c r="F117" s="144">
        <f>VLOOKUP($A117,'Data shares'!$C:$FA,24)</f>
        <v>0.2</v>
      </c>
      <c r="G117" s="144">
        <f>VLOOKUP($A117,'Data shares'!$C:$FA,25)</f>
        <v>2.0499999999999998</v>
      </c>
    </row>
    <row r="118" spans="1:7" x14ac:dyDescent="0.25">
      <c r="A118" s="101" t="str">
        <f>'Data shares'!C114</f>
        <v>IREDA</v>
      </c>
      <c r="B118" s="144">
        <f>VLOOKUP($A118,'Data shares'!$C:$FA,7)</f>
        <v>147.38</v>
      </c>
      <c r="C118" s="144">
        <f>VLOOKUP($A118,'Data shares'!$C:$FA,3)</f>
        <v>147.66999999999999</v>
      </c>
      <c r="D118" s="144">
        <f>VLOOKUP($A118,'Data shares'!$C:$FA,23)</f>
        <v>0.28999999999999998</v>
      </c>
      <c r="E118" s="145">
        <f>VLOOKUP($A118,'Data shares'!$C:$FA,26)*100</f>
        <v>0.2</v>
      </c>
      <c r="F118" s="144">
        <f>VLOOKUP($A118,'Data shares'!$C:$FA,24)</f>
        <v>0.35</v>
      </c>
      <c r="G118" s="144">
        <f>VLOOKUP($A118,'Data shares'!$C:$FA,25)</f>
        <v>-0.06</v>
      </c>
    </row>
    <row r="119" spans="1:7" x14ac:dyDescent="0.25">
      <c r="A119" s="101" t="str">
        <f>'Data shares'!C115</f>
        <v>IRFC</v>
      </c>
      <c r="B119" s="144">
        <f>VLOOKUP($A119,'Data shares'!$C:$FA,7)</f>
        <v>128.34</v>
      </c>
      <c r="C119" s="144">
        <f>VLOOKUP($A119,'Data shares'!$C:$FA,3)</f>
        <v>128.44</v>
      </c>
      <c r="D119" s="144">
        <f>VLOOKUP($A119,'Data shares'!$C:$FA,23)</f>
        <v>0.1</v>
      </c>
      <c r="E119" s="145">
        <f>VLOOKUP($A119,'Data shares'!$C:$FA,26)*100</f>
        <v>0.08</v>
      </c>
      <c r="F119" s="144">
        <f>VLOOKUP($A119,'Data shares'!$C:$FA,24)</f>
        <v>0.39</v>
      </c>
      <c r="G119" s="144">
        <f>VLOOKUP($A119,'Data shares'!$C:$FA,25)</f>
        <v>-0.28999999999999998</v>
      </c>
    </row>
    <row r="120" spans="1:7" x14ac:dyDescent="0.25">
      <c r="A120" s="101" t="str">
        <f>'Data shares'!C116</f>
        <v>ITC</v>
      </c>
      <c r="B120" s="144">
        <f>VLOOKUP($A120,'Data shares'!$C:$FA,7)</f>
        <v>411.95</v>
      </c>
      <c r="C120" s="144">
        <f>VLOOKUP($A120,'Data shares'!$C:$FA,3)</f>
        <v>413.15</v>
      </c>
      <c r="D120" s="144">
        <f>VLOOKUP($A120,'Data shares'!$C:$FA,23)</f>
        <v>1.2</v>
      </c>
      <c r="E120" s="145">
        <f>VLOOKUP($A120,'Data shares'!$C:$FA,26)*100</f>
        <v>0.28999999999999998</v>
      </c>
      <c r="F120" s="144">
        <f>VLOOKUP($A120,'Data shares'!$C:$FA,24)</f>
        <v>0.35</v>
      </c>
      <c r="G120" s="144">
        <f>VLOOKUP($A120,'Data shares'!$C:$FA,25)</f>
        <v>0.85</v>
      </c>
    </row>
    <row r="121" spans="1:7" x14ac:dyDescent="0.25">
      <c r="A121" s="101" t="str">
        <f>'Data shares'!C117</f>
        <v>JINDALSTEL</v>
      </c>
      <c r="B121" s="144">
        <f>VLOOKUP($A121,'Data shares'!$C:$FA,7)</f>
        <v>965</v>
      </c>
      <c r="C121" s="144">
        <f>VLOOKUP($A121,'Data shares'!$C:$FA,3)</f>
        <v>965.75</v>
      </c>
      <c r="D121" s="144">
        <f>VLOOKUP($A121,'Data shares'!$C:$FA,23)</f>
        <v>0.75</v>
      </c>
      <c r="E121" s="145">
        <f>VLOOKUP($A121,'Data shares'!$C:$FA,26)*100</f>
        <v>0.08</v>
      </c>
      <c r="F121" s="144">
        <f>VLOOKUP($A121,'Data shares'!$C:$FA,24)</f>
        <v>1.2</v>
      </c>
      <c r="G121" s="144">
        <f>VLOOKUP($A121,'Data shares'!$C:$FA,25)</f>
        <v>-0.45</v>
      </c>
    </row>
    <row r="122" spans="1:7" x14ac:dyDescent="0.25">
      <c r="A122" s="101" t="str">
        <f>'Data shares'!C118</f>
        <v>JIOFIN</v>
      </c>
      <c r="B122" s="144">
        <f>VLOOKUP($A122,'Data shares'!$C:$FA,7)</f>
        <v>329.25</v>
      </c>
      <c r="C122" s="144">
        <f>VLOOKUP($A122,'Data shares'!$C:$FA,3)</f>
        <v>330.9</v>
      </c>
      <c r="D122" s="144">
        <f>VLOOKUP($A122,'Data shares'!$C:$FA,23)</f>
        <v>1.65</v>
      </c>
      <c r="E122" s="145">
        <f>VLOOKUP($A122,'Data shares'!$C:$FA,26)*100</f>
        <v>0.5</v>
      </c>
      <c r="F122" s="144">
        <f>VLOOKUP($A122,'Data shares'!$C:$FA,24)</f>
        <v>-0.4</v>
      </c>
      <c r="G122" s="144">
        <f>VLOOKUP($A122,'Data shares'!$C:$FA,25)</f>
        <v>2.0499999999999998</v>
      </c>
    </row>
    <row r="123" spans="1:7" x14ac:dyDescent="0.25">
      <c r="A123" s="101" t="str">
        <f>'Data shares'!C119</f>
        <v>JSL</v>
      </c>
      <c r="B123" s="144">
        <f>VLOOKUP($A123,'Data shares'!$C:$FA,7)</f>
        <v>694.1</v>
      </c>
      <c r="C123" s="144">
        <f>VLOOKUP($A123,'Data shares'!$C:$FA,3)</f>
        <v>695.7</v>
      </c>
      <c r="D123" s="144">
        <f>VLOOKUP($A123,'Data shares'!$C:$FA,23)</f>
        <v>1.6</v>
      </c>
      <c r="E123" s="145">
        <f>VLOOKUP($A123,'Data shares'!$C:$FA,26)*100</f>
        <v>0.22999999999999998</v>
      </c>
      <c r="F123" s="144">
        <f>VLOOKUP($A123,'Data shares'!$C:$FA,24)</f>
        <v>-0.2</v>
      </c>
      <c r="G123" s="144">
        <f>VLOOKUP($A123,'Data shares'!$C:$FA,25)</f>
        <v>1.8</v>
      </c>
    </row>
    <row r="124" spans="1:7" x14ac:dyDescent="0.25">
      <c r="A124" s="101" t="str">
        <f>'Data shares'!C120</f>
        <v>JSWENERGY</v>
      </c>
      <c r="B124" s="144">
        <f>VLOOKUP($A124,'Data shares'!$C:$FA,7)</f>
        <v>515.04999999999995</v>
      </c>
      <c r="C124" s="144">
        <f>VLOOKUP($A124,'Data shares'!$C:$FA,3)</f>
        <v>517.79999999999995</v>
      </c>
      <c r="D124" s="144">
        <f>VLOOKUP($A124,'Data shares'!$C:$FA,23)</f>
        <v>2.75</v>
      </c>
      <c r="E124" s="145">
        <f>VLOOKUP($A124,'Data shares'!$C:$FA,26)*100</f>
        <v>0.53</v>
      </c>
      <c r="F124" s="144">
        <f>VLOOKUP($A124,'Data shares'!$C:$FA,24)</f>
        <v>-0.55000000000000004</v>
      </c>
      <c r="G124" s="144">
        <f>VLOOKUP($A124,'Data shares'!$C:$FA,25)</f>
        <v>3.3</v>
      </c>
    </row>
    <row r="125" spans="1:7" x14ac:dyDescent="0.25">
      <c r="A125" s="101" t="str">
        <f>'Data shares'!C121</f>
        <v>JSWSTEEL</v>
      </c>
      <c r="B125" s="144">
        <f>VLOOKUP($A125,'Data shares'!$C:$FA,7)</f>
        <v>1048.3</v>
      </c>
      <c r="C125" s="144">
        <f>VLOOKUP($A125,'Data shares'!$C:$FA,3)</f>
        <v>1052.8</v>
      </c>
      <c r="D125" s="144">
        <f>VLOOKUP($A125,'Data shares'!$C:$FA,23)</f>
        <v>4.5</v>
      </c>
      <c r="E125" s="145">
        <f>VLOOKUP($A125,'Data shares'!$C:$FA,26)*100</f>
        <v>0.43</v>
      </c>
      <c r="F125" s="144">
        <f>VLOOKUP($A125,'Data shares'!$C:$FA,24)</f>
        <v>-1.6</v>
      </c>
      <c r="G125" s="144">
        <f>VLOOKUP($A125,'Data shares'!$C:$FA,25)</f>
        <v>6.1</v>
      </c>
    </row>
    <row r="126" spans="1:7" x14ac:dyDescent="0.25">
      <c r="A126" s="101" t="str">
        <f>'Data shares'!C122</f>
        <v>JUBLFOOD</v>
      </c>
      <c r="B126" s="144">
        <f>VLOOKUP($A126,'Data shares'!$C:$FA,7)</f>
        <v>655.5</v>
      </c>
      <c r="C126" s="144">
        <f>VLOOKUP($A126,'Data shares'!$C:$FA,3)</f>
        <v>657.95</v>
      </c>
      <c r="D126" s="144">
        <f>VLOOKUP($A126,'Data shares'!$C:$FA,23)</f>
        <v>2.4500000000000002</v>
      </c>
      <c r="E126" s="145">
        <f>VLOOKUP($A126,'Data shares'!$C:$FA,26)*100</f>
        <v>0.37</v>
      </c>
      <c r="F126" s="144">
        <f>VLOOKUP($A126,'Data shares'!$C:$FA,24)</f>
        <v>-0.7</v>
      </c>
      <c r="G126" s="144">
        <f>VLOOKUP($A126,'Data shares'!$C:$FA,25)</f>
        <v>3.15</v>
      </c>
    </row>
    <row r="127" spans="1:7" x14ac:dyDescent="0.25">
      <c r="A127" s="101" t="str">
        <f>'Data shares'!C123</f>
        <v>KALYANKJIL</v>
      </c>
      <c r="B127" s="144">
        <f>VLOOKUP($A127,'Data shares'!$C:$FA,7)</f>
        <v>594.70000000000005</v>
      </c>
      <c r="C127" s="144">
        <f>VLOOKUP($A127,'Data shares'!$C:$FA,3)</f>
        <v>596.70000000000005</v>
      </c>
      <c r="D127" s="144">
        <f>VLOOKUP($A127,'Data shares'!$C:$FA,23)</f>
        <v>2</v>
      </c>
      <c r="E127" s="145">
        <f>VLOOKUP($A127,'Data shares'!$C:$FA,26)*100</f>
        <v>0.33999999999999997</v>
      </c>
      <c r="F127" s="144">
        <f>VLOOKUP($A127,'Data shares'!$C:$FA,24)</f>
        <v>-0.15</v>
      </c>
      <c r="G127" s="144">
        <f>VLOOKUP($A127,'Data shares'!$C:$FA,25)</f>
        <v>2.15</v>
      </c>
    </row>
    <row r="128" spans="1:7" x14ac:dyDescent="0.25">
      <c r="A128" s="101" t="str">
        <f>'Data shares'!C124</f>
        <v>KAYNES</v>
      </c>
      <c r="B128" s="144">
        <f>VLOOKUP($A128,'Data shares'!$C:$FA,7)</f>
        <v>6172</v>
      </c>
      <c r="C128" s="144">
        <f>VLOOKUP($A128,'Data shares'!$C:$FA,3)</f>
        <v>6211</v>
      </c>
      <c r="D128" s="144">
        <f>VLOOKUP($A128,'Data shares'!$C:$FA,23)</f>
        <v>39</v>
      </c>
      <c r="E128" s="145">
        <f>VLOOKUP($A128,'Data shares'!$C:$FA,26)*100</f>
        <v>0.63</v>
      </c>
      <c r="F128" s="144">
        <f>VLOOKUP($A128,'Data shares'!$C:$FA,24)</f>
        <v>-10</v>
      </c>
      <c r="G128" s="144">
        <f>VLOOKUP($A128,'Data shares'!$C:$FA,25)</f>
        <v>49</v>
      </c>
    </row>
    <row r="129" spans="1:7" x14ac:dyDescent="0.25">
      <c r="A129" s="101" t="str">
        <f>'Data shares'!C125</f>
        <v>KEI</v>
      </c>
      <c r="B129" s="144">
        <f>VLOOKUP($A129,'Data shares'!$C:$FA,7)</f>
        <v>3844.2</v>
      </c>
      <c r="C129" s="144">
        <f>VLOOKUP($A129,'Data shares'!$C:$FA,3)</f>
        <v>3866.8</v>
      </c>
      <c r="D129" s="144">
        <f>VLOOKUP($A129,'Data shares'!$C:$FA,23)</f>
        <v>22.6</v>
      </c>
      <c r="E129" s="145">
        <f>VLOOKUP($A129,'Data shares'!$C:$FA,26)*100</f>
        <v>0.59</v>
      </c>
      <c r="F129" s="144">
        <f>VLOOKUP($A129,'Data shares'!$C:$FA,24)</f>
        <v>2.7</v>
      </c>
      <c r="G129" s="144">
        <f>VLOOKUP($A129,'Data shares'!$C:$FA,25)</f>
        <v>19.899999999999999</v>
      </c>
    </row>
    <row r="130" spans="1:7" x14ac:dyDescent="0.25">
      <c r="A130" s="101" t="str">
        <f>'Data shares'!C126</f>
        <v>KFINTECH</v>
      </c>
      <c r="B130" s="144">
        <f>VLOOKUP($A130,'Data shares'!$C:$FA,7)</f>
        <v>1082.9000000000001</v>
      </c>
      <c r="C130" s="144">
        <f>VLOOKUP($A130,'Data shares'!$C:$FA,3)</f>
        <v>1081.4000000000001</v>
      </c>
      <c r="D130" s="144">
        <f>VLOOKUP($A130,'Data shares'!$C:$FA,23)</f>
        <v>-1.5</v>
      </c>
      <c r="E130" s="145">
        <f>VLOOKUP($A130,'Data shares'!$C:$FA,26)*100</f>
        <v>-0.13999999999999999</v>
      </c>
      <c r="F130" s="144">
        <f>VLOOKUP($A130,'Data shares'!$C:$FA,24)</f>
        <v>1.5</v>
      </c>
      <c r="G130" s="144">
        <f>VLOOKUP($A130,'Data shares'!$C:$FA,25)</f>
        <v>-3</v>
      </c>
    </row>
    <row r="131" spans="1:7" x14ac:dyDescent="0.25">
      <c r="A131" s="101" t="str">
        <f>'Data shares'!C127</f>
        <v>KOTAKBANK</v>
      </c>
      <c r="B131" s="144">
        <f>VLOOKUP($A131,'Data shares'!$C:$FA,7)</f>
        <v>1978.6</v>
      </c>
      <c r="C131" s="144">
        <f>VLOOKUP($A131,'Data shares'!$C:$FA,3)</f>
        <v>1990.3</v>
      </c>
      <c r="D131" s="144">
        <f>VLOOKUP($A131,'Data shares'!$C:$FA,23)</f>
        <v>11.7</v>
      </c>
      <c r="E131" s="145">
        <f>VLOOKUP($A131,'Data shares'!$C:$FA,26)*100</f>
        <v>0.59</v>
      </c>
      <c r="F131" s="144">
        <f>VLOOKUP($A131,'Data shares'!$C:$FA,24)</f>
        <v>1</v>
      </c>
      <c r="G131" s="144">
        <f>VLOOKUP($A131,'Data shares'!$C:$FA,25)</f>
        <v>10.7</v>
      </c>
    </row>
    <row r="132" spans="1:7" x14ac:dyDescent="0.25">
      <c r="A132" s="101" t="str">
        <f>'Data shares'!C128</f>
        <v>KPITTECH</v>
      </c>
      <c r="B132" s="144">
        <f>VLOOKUP($A132,'Data shares'!$C:$FA,7)</f>
        <v>1226.4000000000001</v>
      </c>
      <c r="C132" s="144">
        <f>VLOOKUP($A132,'Data shares'!$C:$FA,3)</f>
        <v>1228.9000000000001</v>
      </c>
      <c r="D132" s="144">
        <f>VLOOKUP($A132,'Data shares'!$C:$FA,23)</f>
        <v>2.5</v>
      </c>
      <c r="E132" s="145">
        <f>VLOOKUP($A132,'Data shares'!$C:$FA,26)*100</f>
        <v>0.2</v>
      </c>
      <c r="F132" s="144">
        <f>VLOOKUP($A132,'Data shares'!$C:$FA,24)</f>
        <v>-4.0999999999999996</v>
      </c>
      <c r="G132" s="144">
        <f>VLOOKUP($A132,'Data shares'!$C:$FA,25)</f>
        <v>6.6</v>
      </c>
    </row>
    <row r="133" spans="1:7" x14ac:dyDescent="0.25">
      <c r="A133" s="101" t="str">
        <f>'Data shares'!C129</f>
        <v>LAURUSLABS</v>
      </c>
      <c r="B133" s="144">
        <f>VLOOKUP($A133,'Data shares'!$C:$FA,7)</f>
        <v>874.35</v>
      </c>
      <c r="C133" s="144">
        <f>VLOOKUP($A133,'Data shares'!$C:$FA,3)</f>
        <v>878</v>
      </c>
      <c r="D133" s="144">
        <f>VLOOKUP($A133,'Data shares'!$C:$FA,23)</f>
        <v>3.65</v>
      </c>
      <c r="E133" s="145">
        <f>VLOOKUP($A133,'Data shares'!$C:$FA,26)*100</f>
        <v>0.42</v>
      </c>
      <c r="F133" s="144">
        <f>VLOOKUP($A133,'Data shares'!$C:$FA,24)</f>
        <v>1.2</v>
      </c>
      <c r="G133" s="144">
        <f>VLOOKUP($A133,'Data shares'!$C:$FA,25)</f>
        <v>2.4500000000000002</v>
      </c>
    </row>
    <row r="134" spans="1:7" x14ac:dyDescent="0.25">
      <c r="A134" s="101" t="str">
        <f>'Data shares'!C130</f>
        <v>LICHSGFIN</v>
      </c>
      <c r="B134" s="144">
        <f>VLOOKUP($A134,'Data shares'!$C:$FA,7)</f>
        <v>586.04999999999995</v>
      </c>
      <c r="C134" s="144">
        <f>VLOOKUP($A134,'Data shares'!$C:$FA,3)</f>
        <v>581.85</v>
      </c>
      <c r="D134" s="144">
        <f>VLOOKUP($A134,'Data shares'!$C:$FA,23)</f>
        <v>-4.2</v>
      </c>
      <c r="E134" s="145">
        <f>VLOOKUP($A134,'Data shares'!$C:$FA,26)*100</f>
        <v>-0.72</v>
      </c>
      <c r="F134" s="144">
        <f>VLOOKUP($A134,'Data shares'!$C:$FA,24)</f>
        <v>0.05</v>
      </c>
      <c r="G134" s="144">
        <f>VLOOKUP($A134,'Data shares'!$C:$FA,25)</f>
        <v>-4.25</v>
      </c>
    </row>
    <row r="135" spans="1:7" x14ac:dyDescent="0.25">
      <c r="A135" s="101" t="str">
        <f>'Data shares'!C131</f>
        <v>LICI</v>
      </c>
      <c r="B135" s="144">
        <f>VLOOKUP($A135,'Data shares'!$C:$FA,7)</f>
        <v>895</v>
      </c>
      <c r="C135" s="144">
        <f>VLOOKUP($A135,'Data shares'!$C:$FA,3)</f>
        <v>898.5</v>
      </c>
      <c r="D135" s="144">
        <f>VLOOKUP($A135,'Data shares'!$C:$FA,23)</f>
        <v>3.5</v>
      </c>
      <c r="E135" s="145">
        <f>VLOOKUP($A135,'Data shares'!$C:$FA,26)*100</f>
        <v>0.38999999999999996</v>
      </c>
      <c r="F135" s="144">
        <f>VLOOKUP($A135,'Data shares'!$C:$FA,24)</f>
        <v>0.55000000000000004</v>
      </c>
      <c r="G135" s="144">
        <f>VLOOKUP($A135,'Data shares'!$C:$FA,25)</f>
        <v>2.95</v>
      </c>
    </row>
    <row r="136" spans="1:7" x14ac:dyDescent="0.25">
      <c r="A136" s="101" t="str">
        <f>'Data shares'!C132</f>
        <v>LODHA</v>
      </c>
      <c r="B136" s="144">
        <f>VLOOKUP($A136,'Data shares'!$C:$FA,7)</f>
        <v>1231.5999999999999</v>
      </c>
      <c r="C136" s="144">
        <f>VLOOKUP($A136,'Data shares'!$C:$FA,3)</f>
        <v>1235.2</v>
      </c>
      <c r="D136" s="144">
        <f>VLOOKUP($A136,'Data shares'!$C:$FA,23)</f>
        <v>3.6</v>
      </c>
      <c r="E136" s="145">
        <f>VLOOKUP($A136,'Data shares'!$C:$FA,26)*100</f>
        <v>0.28999999999999998</v>
      </c>
      <c r="F136" s="144">
        <f>VLOOKUP($A136,'Data shares'!$C:$FA,24)</f>
        <v>0.2</v>
      </c>
      <c r="G136" s="144">
        <f>VLOOKUP($A136,'Data shares'!$C:$FA,25)</f>
        <v>3.4</v>
      </c>
    </row>
    <row r="137" spans="1:7" x14ac:dyDescent="0.25">
      <c r="A137" s="101" t="str">
        <f>'Data shares'!C133</f>
        <v>LT</v>
      </c>
      <c r="B137" s="144">
        <f>VLOOKUP($A137,'Data shares'!$C:$FA,7)</f>
        <v>3636.5</v>
      </c>
      <c r="C137" s="144">
        <f>VLOOKUP($A137,'Data shares'!$C:$FA,3)</f>
        <v>3650.5</v>
      </c>
      <c r="D137" s="144">
        <f>VLOOKUP($A137,'Data shares'!$C:$FA,23)</f>
        <v>14</v>
      </c>
      <c r="E137" s="145">
        <f>VLOOKUP($A137,'Data shares'!$C:$FA,26)*100</f>
        <v>0.38</v>
      </c>
      <c r="F137" s="144">
        <f>VLOOKUP($A137,'Data shares'!$C:$FA,24)</f>
        <v>-8</v>
      </c>
      <c r="G137" s="144">
        <f>VLOOKUP($A137,'Data shares'!$C:$FA,25)</f>
        <v>22</v>
      </c>
    </row>
    <row r="138" spans="1:7" x14ac:dyDescent="0.25">
      <c r="A138" s="101" t="str">
        <f>'Data shares'!C134</f>
        <v>LTF</v>
      </c>
      <c r="B138" s="144">
        <f>VLOOKUP($A138,'Data shares'!$C:$FA,7)</f>
        <v>202.59</v>
      </c>
      <c r="C138" s="144">
        <f>VLOOKUP($A138,'Data shares'!$C:$FA,3)</f>
        <v>203.68</v>
      </c>
      <c r="D138" s="144">
        <f>VLOOKUP($A138,'Data shares'!$C:$FA,23)</f>
        <v>1.0900000000000001</v>
      </c>
      <c r="E138" s="145">
        <f>VLOOKUP($A138,'Data shares'!$C:$FA,26)*100</f>
        <v>0.54</v>
      </c>
      <c r="F138" s="144">
        <f>VLOOKUP($A138,'Data shares'!$C:$FA,24)</f>
        <v>0.28000000000000003</v>
      </c>
      <c r="G138" s="144">
        <f>VLOOKUP($A138,'Data shares'!$C:$FA,25)</f>
        <v>0.81</v>
      </c>
    </row>
    <row r="139" spans="1:7" x14ac:dyDescent="0.25">
      <c r="A139" s="101" t="str">
        <f>'Data shares'!C135</f>
        <v>LTIM</v>
      </c>
      <c r="B139" s="144">
        <f>VLOOKUP($A139,'Data shares'!$C:$FA,7)</f>
        <v>5106</v>
      </c>
      <c r="C139" s="144">
        <f>VLOOKUP($A139,'Data shares'!$C:$FA,3)</f>
        <v>5109</v>
      </c>
      <c r="D139" s="144">
        <f>VLOOKUP($A139,'Data shares'!$C:$FA,23)</f>
        <v>3</v>
      </c>
      <c r="E139" s="145">
        <f>VLOOKUP($A139,'Data shares'!$C:$FA,26)*100</f>
        <v>0.06</v>
      </c>
      <c r="F139" s="144">
        <f>VLOOKUP($A139,'Data shares'!$C:$FA,24)</f>
        <v>7</v>
      </c>
      <c r="G139" s="144">
        <f>VLOOKUP($A139,'Data shares'!$C:$FA,25)</f>
        <v>-4</v>
      </c>
    </row>
    <row r="140" spans="1:7" x14ac:dyDescent="0.25">
      <c r="A140" s="101" t="str">
        <f>'Data shares'!C136</f>
        <v>LUPIN</v>
      </c>
      <c r="B140" s="144">
        <f>VLOOKUP($A140,'Data shares'!$C:$FA,7)</f>
        <v>1929.1</v>
      </c>
      <c r="C140" s="144">
        <f>VLOOKUP($A140,'Data shares'!$C:$FA,3)</f>
        <v>1935.1</v>
      </c>
      <c r="D140" s="144">
        <f>VLOOKUP($A140,'Data shares'!$C:$FA,23)</f>
        <v>6</v>
      </c>
      <c r="E140" s="145">
        <f>VLOOKUP($A140,'Data shares'!$C:$FA,26)*100</f>
        <v>0.31</v>
      </c>
      <c r="F140" s="144">
        <f>VLOOKUP($A140,'Data shares'!$C:$FA,24)</f>
        <v>-1.8</v>
      </c>
      <c r="G140" s="144">
        <f>VLOOKUP($A140,'Data shares'!$C:$FA,25)</f>
        <v>7.8</v>
      </c>
    </row>
    <row r="141" spans="1:7" x14ac:dyDescent="0.25">
      <c r="A141" s="101" t="str">
        <f>'Data shares'!C137</f>
        <v>M&amp;M</v>
      </c>
      <c r="B141" s="144">
        <f>VLOOKUP($A141,'Data shares'!$C:$FA,7)</f>
        <v>3203.1</v>
      </c>
      <c r="C141" s="144">
        <f>VLOOKUP($A141,'Data shares'!$C:$FA,3)</f>
        <v>3215.6</v>
      </c>
      <c r="D141" s="144">
        <f>VLOOKUP($A141,'Data shares'!$C:$FA,23)</f>
        <v>12.5</v>
      </c>
      <c r="E141" s="145">
        <f>VLOOKUP($A141,'Data shares'!$C:$FA,26)*100</f>
        <v>0.38999999999999996</v>
      </c>
      <c r="F141" s="144">
        <f>VLOOKUP($A141,'Data shares'!$C:$FA,24)</f>
        <v>1.3</v>
      </c>
      <c r="G141" s="144">
        <f>VLOOKUP($A141,'Data shares'!$C:$FA,25)</f>
        <v>11.2</v>
      </c>
    </row>
    <row r="142" spans="1:7" x14ac:dyDescent="0.25">
      <c r="A142" s="101" t="str">
        <f>'Data shares'!C138</f>
        <v>M&amp;MFIN</v>
      </c>
      <c r="B142" s="144">
        <f>VLOOKUP($A142,'Data shares'!$C:$FA,7)</f>
        <v>257.5</v>
      </c>
      <c r="C142" s="144">
        <f>VLOOKUP($A142,'Data shares'!$C:$FA,3)</f>
        <v>0</v>
      </c>
      <c r="D142" s="144">
        <f>VLOOKUP($A142,'Data shares'!$C:$FA,23)</f>
        <v>0</v>
      </c>
      <c r="E142" s="145">
        <f>VLOOKUP($A142,'Data shares'!$C:$FA,26)*100</f>
        <v>0</v>
      </c>
      <c r="F142" s="144">
        <f>VLOOKUP($A142,'Data shares'!$C:$FA,24)</f>
        <v>-0.3</v>
      </c>
      <c r="G142" s="144">
        <f>VLOOKUP($A142,'Data shares'!$C:$FA,25)</f>
        <v>0</v>
      </c>
    </row>
    <row r="143" spans="1:7" x14ac:dyDescent="0.25">
      <c r="A143" s="101" t="str">
        <f>'Data shares'!C139</f>
        <v>MANAPPURAM</v>
      </c>
      <c r="B143" s="144">
        <f>VLOOKUP($A143,'Data shares'!$C:$FA,7)</f>
        <v>253.05</v>
      </c>
      <c r="C143" s="144">
        <f>VLOOKUP($A143,'Data shares'!$C:$FA,3)</f>
        <v>254.4</v>
      </c>
      <c r="D143" s="144">
        <f>VLOOKUP($A143,'Data shares'!$C:$FA,23)</f>
        <v>1.35</v>
      </c>
      <c r="E143" s="145">
        <f>VLOOKUP($A143,'Data shares'!$C:$FA,26)*100</f>
        <v>0.53</v>
      </c>
      <c r="F143" s="144">
        <f>VLOOKUP($A143,'Data shares'!$C:$FA,24)</f>
        <v>-0.1</v>
      </c>
      <c r="G143" s="144">
        <f>VLOOKUP($A143,'Data shares'!$C:$FA,25)</f>
        <v>1.45</v>
      </c>
    </row>
    <row r="144" spans="1:7" x14ac:dyDescent="0.25">
      <c r="A144" s="101" t="str">
        <f>'Data shares'!C140</f>
        <v>MANKIND</v>
      </c>
      <c r="B144" s="144">
        <f>VLOOKUP($A144,'Data shares'!$C:$FA,7)</f>
        <v>2567.1999999999998</v>
      </c>
      <c r="C144" s="144">
        <f>VLOOKUP($A144,'Data shares'!$C:$FA,3)</f>
        <v>2567.6</v>
      </c>
      <c r="D144" s="144">
        <f>VLOOKUP($A144,'Data shares'!$C:$FA,23)</f>
        <v>0.4</v>
      </c>
      <c r="E144" s="145">
        <f>VLOOKUP($A144,'Data shares'!$C:$FA,26)*100</f>
        <v>0.02</v>
      </c>
      <c r="F144" s="144">
        <f>VLOOKUP($A144,'Data shares'!$C:$FA,24)</f>
        <v>-4.0999999999999996</v>
      </c>
      <c r="G144" s="144">
        <f>VLOOKUP($A144,'Data shares'!$C:$FA,25)</f>
        <v>4.5</v>
      </c>
    </row>
    <row r="145" spans="1:7" x14ac:dyDescent="0.25">
      <c r="A145" s="101" t="str">
        <f>'Data shares'!C141</f>
        <v>MARICO</v>
      </c>
      <c r="B145" s="144">
        <f>VLOOKUP($A145,'Data shares'!$C:$FA,7)</f>
        <v>709.8</v>
      </c>
      <c r="C145" s="144">
        <f>VLOOKUP($A145,'Data shares'!$C:$FA,3)</f>
        <v>705.25</v>
      </c>
      <c r="D145" s="144">
        <f>VLOOKUP($A145,'Data shares'!$C:$FA,23)</f>
        <v>-4.55</v>
      </c>
      <c r="E145" s="145">
        <f>VLOOKUP($A145,'Data shares'!$C:$FA,26)*100</f>
        <v>-0.64</v>
      </c>
      <c r="F145" s="144">
        <f>VLOOKUP($A145,'Data shares'!$C:$FA,24)</f>
        <v>0.1</v>
      </c>
      <c r="G145" s="144">
        <f>VLOOKUP($A145,'Data shares'!$C:$FA,25)</f>
        <v>-4.6500000000000004</v>
      </c>
    </row>
    <row r="146" spans="1:7" x14ac:dyDescent="0.25">
      <c r="A146" s="101" t="str">
        <f>'Data shares'!C142</f>
        <v>MARUTI</v>
      </c>
      <c r="B146" s="144">
        <f>VLOOKUP($A146,'Data shares'!$C:$FA,7)</f>
        <v>12608</v>
      </c>
      <c r="C146" s="144">
        <f>VLOOKUP($A146,'Data shares'!$C:$FA,3)</f>
        <v>12551</v>
      </c>
      <c r="D146" s="144">
        <f>VLOOKUP($A146,'Data shares'!$C:$FA,23)</f>
        <v>-57</v>
      </c>
      <c r="E146" s="145">
        <f>VLOOKUP($A146,'Data shares'!$C:$FA,26)*100</f>
        <v>-0.44999999999999996</v>
      </c>
      <c r="F146" s="144">
        <f>VLOOKUP($A146,'Data shares'!$C:$FA,24)</f>
        <v>3</v>
      </c>
      <c r="G146" s="144">
        <f>VLOOKUP($A146,'Data shares'!$C:$FA,25)</f>
        <v>-60</v>
      </c>
    </row>
    <row r="147" spans="1:7" x14ac:dyDescent="0.25">
      <c r="A147" s="101" t="str">
        <f>'Data shares'!C143</f>
        <v>MAXHEALTH</v>
      </c>
      <c r="B147" s="144">
        <f>VLOOKUP($A147,'Data shares'!$C:$FA,7)</f>
        <v>1246</v>
      </c>
      <c r="C147" s="144">
        <f>VLOOKUP($A147,'Data shares'!$C:$FA,3)</f>
        <v>1251.5</v>
      </c>
      <c r="D147" s="144">
        <f>VLOOKUP($A147,'Data shares'!$C:$FA,23)</f>
        <v>5.5</v>
      </c>
      <c r="E147" s="145">
        <f>VLOOKUP($A147,'Data shares'!$C:$FA,26)*100</f>
        <v>0.44</v>
      </c>
      <c r="F147" s="144">
        <f>VLOOKUP($A147,'Data shares'!$C:$FA,24)</f>
        <v>-1.3</v>
      </c>
      <c r="G147" s="144">
        <f>VLOOKUP($A147,'Data shares'!$C:$FA,25)</f>
        <v>6.8</v>
      </c>
    </row>
    <row r="148" spans="1:7" x14ac:dyDescent="0.25">
      <c r="A148" s="101" t="str">
        <f>'Data shares'!C144</f>
        <v>MAZDOCK</v>
      </c>
      <c r="B148" s="144">
        <f>VLOOKUP($A148,'Data shares'!$C:$FA,7)</f>
        <v>2771.2</v>
      </c>
      <c r="C148" s="144">
        <f>VLOOKUP($A148,'Data shares'!$C:$FA,3)</f>
        <v>2779</v>
      </c>
      <c r="D148" s="144">
        <f>VLOOKUP($A148,'Data shares'!$C:$FA,23)</f>
        <v>7.8</v>
      </c>
      <c r="E148" s="145">
        <f>VLOOKUP($A148,'Data shares'!$C:$FA,26)*100</f>
        <v>0.27999999999999997</v>
      </c>
      <c r="F148" s="144">
        <f>VLOOKUP($A148,'Data shares'!$C:$FA,24)</f>
        <v>0.3</v>
      </c>
      <c r="G148" s="144">
        <f>VLOOKUP($A148,'Data shares'!$C:$FA,25)</f>
        <v>7.5</v>
      </c>
    </row>
    <row r="149" spans="1:7" x14ac:dyDescent="0.25">
      <c r="A149" s="101" t="str">
        <f>'Data shares'!C145</f>
        <v>MCX</v>
      </c>
      <c r="B149" s="144">
        <f>VLOOKUP($A149,'Data shares'!$C:$FA,7)</f>
        <v>7693</v>
      </c>
      <c r="C149" s="144">
        <f>VLOOKUP($A149,'Data shares'!$C:$FA,3)</f>
        <v>7697.5</v>
      </c>
      <c r="D149" s="144">
        <f>VLOOKUP($A149,'Data shares'!$C:$FA,23)</f>
        <v>4.5</v>
      </c>
      <c r="E149" s="145">
        <f>VLOOKUP($A149,'Data shares'!$C:$FA,26)*100</f>
        <v>0.06</v>
      </c>
      <c r="F149" s="144">
        <f>VLOOKUP($A149,'Data shares'!$C:$FA,24)</f>
        <v>-4</v>
      </c>
      <c r="G149" s="144">
        <f>VLOOKUP($A149,'Data shares'!$C:$FA,25)</f>
        <v>8.5</v>
      </c>
    </row>
    <row r="150" spans="1:7" x14ac:dyDescent="0.25">
      <c r="A150" s="101" t="str">
        <f>'Data shares'!C146</f>
        <v>MFSL</v>
      </c>
      <c r="B150" s="144">
        <f>VLOOKUP($A150,'Data shares'!$C:$FA,7)</f>
        <v>1501.4</v>
      </c>
      <c r="C150" s="144">
        <f>VLOOKUP($A150,'Data shares'!$C:$FA,3)</f>
        <v>1507</v>
      </c>
      <c r="D150" s="144">
        <f>VLOOKUP($A150,'Data shares'!$C:$FA,23)</f>
        <v>5.6</v>
      </c>
      <c r="E150" s="145">
        <f>VLOOKUP($A150,'Data shares'!$C:$FA,26)*100</f>
        <v>0.37</v>
      </c>
      <c r="F150" s="144">
        <f>VLOOKUP($A150,'Data shares'!$C:$FA,24)</f>
        <v>-1.7</v>
      </c>
      <c r="G150" s="144">
        <f>VLOOKUP($A150,'Data shares'!$C:$FA,25)</f>
        <v>7.3</v>
      </c>
    </row>
    <row r="151" spans="1:7" x14ac:dyDescent="0.25">
      <c r="A151" s="101" t="str">
        <f>'Data shares'!C147</f>
        <v>MGL</v>
      </c>
      <c r="B151" s="144">
        <f>VLOOKUP($A151,'Data shares'!$C:$FA,7)</f>
        <v>1358.1</v>
      </c>
      <c r="C151" s="144">
        <f>VLOOKUP($A151,'Data shares'!$C:$FA,3)</f>
        <v>0</v>
      </c>
      <c r="D151" s="144">
        <f>VLOOKUP($A151,'Data shares'!$C:$FA,23)</f>
        <v>0</v>
      </c>
      <c r="E151" s="145">
        <f>VLOOKUP($A151,'Data shares'!$C:$FA,26)*100</f>
        <v>0</v>
      </c>
      <c r="F151" s="144">
        <f>VLOOKUP($A151,'Data shares'!$C:$FA,24)</f>
        <v>4.5999999999999996</v>
      </c>
      <c r="G151" s="144">
        <f>VLOOKUP($A151,'Data shares'!$C:$FA,25)</f>
        <v>0</v>
      </c>
    </row>
    <row r="152" spans="1:7" x14ac:dyDescent="0.25">
      <c r="A152" s="101" t="str">
        <f>'Data shares'!C148</f>
        <v>MIDCPNIFTY</v>
      </c>
      <c r="B152" s="144">
        <f>VLOOKUP($A152,'Data shares'!$C:$FA,7)</f>
        <v>12867.1</v>
      </c>
      <c r="C152" s="144">
        <f>VLOOKUP($A152,'Data shares'!$C:$FA,3)</f>
        <v>12920.65</v>
      </c>
      <c r="D152" s="144">
        <f>VLOOKUP($A152,'Data shares'!$C:$FA,23)</f>
        <v>53.55</v>
      </c>
      <c r="E152" s="145">
        <f>VLOOKUP($A152,'Data shares'!$C:$FA,26)*100</f>
        <v>0.42</v>
      </c>
      <c r="F152" s="144">
        <f>VLOOKUP($A152,'Data shares'!$C:$FA,24)</f>
        <v>15.35</v>
      </c>
      <c r="G152" s="144">
        <f>VLOOKUP($A152,'Data shares'!$C:$FA,25)</f>
        <v>38.200000000000003</v>
      </c>
    </row>
    <row r="153" spans="1:7" x14ac:dyDescent="0.25">
      <c r="A153" s="101" t="str">
        <f>'Data shares'!C149</f>
        <v>MOTHERSON</v>
      </c>
      <c r="B153" s="144">
        <f>VLOOKUP($A153,'Data shares'!$C:$FA,7)</f>
        <v>97.17</v>
      </c>
      <c r="C153" s="144">
        <f>VLOOKUP($A153,'Data shares'!$C:$FA,3)</f>
        <v>97.68</v>
      </c>
      <c r="D153" s="144">
        <f>VLOOKUP($A153,'Data shares'!$C:$FA,23)</f>
        <v>0.51</v>
      </c>
      <c r="E153" s="145">
        <f>VLOOKUP($A153,'Data shares'!$C:$FA,26)*100</f>
        <v>0.52</v>
      </c>
      <c r="F153" s="144">
        <f>VLOOKUP($A153,'Data shares'!$C:$FA,24)</f>
        <v>-0.11</v>
      </c>
      <c r="G153" s="144">
        <f>VLOOKUP($A153,'Data shares'!$C:$FA,25)</f>
        <v>0.62</v>
      </c>
    </row>
    <row r="154" spans="1:7" x14ac:dyDescent="0.25">
      <c r="A154" s="101" t="str">
        <f>'Data shares'!C150</f>
        <v>MPHASIS</v>
      </c>
      <c r="B154" s="144">
        <f>VLOOKUP($A154,'Data shares'!$C:$FA,7)</f>
        <v>2790.2</v>
      </c>
      <c r="C154" s="144">
        <f>VLOOKUP($A154,'Data shares'!$C:$FA,3)</f>
        <v>2799</v>
      </c>
      <c r="D154" s="144">
        <f>VLOOKUP($A154,'Data shares'!$C:$FA,23)</f>
        <v>8.8000000000000007</v>
      </c>
      <c r="E154" s="145">
        <f>VLOOKUP($A154,'Data shares'!$C:$FA,26)*100</f>
        <v>0.32</v>
      </c>
      <c r="F154" s="144">
        <f>VLOOKUP($A154,'Data shares'!$C:$FA,24)</f>
        <v>-0.3</v>
      </c>
      <c r="G154" s="144">
        <f>VLOOKUP($A154,'Data shares'!$C:$FA,25)</f>
        <v>9.1</v>
      </c>
    </row>
    <row r="155" spans="1:7" x14ac:dyDescent="0.25">
      <c r="A155" s="101" t="str">
        <f>'Data shares'!C151</f>
        <v>MUTHOOTFIN</v>
      </c>
      <c r="B155" s="144">
        <f>VLOOKUP($A155,'Data shares'!$C:$FA,7)</f>
        <v>2612.3000000000002</v>
      </c>
      <c r="C155" s="144">
        <f>VLOOKUP($A155,'Data shares'!$C:$FA,3)</f>
        <v>2620</v>
      </c>
      <c r="D155" s="144">
        <f>VLOOKUP($A155,'Data shares'!$C:$FA,23)</f>
        <v>7.7</v>
      </c>
      <c r="E155" s="145">
        <f>VLOOKUP($A155,'Data shares'!$C:$FA,26)*100</f>
        <v>0.28999999999999998</v>
      </c>
      <c r="F155" s="144">
        <f>VLOOKUP($A155,'Data shares'!$C:$FA,24)</f>
        <v>-12.5</v>
      </c>
      <c r="G155" s="144">
        <f>VLOOKUP($A155,'Data shares'!$C:$FA,25)</f>
        <v>20.2</v>
      </c>
    </row>
    <row r="156" spans="1:7" x14ac:dyDescent="0.25">
      <c r="A156" s="101" t="str">
        <f>'Data shares'!C152</f>
        <v>NATIONALUM</v>
      </c>
      <c r="B156" s="144">
        <f>VLOOKUP($A156,'Data shares'!$C:$FA,7)</f>
        <v>185.06</v>
      </c>
      <c r="C156" s="144">
        <f>VLOOKUP($A156,'Data shares'!$C:$FA,3)</f>
        <v>185.9</v>
      </c>
      <c r="D156" s="144">
        <f>VLOOKUP($A156,'Data shares'!$C:$FA,23)</f>
        <v>0.84</v>
      </c>
      <c r="E156" s="145">
        <f>VLOOKUP($A156,'Data shares'!$C:$FA,26)*100</f>
        <v>0.44999999999999996</v>
      </c>
      <c r="F156" s="144">
        <f>VLOOKUP($A156,'Data shares'!$C:$FA,24)</f>
        <v>-0.19</v>
      </c>
      <c r="G156" s="144">
        <f>VLOOKUP($A156,'Data shares'!$C:$FA,25)</f>
        <v>1.03</v>
      </c>
    </row>
    <row r="157" spans="1:7" x14ac:dyDescent="0.25">
      <c r="A157" s="101" t="str">
        <f>'Data shares'!C153</f>
        <v>NAUKRI</v>
      </c>
      <c r="B157" s="144">
        <f>VLOOKUP($A157,'Data shares'!$C:$FA,7)</f>
        <v>1392.3</v>
      </c>
      <c r="C157" s="144">
        <f>VLOOKUP($A157,'Data shares'!$C:$FA,3)</f>
        <v>1399.1</v>
      </c>
      <c r="D157" s="144">
        <f>VLOOKUP($A157,'Data shares'!$C:$FA,23)</f>
        <v>6.8</v>
      </c>
      <c r="E157" s="145">
        <f>VLOOKUP($A157,'Data shares'!$C:$FA,26)*100</f>
        <v>0.49</v>
      </c>
      <c r="F157" s="144">
        <f>VLOOKUP($A157,'Data shares'!$C:$FA,24)</f>
        <v>1.4</v>
      </c>
      <c r="G157" s="144">
        <f>VLOOKUP($A157,'Data shares'!$C:$FA,25)</f>
        <v>5.4</v>
      </c>
    </row>
    <row r="158" spans="1:7" x14ac:dyDescent="0.25">
      <c r="A158" s="101" t="str">
        <f>'Data shares'!C154</f>
        <v>NBCC</v>
      </c>
      <c r="B158" s="144">
        <f>VLOOKUP($A158,'Data shares'!$C:$FA,7)</f>
        <v>108.18</v>
      </c>
      <c r="C158" s="144">
        <f>VLOOKUP($A158,'Data shares'!$C:$FA,3)</f>
        <v>108.67</v>
      </c>
      <c r="D158" s="144">
        <f>VLOOKUP($A158,'Data shares'!$C:$FA,23)</f>
        <v>0.49</v>
      </c>
      <c r="E158" s="145">
        <f>VLOOKUP($A158,'Data shares'!$C:$FA,26)*100</f>
        <v>0.44999999999999996</v>
      </c>
      <c r="F158" s="144">
        <f>VLOOKUP($A158,'Data shares'!$C:$FA,24)</f>
        <v>0.16</v>
      </c>
      <c r="G158" s="144">
        <f>VLOOKUP($A158,'Data shares'!$C:$FA,25)</f>
        <v>0.33</v>
      </c>
    </row>
    <row r="159" spans="1:7" x14ac:dyDescent="0.25">
      <c r="A159" s="101" t="str">
        <f>'Data shares'!C155</f>
        <v>NCC</v>
      </c>
      <c r="B159" s="144">
        <f>VLOOKUP($A159,'Data shares'!$C:$FA,7)</f>
        <v>217.71</v>
      </c>
      <c r="C159" s="144">
        <f>VLOOKUP($A159,'Data shares'!$C:$FA,3)</f>
        <v>217.26</v>
      </c>
      <c r="D159" s="144">
        <f>VLOOKUP($A159,'Data shares'!$C:$FA,23)</f>
        <v>-0.45</v>
      </c>
      <c r="E159" s="145">
        <f>VLOOKUP($A159,'Data shares'!$C:$FA,26)*100</f>
        <v>-0.21</v>
      </c>
      <c r="F159" s="144">
        <f>VLOOKUP($A159,'Data shares'!$C:$FA,24)</f>
        <v>0.39</v>
      </c>
      <c r="G159" s="144">
        <f>VLOOKUP($A159,'Data shares'!$C:$FA,25)</f>
        <v>-0.84</v>
      </c>
    </row>
    <row r="160" spans="1:7" x14ac:dyDescent="0.25">
      <c r="A160" s="101" t="str">
        <f>'Data shares'!C156</f>
        <v>NESTLEIND</v>
      </c>
      <c r="B160" s="144">
        <f>VLOOKUP($A160,'Data shares'!$C:$FA,7)</f>
        <v>2247.6999999999998</v>
      </c>
      <c r="C160" s="144">
        <f>VLOOKUP($A160,'Data shares'!$C:$FA,3)</f>
        <v>2257.8000000000002</v>
      </c>
      <c r="D160" s="144">
        <f>VLOOKUP($A160,'Data shares'!$C:$FA,23)</f>
        <v>10.1</v>
      </c>
      <c r="E160" s="145">
        <f>VLOOKUP($A160,'Data shares'!$C:$FA,26)*100</f>
        <v>0.44999999999999996</v>
      </c>
      <c r="F160" s="144">
        <f>VLOOKUP($A160,'Data shares'!$C:$FA,24)</f>
        <v>2</v>
      </c>
      <c r="G160" s="144">
        <f>VLOOKUP($A160,'Data shares'!$C:$FA,25)</f>
        <v>8.1</v>
      </c>
    </row>
    <row r="161" spans="1:7" x14ac:dyDescent="0.25">
      <c r="A161" s="101" t="str">
        <f>'Data shares'!C157</f>
        <v>NHPC</v>
      </c>
      <c r="B161" s="144">
        <f>VLOOKUP($A161,'Data shares'!$C:$FA,7)</f>
        <v>83.25</v>
      </c>
      <c r="C161" s="144">
        <f>VLOOKUP($A161,'Data shares'!$C:$FA,3)</f>
        <v>83.24</v>
      </c>
      <c r="D161" s="144">
        <f>VLOOKUP($A161,'Data shares'!$C:$FA,23)</f>
        <v>-0.01</v>
      </c>
      <c r="E161" s="145">
        <f>VLOOKUP($A161,'Data shares'!$C:$FA,26)*100</f>
        <v>-0.01</v>
      </c>
      <c r="F161" s="144">
        <f>VLOOKUP($A161,'Data shares'!$C:$FA,24)</f>
        <v>0.05</v>
      </c>
      <c r="G161" s="144">
        <f>VLOOKUP($A161,'Data shares'!$C:$FA,25)</f>
        <v>-0.06</v>
      </c>
    </row>
    <row r="162" spans="1:7" x14ac:dyDescent="0.25">
      <c r="A162" s="101" t="str">
        <f>'Data shares'!C158</f>
        <v>NIFTY</v>
      </c>
      <c r="B162" s="144">
        <f>VLOOKUP($A162,'Data shares'!$C:$FA,7)</f>
        <v>24768.35</v>
      </c>
      <c r="C162" s="144">
        <f>VLOOKUP($A162,'Data shares'!$C:$FA,3)</f>
        <v>24871.599999999999</v>
      </c>
      <c r="D162" s="144">
        <f>VLOOKUP($A162,'Data shares'!$C:$FA,23)</f>
        <v>103.25</v>
      </c>
      <c r="E162" s="145">
        <f>VLOOKUP($A162,'Data shares'!$C:$FA,26)*100</f>
        <v>0.42</v>
      </c>
      <c r="F162" s="144">
        <f>VLOOKUP($A162,'Data shares'!$C:$FA,24)</f>
        <v>14.25</v>
      </c>
      <c r="G162" s="144">
        <f>VLOOKUP($A162,'Data shares'!$C:$FA,25)</f>
        <v>89</v>
      </c>
    </row>
    <row r="163" spans="1:7" x14ac:dyDescent="0.25">
      <c r="A163" s="101" t="str">
        <f>'Data shares'!C159</f>
        <v>NIFTYNXT50</v>
      </c>
      <c r="B163" s="144">
        <f>VLOOKUP($A163,'Data shares'!$C:$FA,7)</f>
        <v>67096.149999999994</v>
      </c>
      <c r="C163" s="144">
        <f>VLOOKUP($A163,'Data shares'!$C:$FA,3)</f>
        <v>67228.2</v>
      </c>
      <c r="D163" s="144">
        <f>VLOOKUP($A163,'Data shares'!$C:$FA,23)</f>
        <v>132.05000000000001</v>
      </c>
      <c r="E163" s="145">
        <f>VLOOKUP($A163,'Data shares'!$C:$FA,26)*100</f>
        <v>0.2</v>
      </c>
      <c r="F163" s="144">
        <f>VLOOKUP($A163,'Data shares'!$C:$FA,24)</f>
        <v>-28.95</v>
      </c>
      <c r="G163" s="144">
        <f>VLOOKUP($A163,'Data shares'!$C:$FA,25)</f>
        <v>161</v>
      </c>
    </row>
    <row r="164" spans="1:7" x14ac:dyDescent="0.25">
      <c r="A164" s="101" t="str">
        <f>'Data shares'!C160</f>
        <v>NMDC</v>
      </c>
      <c r="B164" s="144">
        <f>VLOOKUP($A164,'Data shares'!$C:$FA,7)</f>
        <v>70.790000000000006</v>
      </c>
      <c r="C164" s="144">
        <f>VLOOKUP($A164,'Data shares'!$C:$FA,3)</f>
        <v>70.040000000000006</v>
      </c>
      <c r="D164" s="144">
        <f>VLOOKUP($A164,'Data shares'!$C:$FA,23)</f>
        <v>-0.75</v>
      </c>
      <c r="E164" s="145">
        <f>VLOOKUP($A164,'Data shares'!$C:$FA,26)*100</f>
        <v>-1.06</v>
      </c>
      <c r="F164" s="144">
        <f>VLOOKUP($A164,'Data shares'!$C:$FA,24)</f>
        <v>-0.03</v>
      </c>
      <c r="G164" s="144">
        <f>VLOOKUP($A164,'Data shares'!$C:$FA,25)</f>
        <v>-0.72</v>
      </c>
    </row>
    <row r="165" spans="1:7" x14ac:dyDescent="0.25">
      <c r="A165" s="101" t="str">
        <f>'Data shares'!C161</f>
        <v>NTPC</v>
      </c>
      <c r="B165" s="144">
        <f>VLOOKUP($A165,'Data shares'!$C:$FA,7)</f>
        <v>334.25</v>
      </c>
      <c r="C165" s="144">
        <f>VLOOKUP($A165,'Data shares'!$C:$FA,3)</f>
        <v>335.8</v>
      </c>
      <c r="D165" s="144">
        <f>VLOOKUP($A165,'Data shares'!$C:$FA,23)</f>
        <v>1.55</v>
      </c>
      <c r="E165" s="145">
        <f>VLOOKUP($A165,'Data shares'!$C:$FA,26)*100</f>
        <v>0.45999999999999996</v>
      </c>
      <c r="F165" s="144">
        <f>VLOOKUP($A165,'Data shares'!$C:$FA,24)</f>
        <v>0.15</v>
      </c>
      <c r="G165" s="144">
        <f>VLOOKUP($A165,'Data shares'!$C:$FA,25)</f>
        <v>1.4</v>
      </c>
    </row>
    <row r="166" spans="1:7" x14ac:dyDescent="0.25">
      <c r="A166" s="101" t="str">
        <f>'Data shares'!C162</f>
        <v>NYKAA</v>
      </c>
      <c r="B166" s="144">
        <f>VLOOKUP($A166,'Data shares'!$C:$FA,7)</f>
        <v>209.62</v>
      </c>
      <c r="C166" s="144">
        <f>VLOOKUP($A166,'Data shares'!$C:$FA,3)</f>
        <v>210.38</v>
      </c>
      <c r="D166" s="144">
        <f>VLOOKUP($A166,'Data shares'!$C:$FA,23)</f>
        <v>0.76</v>
      </c>
      <c r="E166" s="145">
        <f>VLOOKUP($A166,'Data shares'!$C:$FA,26)*100</f>
        <v>0.36</v>
      </c>
      <c r="F166" s="144">
        <f>VLOOKUP($A166,'Data shares'!$C:$FA,24)</f>
        <v>0.41</v>
      </c>
      <c r="G166" s="144">
        <f>VLOOKUP($A166,'Data shares'!$C:$FA,25)</f>
        <v>0.35</v>
      </c>
    </row>
    <row r="167" spans="1:7" x14ac:dyDescent="0.25">
      <c r="A167" s="101" t="str">
        <f>'Data shares'!C163</f>
        <v>OBEROIRLTY</v>
      </c>
      <c r="B167" s="144">
        <f>VLOOKUP($A167,'Data shares'!$C:$FA,7)</f>
        <v>1630.1</v>
      </c>
      <c r="C167" s="144">
        <f>VLOOKUP($A167,'Data shares'!$C:$FA,3)</f>
        <v>1639.4</v>
      </c>
      <c r="D167" s="144">
        <f>VLOOKUP($A167,'Data shares'!$C:$FA,23)</f>
        <v>9.3000000000000007</v>
      </c>
      <c r="E167" s="145">
        <f>VLOOKUP($A167,'Data shares'!$C:$FA,26)*100</f>
        <v>0.57000000000000006</v>
      </c>
      <c r="F167" s="144">
        <f>VLOOKUP($A167,'Data shares'!$C:$FA,24)</f>
        <v>1.1000000000000001</v>
      </c>
      <c r="G167" s="144">
        <f>VLOOKUP($A167,'Data shares'!$C:$FA,25)</f>
        <v>8.1999999999999993</v>
      </c>
    </row>
    <row r="168" spans="1:7" s="175" customFormat="1" x14ac:dyDescent="0.25">
      <c r="A168" s="101" t="str">
        <f>'Data shares'!C164</f>
        <v>OFSS</v>
      </c>
      <c r="B168" s="144">
        <f>VLOOKUP($A168,'Data shares'!$C:$FA,7)</f>
        <v>8475</v>
      </c>
      <c r="C168" s="144">
        <f>VLOOKUP($A168,'Data shares'!$C:$FA,3)</f>
        <v>8507.5</v>
      </c>
      <c r="D168" s="144">
        <f>VLOOKUP($A168,'Data shares'!$C:$FA,23)</f>
        <v>32.5</v>
      </c>
      <c r="E168" s="145">
        <f>VLOOKUP($A168,'Data shares'!$C:$FA,26)*100</f>
        <v>0.38</v>
      </c>
      <c r="F168" s="144">
        <f>VLOOKUP($A168,'Data shares'!$C:$FA,24)</f>
        <v>-6.5</v>
      </c>
      <c r="G168" s="144">
        <f>VLOOKUP($A168,'Data shares'!$C:$FA,25)</f>
        <v>39</v>
      </c>
    </row>
    <row r="169" spans="1:7" x14ac:dyDescent="0.25">
      <c r="A169" s="101" t="str">
        <f>'Data shares'!C165</f>
        <v>OIL</v>
      </c>
      <c r="B169" s="144">
        <f>VLOOKUP($A169,'Data shares'!$C:$FA,7)</f>
        <v>440</v>
      </c>
      <c r="C169" s="144">
        <f>VLOOKUP($A169,'Data shares'!$C:$FA,3)</f>
        <v>440.8</v>
      </c>
      <c r="D169" s="144">
        <f>VLOOKUP($A169,'Data shares'!$C:$FA,23)</f>
        <v>0.8</v>
      </c>
      <c r="E169" s="145">
        <f>VLOOKUP($A169,'Data shares'!$C:$FA,26)*100</f>
        <v>0.18</v>
      </c>
      <c r="F169" s="144">
        <f>VLOOKUP($A169,'Data shares'!$C:$FA,24)</f>
        <v>0.4</v>
      </c>
      <c r="G169" s="144">
        <f>VLOOKUP($A169,'Data shares'!$C:$FA,25)</f>
        <v>0.4</v>
      </c>
    </row>
    <row r="170" spans="1:7" x14ac:dyDescent="0.25">
      <c r="A170" s="101" t="str">
        <f>'Data shares'!C166</f>
        <v>ONGC</v>
      </c>
      <c r="B170" s="144">
        <f>VLOOKUP($A170,'Data shares'!$C:$FA,7)</f>
        <v>241</v>
      </c>
      <c r="C170" s="144">
        <f>VLOOKUP($A170,'Data shares'!$C:$FA,3)</f>
        <v>240.99</v>
      </c>
      <c r="D170" s="144">
        <f>VLOOKUP($A170,'Data shares'!$C:$FA,23)</f>
        <v>-0.01</v>
      </c>
      <c r="E170" s="145">
        <f>VLOOKUP($A170,'Data shares'!$C:$FA,26)*100</f>
        <v>0</v>
      </c>
      <c r="F170" s="144">
        <f>VLOOKUP($A170,'Data shares'!$C:$FA,24)</f>
        <v>0.13</v>
      </c>
      <c r="G170" s="144">
        <f>VLOOKUP($A170,'Data shares'!$C:$FA,25)</f>
        <v>-0.14000000000000001</v>
      </c>
    </row>
    <row r="171" spans="1:7" x14ac:dyDescent="0.25">
      <c r="A171" s="101" t="str">
        <f>'Data shares'!C167</f>
        <v>PAGEIND</v>
      </c>
      <c r="B171" s="144">
        <f>VLOOKUP($A171,'Data shares'!$C:$FA,7)</f>
        <v>48805</v>
      </c>
      <c r="C171" s="144">
        <f>VLOOKUP($A171,'Data shares'!$C:$FA,3)</f>
        <v>46140</v>
      </c>
      <c r="D171" s="144">
        <f>VLOOKUP($A171,'Data shares'!$C:$FA,23)</f>
        <v>-2665</v>
      </c>
      <c r="E171" s="145">
        <f>VLOOKUP($A171,'Data shares'!$C:$FA,26)*100</f>
        <v>-5.46</v>
      </c>
      <c r="F171" s="144">
        <f>VLOOKUP($A171,'Data shares'!$C:$FA,24)</f>
        <v>135</v>
      </c>
      <c r="G171" s="144">
        <f>VLOOKUP($A171,'Data shares'!$C:$FA,25)</f>
        <v>-2800</v>
      </c>
    </row>
    <row r="172" spans="1:7" x14ac:dyDescent="0.25">
      <c r="A172" s="101" t="str">
        <f>'Data shares'!C168</f>
        <v>PATANJALI</v>
      </c>
      <c r="B172" s="144">
        <f>VLOOKUP($A172,'Data shares'!$C:$FA,7)</f>
        <v>1873.7</v>
      </c>
      <c r="C172" s="144">
        <f>VLOOKUP($A172,'Data shares'!$C:$FA,3)</f>
        <v>1881.1</v>
      </c>
      <c r="D172" s="144">
        <f>VLOOKUP($A172,'Data shares'!$C:$FA,23)</f>
        <v>7.4</v>
      </c>
      <c r="E172" s="145">
        <f>VLOOKUP($A172,'Data shares'!$C:$FA,26)*100</f>
        <v>0.38999999999999996</v>
      </c>
      <c r="F172" s="144">
        <f>VLOOKUP($A172,'Data shares'!$C:$FA,24)</f>
        <v>-1.5</v>
      </c>
      <c r="G172" s="144">
        <f>VLOOKUP($A172,'Data shares'!$C:$FA,25)</f>
        <v>8.9</v>
      </c>
    </row>
    <row r="173" spans="1:7" x14ac:dyDescent="0.25">
      <c r="A173" s="101" t="str">
        <f>'Data shares'!C169</f>
        <v>PAYTM</v>
      </c>
      <c r="B173" s="144">
        <f>VLOOKUP($A173,'Data shares'!$C:$FA,7)</f>
        <v>1089.3499999999999</v>
      </c>
      <c r="C173" s="144">
        <f>VLOOKUP($A173,'Data shares'!$C:$FA,3)</f>
        <v>1093.0999999999999</v>
      </c>
      <c r="D173" s="144">
        <f>VLOOKUP($A173,'Data shares'!$C:$FA,23)</f>
        <v>3.75</v>
      </c>
      <c r="E173" s="145">
        <f>VLOOKUP($A173,'Data shares'!$C:$FA,26)*100</f>
        <v>0.33999999999999997</v>
      </c>
      <c r="F173" s="144">
        <f>VLOOKUP($A173,'Data shares'!$C:$FA,24)</f>
        <v>-0.7</v>
      </c>
      <c r="G173" s="144">
        <f>VLOOKUP($A173,'Data shares'!$C:$FA,25)</f>
        <v>4.45</v>
      </c>
    </row>
    <row r="174" spans="1:7" x14ac:dyDescent="0.25">
      <c r="A174" s="101" t="str">
        <f>'Data shares'!C170</f>
        <v>PEL</v>
      </c>
      <c r="B174" s="144">
        <f>VLOOKUP($A174,'Data shares'!$C:$FA,7)</f>
        <v>1251.8</v>
      </c>
      <c r="C174" s="144">
        <f>VLOOKUP($A174,'Data shares'!$C:$FA,3)</f>
        <v>0</v>
      </c>
      <c r="D174" s="144">
        <f>VLOOKUP($A174,'Data shares'!$C:$FA,23)</f>
        <v>0</v>
      </c>
      <c r="E174" s="145">
        <f>VLOOKUP($A174,'Data shares'!$C:$FA,26)*100</f>
        <v>0</v>
      </c>
      <c r="F174" s="144">
        <f>VLOOKUP($A174,'Data shares'!$C:$FA,24)</f>
        <v>0</v>
      </c>
      <c r="G174" s="144">
        <f>VLOOKUP($A174,'Data shares'!$C:$FA,25)</f>
        <v>0</v>
      </c>
    </row>
    <row r="175" spans="1:7" x14ac:dyDescent="0.25">
      <c r="A175" s="101" t="str">
        <f>'Data shares'!C171</f>
        <v>PERSISTENT</v>
      </c>
      <c r="B175" s="144">
        <f>VLOOKUP($A175,'Data shares'!$C:$FA,7)</f>
        <v>5160.5</v>
      </c>
      <c r="C175" s="144">
        <f>VLOOKUP($A175,'Data shares'!$C:$FA,3)</f>
        <v>5177.5</v>
      </c>
      <c r="D175" s="144">
        <f>VLOOKUP($A175,'Data shares'!$C:$FA,23)</f>
        <v>17</v>
      </c>
      <c r="E175" s="145">
        <f>VLOOKUP($A175,'Data shares'!$C:$FA,26)*100</f>
        <v>0.33</v>
      </c>
      <c r="F175" s="144">
        <f>VLOOKUP($A175,'Data shares'!$C:$FA,24)</f>
        <v>0</v>
      </c>
      <c r="G175" s="144">
        <f>VLOOKUP($A175,'Data shares'!$C:$FA,25)</f>
        <v>17</v>
      </c>
    </row>
    <row r="176" spans="1:7" x14ac:dyDescent="0.25">
      <c r="A176" s="101" t="str">
        <f>'Data shares'!C172</f>
        <v>PETRONET</v>
      </c>
      <c r="B176" s="144">
        <f>VLOOKUP($A176,'Data shares'!$C:$FA,7)</f>
        <v>288.2</v>
      </c>
      <c r="C176" s="144">
        <f>VLOOKUP($A176,'Data shares'!$C:$FA,3)</f>
        <v>289.8</v>
      </c>
      <c r="D176" s="144">
        <f>VLOOKUP($A176,'Data shares'!$C:$FA,23)</f>
        <v>1.6</v>
      </c>
      <c r="E176" s="145">
        <f>VLOOKUP($A176,'Data shares'!$C:$FA,26)*100</f>
        <v>0.55999999999999994</v>
      </c>
      <c r="F176" s="144">
        <f>VLOOKUP($A176,'Data shares'!$C:$FA,24)</f>
        <v>0.3</v>
      </c>
      <c r="G176" s="144">
        <f>VLOOKUP($A176,'Data shares'!$C:$FA,25)</f>
        <v>1.3</v>
      </c>
    </row>
    <row r="177" spans="1:7" x14ac:dyDescent="0.25">
      <c r="A177" s="101" t="str">
        <f>'Data shares'!C173</f>
        <v>PFC</v>
      </c>
      <c r="B177" s="144">
        <f>VLOOKUP($A177,'Data shares'!$C:$FA,7)</f>
        <v>409.95</v>
      </c>
      <c r="C177" s="144">
        <f>VLOOKUP($A177,'Data shares'!$C:$FA,3)</f>
        <v>408.95</v>
      </c>
      <c r="D177" s="144">
        <f>VLOOKUP($A177,'Data shares'!$C:$FA,23)</f>
        <v>-1</v>
      </c>
      <c r="E177" s="145">
        <f>VLOOKUP($A177,'Data shares'!$C:$FA,26)*100</f>
        <v>-0.24</v>
      </c>
      <c r="F177" s="144">
        <f>VLOOKUP($A177,'Data shares'!$C:$FA,24)</f>
        <v>-0.7</v>
      </c>
      <c r="G177" s="144">
        <f>VLOOKUP($A177,'Data shares'!$C:$FA,25)</f>
        <v>-0.3</v>
      </c>
    </row>
    <row r="178" spans="1:7" x14ac:dyDescent="0.25">
      <c r="A178" s="101" t="str">
        <f>'Data shares'!C174</f>
        <v>PGEL</v>
      </c>
      <c r="B178" s="144">
        <f>VLOOKUP($A178,'Data shares'!$C:$FA,7)</f>
        <v>811.65</v>
      </c>
      <c r="C178" s="144">
        <f>VLOOKUP($A178,'Data shares'!$C:$FA,3)</f>
        <v>817.6</v>
      </c>
      <c r="D178" s="144">
        <f>VLOOKUP($A178,'Data shares'!$C:$FA,23)</f>
        <v>5.95</v>
      </c>
      <c r="E178" s="145">
        <f>VLOOKUP($A178,'Data shares'!$C:$FA,26)*100</f>
        <v>0.73</v>
      </c>
      <c r="F178" s="144">
        <f>VLOOKUP($A178,'Data shares'!$C:$FA,24)</f>
        <v>0.7</v>
      </c>
      <c r="G178" s="144">
        <f>VLOOKUP($A178,'Data shares'!$C:$FA,25)</f>
        <v>5.25</v>
      </c>
    </row>
    <row r="179" spans="1:7" x14ac:dyDescent="0.25">
      <c r="A179" s="101" t="str">
        <f>'Data shares'!C175</f>
        <v>PHOENIXLTD</v>
      </c>
      <c r="B179" s="144">
        <f>VLOOKUP($A179,'Data shares'!$C:$FA,7)</f>
        <v>1484</v>
      </c>
      <c r="C179" s="144">
        <f>VLOOKUP($A179,'Data shares'!$C:$FA,3)</f>
        <v>1490.9</v>
      </c>
      <c r="D179" s="144">
        <f>VLOOKUP($A179,'Data shares'!$C:$FA,23)</f>
        <v>6.9</v>
      </c>
      <c r="E179" s="145">
        <f>VLOOKUP($A179,'Data shares'!$C:$FA,26)*100</f>
        <v>0.45999999999999996</v>
      </c>
      <c r="F179" s="144">
        <f>VLOOKUP($A179,'Data shares'!$C:$FA,24)</f>
        <v>-0.4</v>
      </c>
      <c r="G179" s="144">
        <f>VLOOKUP($A179,'Data shares'!$C:$FA,25)</f>
        <v>7.3</v>
      </c>
    </row>
    <row r="180" spans="1:7" x14ac:dyDescent="0.25">
      <c r="A180" s="101" t="str">
        <f>'Data shares'!C176</f>
        <v>PIDILITIND</v>
      </c>
      <c r="B180" s="144">
        <f>VLOOKUP($A180,'Data shares'!$C:$FA,7)</f>
        <v>2869.8</v>
      </c>
      <c r="C180" s="144">
        <f>VLOOKUP($A180,'Data shares'!$C:$FA,3)</f>
        <v>2885.6</v>
      </c>
      <c r="D180" s="144">
        <f>VLOOKUP($A180,'Data shares'!$C:$FA,23)</f>
        <v>15.8</v>
      </c>
      <c r="E180" s="145">
        <f>VLOOKUP($A180,'Data shares'!$C:$FA,26)*100</f>
        <v>0.54999999999999993</v>
      </c>
      <c r="F180" s="144">
        <f>VLOOKUP($A180,'Data shares'!$C:$FA,24)</f>
        <v>-4</v>
      </c>
      <c r="G180" s="144">
        <f>VLOOKUP($A180,'Data shares'!$C:$FA,25)</f>
        <v>19.8</v>
      </c>
    </row>
    <row r="181" spans="1:7" x14ac:dyDescent="0.25">
      <c r="A181" s="101" t="str">
        <f>'Data shares'!C177</f>
        <v>PIIND</v>
      </c>
      <c r="B181" s="144">
        <f>VLOOKUP($A181,'Data shares'!$C:$FA,7)</f>
        <v>4250.8999999999996</v>
      </c>
      <c r="C181" s="144">
        <f>VLOOKUP($A181,'Data shares'!$C:$FA,3)</f>
        <v>4255</v>
      </c>
      <c r="D181" s="144">
        <f>VLOOKUP($A181,'Data shares'!$C:$FA,23)</f>
        <v>4.0999999999999996</v>
      </c>
      <c r="E181" s="145">
        <f>VLOOKUP($A181,'Data shares'!$C:$FA,26)*100</f>
        <v>0.1</v>
      </c>
      <c r="F181" s="144">
        <f>VLOOKUP($A181,'Data shares'!$C:$FA,24)</f>
        <v>-4.4000000000000004</v>
      </c>
      <c r="G181" s="144">
        <f>VLOOKUP($A181,'Data shares'!$C:$FA,25)</f>
        <v>8.5</v>
      </c>
    </row>
    <row r="182" spans="1:7" x14ac:dyDescent="0.25">
      <c r="A182" s="101" t="str">
        <f>'Data shares'!C178</f>
        <v>PNB</v>
      </c>
      <c r="B182" s="144">
        <f>VLOOKUP($A182,'Data shares'!$C:$FA,7)</f>
        <v>105.38</v>
      </c>
      <c r="C182" s="144">
        <f>VLOOKUP($A182,'Data shares'!$C:$FA,3)</f>
        <v>105.72</v>
      </c>
      <c r="D182" s="144">
        <f>VLOOKUP($A182,'Data shares'!$C:$FA,23)</f>
        <v>0.34</v>
      </c>
      <c r="E182" s="145">
        <f>VLOOKUP($A182,'Data shares'!$C:$FA,26)*100</f>
        <v>0.32</v>
      </c>
      <c r="F182" s="144">
        <f>VLOOKUP($A182,'Data shares'!$C:$FA,24)</f>
        <v>0.15</v>
      </c>
      <c r="G182" s="144">
        <f>VLOOKUP($A182,'Data shares'!$C:$FA,25)</f>
        <v>0.19</v>
      </c>
    </row>
    <row r="183" spans="1:7" x14ac:dyDescent="0.25">
      <c r="A183" s="101" t="str">
        <f>'Data shares'!C179</f>
        <v>PNBHOUSING</v>
      </c>
      <c r="B183" s="144">
        <f>VLOOKUP($A183,'Data shares'!$C:$FA,7)</f>
        <v>986.2</v>
      </c>
      <c r="C183" s="144">
        <f>VLOOKUP($A183,'Data shares'!$C:$FA,3)</f>
        <v>986.2</v>
      </c>
      <c r="D183" s="144">
        <f>VLOOKUP($A183,'Data shares'!$C:$FA,23)</f>
        <v>0</v>
      </c>
      <c r="E183" s="145">
        <f>VLOOKUP($A183,'Data shares'!$C:$FA,26)*100</f>
        <v>0</v>
      </c>
      <c r="F183" s="144">
        <f>VLOOKUP($A183,'Data shares'!$C:$FA,24)</f>
        <v>-0.2</v>
      </c>
      <c r="G183" s="144">
        <f>VLOOKUP($A183,'Data shares'!$C:$FA,25)</f>
        <v>0.2</v>
      </c>
    </row>
    <row r="184" spans="1:7" x14ac:dyDescent="0.25">
      <c r="A184" s="101" t="str">
        <f>'Data shares'!C180</f>
        <v>POLICYBZR</v>
      </c>
      <c r="B184" s="144">
        <f>VLOOKUP($A184,'Data shares'!$C:$FA,7)</f>
        <v>1812.1</v>
      </c>
      <c r="C184" s="144">
        <f>VLOOKUP($A184,'Data shares'!$C:$FA,3)</f>
        <v>1820</v>
      </c>
      <c r="D184" s="144">
        <f>VLOOKUP($A184,'Data shares'!$C:$FA,23)</f>
        <v>7.9</v>
      </c>
      <c r="E184" s="145">
        <f>VLOOKUP($A184,'Data shares'!$C:$FA,26)*100</f>
        <v>0.44</v>
      </c>
      <c r="F184" s="144">
        <f>VLOOKUP($A184,'Data shares'!$C:$FA,24)</f>
        <v>-2</v>
      </c>
      <c r="G184" s="144">
        <f>VLOOKUP($A184,'Data shares'!$C:$FA,25)</f>
        <v>9.9</v>
      </c>
    </row>
    <row r="185" spans="1:7" x14ac:dyDescent="0.25">
      <c r="A185" s="101" t="str">
        <f>'Data shares'!C181</f>
        <v>POLYCAB</v>
      </c>
      <c r="B185" s="144">
        <f>VLOOKUP($A185,'Data shares'!$C:$FA,7)</f>
        <v>6821</v>
      </c>
      <c r="C185" s="144">
        <f>VLOOKUP($A185,'Data shares'!$C:$FA,3)</f>
        <v>6837</v>
      </c>
      <c r="D185" s="144">
        <f>VLOOKUP($A185,'Data shares'!$C:$FA,23)</f>
        <v>16</v>
      </c>
      <c r="E185" s="145">
        <f>VLOOKUP($A185,'Data shares'!$C:$FA,26)*100</f>
        <v>0.22999999999999998</v>
      </c>
      <c r="F185" s="144">
        <f>VLOOKUP($A185,'Data shares'!$C:$FA,24)</f>
        <v>-0.5</v>
      </c>
      <c r="G185" s="144">
        <f>VLOOKUP($A185,'Data shares'!$C:$FA,25)</f>
        <v>16.5</v>
      </c>
    </row>
    <row r="186" spans="1:7" x14ac:dyDescent="0.25">
      <c r="A186" s="101" t="str">
        <f>'Data shares'!C182</f>
        <v>POONAWALLA</v>
      </c>
      <c r="B186" s="144">
        <f>VLOOKUP($A186,'Data shares'!$C:$FA,7)</f>
        <v>422.25</v>
      </c>
      <c r="C186" s="144">
        <f>VLOOKUP($A186,'Data shares'!$C:$FA,3)</f>
        <v>423.95</v>
      </c>
      <c r="D186" s="144">
        <f>VLOOKUP($A186,'Data shares'!$C:$FA,23)</f>
        <v>1.7</v>
      </c>
      <c r="E186" s="145">
        <f>VLOOKUP($A186,'Data shares'!$C:$FA,26)*100</f>
        <v>0.4</v>
      </c>
      <c r="F186" s="144">
        <f>VLOOKUP($A186,'Data shares'!$C:$FA,24)</f>
        <v>0.8</v>
      </c>
      <c r="G186" s="144">
        <f>VLOOKUP($A186,'Data shares'!$C:$FA,25)</f>
        <v>0.9</v>
      </c>
    </row>
    <row r="187" spans="1:7" x14ac:dyDescent="0.25">
      <c r="A187" s="101" t="str">
        <f>'Data shares'!C183</f>
        <v>POWERGRID</v>
      </c>
      <c r="B187" s="144">
        <f>VLOOKUP($A187,'Data shares'!$C:$FA,7)</f>
        <v>291</v>
      </c>
      <c r="C187" s="144">
        <f>VLOOKUP($A187,'Data shares'!$C:$FA,3)</f>
        <v>291.89999999999998</v>
      </c>
      <c r="D187" s="144">
        <f>VLOOKUP($A187,'Data shares'!$C:$FA,23)</f>
        <v>0.9</v>
      </c>
      <c r="E187" s="145">
        <f>VLOOKUP($A187,'Data shares'!$C:$FA,26)*100</f>
        <v>0.31</v>
      </c>
      <c r="F187" s="144">
        <f>VLOOKUP($A187,'Data shares'!$C:$FA,24)</f>
        <v>0.3</v>
      </c>
      <c r="G187" s="144">
        <f>VLOOKUP($A187,'Data shares'!$C:$FA,25)</f>
        <v>0.6</v>
      </c>
    </row>
    <row r="188" spans="1:7" x14ac:dyDescent="0.25">
      <c r="A188" s="101" t="str">
        <f>'Data shares'!C184</f>
        <v>PPLPHARMA</v>
      </c>
      <c r="B188" s="144">
        <f>VLOOKUP($A188,'Data shares'!$C:$FA,7)</f>
        <v>197.03</v>
      </c>
      <c r="C188" s="144">
        <f>VLOOKUP($A188,'Data shares'!$C:$FA,3)</f>
        <v>197.66</v>
      </c>
      <c r="D188" s="144">
        <f>VLOOKUP($A188,'Data shares'!$C:$FA,23)</f>
        <v>0.63</v>
      </c>
      <c r="E188" s="145">
        <f>VLOOKUP($A188,'Data shares'!$C:$FA,26)*100</f>
        <v>0.32</v>
      </c>
      <c r="F188" s="144">
        <f>VLOOKUP($A188,'Data shares'!$C:$FA,24)</f>
        <v>-0.16</v>
      </c>
      <c r="G188" s="144">
        <f>VLOOKUP($A188,'Data shares'!$C:$FA,25)</f>
        <v>0.79</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shares'!C232</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154" activePane="bottomLeft" state="frozen"/>
      <selection pane="bottomLeft" activeCell="A163" sqref="A163:IV163"/>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50" t="s">
        <v>371</v>
      </c>
      <c r="C4" s="250"/>
      <c r="D4" s="250"/>
      <c r="E4" s="250"/>
      <c r="F4" s="250"/>
      <c r="G4" s="250"/>
    </row>
    <row r="5" spans="1:7" x14ac:dyDescent="0.25">
      <c r="A5" s="317"/>
      <c r="B5" s="315" t="s">
        <v>372</v>
      </c>
      <c r="C5" s="315"/>
      <c r="D5" s="315"/>
      <c r="E5" s="315" t="s">
        <v>373</v>
      </c>
      <c r="F5" s="315"/>
      <c r="G5" s="315"/>
    </row>
    <row r="6" spans="1:7" x14ac:dyDescent="0.25">
      <c r="A6" s="250"/>
      <c r="B6" s="2" t="s">
        <v>374</v>
      </c>
      <c r="C6" s="2" t="s">
        <v>375</v>
      </c>
      <c r="D6" s="2" t="s">
        <v>376</v>
      </c>
      <c r="E6" s="2" t="s">
        <v>377</v>
      </c>
      <c r="F6" s="2" t="s">
        <v>378</v>
      </c>
      <c r="G6" s="2" t="s">
        <v>379</v>
      </c>
    </row>
    <row r="7" spans="1:7" x14ac:dyDescent="0.25">
      <c r="A7" s="49" t="str">
        <f>'Data shares'!C2</f>
        <v>360ONE</v>
      </c>
      <c r="B7" s="50">
        <f>VLOOKUP($A7,'Data shares'!$C:$FM,102)</f>
        <v>29.04</v>
      </c>
      <c r="C7" s="50">
        <f>VLOOKUP($A7,'Data shares'!$C:$FM,110)</f>
        <v>29.95</v>
      </c>
      <c r="D7" s="50">
        <f>VLOOKUP($A7,'Data shares'!$C:$FM,114)</f>
        <v>27.09</v>
      </c>
      <c r="E7" s="50">
        <f>VLOOKUP($A7,'Data shares'!$C:$FM,106)</f>
        <v>49.62</v>
      </c>
      <c r="F7" s="50">
        <f>VLOOKUP($A7,'Data shares'!$C:$FM,108)</f>
        <v>-20.58</v>
      </c>
      <c r="G7" s="50">
        <f t="shared" ref="G7:G38" si="0">B7/E7</f>
        <v>0.58524788391777516</v>
      </c>
    </row>
    <row r="8" spans="1:7" x14ac:dyDescent="0.25">
      <c r="A8" s="49" t="str">
        <f>'Data shares'!C3</f>
        <v>AARTIIND</v>
      </c>
      <c r="B8" s="50">
        <f>VLOOKUP($A8,'Data shares'!$C:$FM,102)</f>
        <v>43.95</v>
      </c>
      <c r="C8" s="50">
        <f>VLOOKUP($A8,'Data shares'!$C:$FM,110)</f>
        <v>43.95</v>
      </c>
      <c r="D8" s="50">
        <f>VLOOKUP($A8,'Data shares'!$C:$FM,114)</f>
        <v>43.95</v>
      </c>
      <c r="E8" s="50">
        <f>VLOOKUP($A8,'Data shares'!$C:$FM,106)</f>
        <v>43.95</v>
      </c>
      <c r="F8" s="50">
        <f>VLOOKUP($A8,'Data shares'!$C:$FM,108)</f>
        <v>0</v>
      </c>
      <c r="G8" s="50">
        <f t="shared" si="0"/>
        <v>1</v>
      </c>
    </row>
    <row r="9" spans="1:7" x14ac:dyDescent="0.25">
      <c r="A9" s="49" t="str">
        <f>'Data shares'!C4</f>
        <v>ABB</v>
      </c>
      <c r="B9" s="50">
        <f>VLOOKUP($A9,'Data shares'!$C:$FM,102)</f>
        <v>33.22</v>
      </c>
      <c r="C9" s="50">
        <f>VLOOKUP($A9,'Data shares'!$C:$FM,110)</f>
        <v>32.93</v>
      </c>
      <c r="D9" s="50">
        <f>VLOOKUP($A9,'Data shares'!$C:$FM,114)</f>
        <v>33.65</v>
      </c>
      <c r="E9" s="50">
        <f>VLOOKUP($A9,'Data shares'!$C:$FM,106)</f>
        <v>39.799999999999997</v>
      </c>
      <c r="F9" s="50">
        <f>VLOOKUP($A9,'Data shares'!$C:$FM,108)</f>
        <v>-6.58</v>
      </c>
      <c r="G9" s="50">
        <f t="shared" si="0"/>
        <v>0.83467336683417093</v>
      </c>
    </row>
    <row r="10" spans="1:7" x14ac:dyDescent="0.25">
      <c r="A10" s="49" t="str">
        <f>'Data shares'!C5</f>
        <v>ABCAPITAL</v>
      </c>
      <c r="B10" s="50">
        <f>VLOOKUP($A10,'Data shares'!$C:$FM,102)</f>
        <v>31.46</v>
      </c>
      <c r="C10" s="50">
        <f>VLOOKUP($A10,'Data shares'!$C:$FM,110)</f>
        <v>31.25</v>
      </c>
      <c r="D10" s="50">
        <f>VLOOKUP($A10,'Data shares'!$C:$FM,114)</f>
        <v>31.89</v>
      </c>
      <c r="E10" s="50">
        <f>VLOOKUP($A10,'Data shares'!$C:$FM,106)</f>
        <v>40.35</v>
      </c>
      <c r="F10" s="50">
        <f>VLOOKUP($A10,'Data shares'!$C:$FM,108)</f>
        <v>-8.89</v>
      </c>
      <c r="G10" s="50">
        <f t="shared" si="0"/>
        <v>0.77967781908302358</v>
      </c>
    </row>
    <row r="11" spans="1:7" x14ac:dyDescent="0.25">
      <c r="A11" s="49" t="str">
        <f>'Data shares'!C6</f>
        <v>ABFRL</v>
      </c>
      <c r="B11" s="50">
        <f>VLOOKUP($A11,'Data shares'!$C:$FM,102)</f>
        <v>32.5</v>
      </c>
      <c r="C11" s="50">
        <f>VLOOKUP($A11,'Data shares'!$C:$FM,110)</f>
        <v>34.96</v>
      </c>
      <c r="D11" s="50">
        <f>VLOOKUP($A11,'Data shares'!$C:$FM,114)</f>
        <v>30.34</v>
      </c>
      <c r="E11" s="50">
        <f>VLOOKUP($A11,'Data shares'!$C:$FM,106)</f>
        <v>43.47</v>
      </c>
      <c r="F11" s="50">
        <f>VLOOKUP($A11,'Data shares'!$C:$FM,108)</f>
        <v>-10.97</v>
      </c>
      <c r="G11" s="50">
        <f t="shared" si="0"/>
        <v>0.7476420519898781</v>
      </c>
    </row>
    <row r="12" spans="1:7" x14ac:dyDescent="0.25">
      <c r="A12" s="49" t="str">
        <f>'Data shares'!C7</f>
        <v>ACC</v>
      </c>
      <c r="B12" s="50">
        <f>VLOOKUP($A12,'Data shares'!$C:$FM,102)</f>
        <v>32.53</v>
      </c>
      <c r="C12" s="50">
        <f>VLOOKUP($A12,'Data shares'!$C:$FM,110)</f>
        <v>32.53</v>
      </c>
      <c r="D12" s="50">
        <f>VLOOKUP($A12,'Data shares'!$C:$FM,114)</f>
        <v>32.53</v>
      </c>
      <c r="E12" s="50">
        <f>VLOOKUP($A12,'Data shares'!$C:$FM,106)</f>
        <v>32.53</v>
      </c>
      <c r="F12" s="50">
        <f>VLOOKUP($A12,'Data shares'!$C:$FM,108)</f>
        <v>0</v>
      </c>
      <c r="G12" s="50">
        <f t="shared" si="0"/>
        <v>1</v>
      </c>
    </row>
    <row r="13" spans="1:7" x14ac:dyDescent="0.25">
      <c r="A13" s="49" t="str">
        <f>'Data shares'!C8</f>
        <v>ADANIENSOL</v>
      </c>
      <c r="B13" s="50">
        <f>VLOOKUP($A13,'Data shares'!$C:$FM,102)</f>
        <v>34.51</v>
      </c>
      <c r="C13" s="50">
        <f>VLOOKUP($A13,'Data shares'!$C:$FM,110)</f>
        <v>34.89</v>
      </c>
      <c r="D13" s="50">
        <f>VLOOKUP($A13,'Data shares'!$C:$FM,114)</f>
        <v>34.04</v>
      </c>
      <c r="E13" s="50">
        <f>VLOOKUP($A13,'Data shares'!$C:$FM,106)</f>
        <v>60.36</v>
      </c>
      <c r="F13" s="50">
        <f>VLOOKUP($A13,'Data shares'!$C:$FM,108)</f>
        <v>-25.85</v>
      </c>
      <c r="G13" s="50">
        <f t="shared" si="0"/>
        <v>0.57173624917163679</v>
      </c>
    </row>
    <row r="14" spans="1:7" x14ac:dyDescent="0.25">
      <c r="A14" s="49" t="str">
        <f>'Data shares'!C9</f>
        <v>ADANIENT</v>
      </c>
      <c r="B14" s="50">
        <f>VLOOKUP($A14,'Data shares'!$C:$FM,102)</f>
        <v>28.68</v>
      </c>
      <c r="C14" s="50">
        <f>VLOOKUP($A14,'Data shares'!$C:$FM,110)</f>
        <v>27.44</v>
      </c>
      <c r="D14" s="50">
        <f>VLOOKUP($A14,'Data shares'!$C:$FM,114)</f>
        <v>30.61</v>
      </c>
      <c r="E14" s="50">
        <f>VLOOKUP($A14,'Data shares'!$C:$FM,106)</f>
        <v>53.16</v>
      </c>
      <c r="F14" s="50">
        <f>VLOOKUP($A14,'Data shares'!$C:$FM,108)</f>
        <v>-24.48</v>
      </c>
      <c r="G14" s="50">
        <f t="shared" si="0"/>
        <v>0.53950338600451475</v>
      </c>
    </row>
    <row r="15" spans="1:7" x14ac:dyDescent="0.25">
      <c r="A15" s="49" t="str">
        <f>'Data shares'!C10</f>
        <v>ADANIGREEN</v>
      </c>
      <c r="B15" s="50">
        <f>VLOOKUP($A15,'Data shares'!$C:$FM,102)</f>
        <v>37.11</v>
      </c>
      <c r="C15" s="50">
        <f>VLOOKUP($A15,'Data shares'!$C:$FM,110)</f>
        <v>37.020000000000003</v>
      </c>
      <c r="D15" s="50">
        <f>VLOOKUP($A15,'Data shares'!$C:$FM,114)</f>
        <v>37.28</v>
      </c>
      <c r="E15" s="50">
        <f>VLOOKUP($A15,'Data shares'!$C:$FM,106)</f>
        <v>61.9</v>
      </c>
      <c r="F15" s="50">
        <f>VLOOKUP($A15,'Data shares'!$C:$FM,108)</f>
        <v>-24.79</v>
      </c>
      <c r="G15" s="50">
        <f t="shared" si="0"/>
        <v>0.59951534733441036</v>
      </c>
    </row>
    <row r="16" spans="1:7" x14ac:dyDescent="0.25">
      <c r="A16" s="49" t="str">
        <f>'Data shares'!C11</f>
        <v>ADANIPORTS</v>
      </c>
      <c r="B16" s="50">
        <f>VLOOKUP($A16,'Data shares'!$C:$FM,102)</f>
        <v>25.36</v>
      </c>
      <c r="C16" s="50">
        <f>VLOOKUP($A16,'Data shares'!$C:$FM,110)</f>
        <v>25.64</v>
      </c>
      <c r="D16" s="50">
        <f>VLOOKUP($A16,'Data shares'!$C:$FM,114)</f>
        <v>25.1</v>
      </c>
      <c r="E16" s="50">
        <f>VLOOKUP($A16,'Data shares'!$C:$FM,106)</f>
        <v>42.45</v>
      </c>
      <c r="F16" s="50">
        <f>VLOOKUP($A16,'Data shares'!$C:$FM,108)</f>
        <v>-17.09</v>
      </c>
      <c r="G16" s="50">
        <f t="shared" si="0"/>
        <v>0.59740871613663127</v>
      </c>
    </row>
    <row r="17" spans="1:7" x14ac:dyDescent="0.25">
      <c r="A17" s="49" t="str">
        <f>'Data shares'!C12</f>
        <v>ALKEM</v>
      </c>
      <c r="B17" s="50">
        <f>VLOOKUP($A17,'Data shares'!$C:$FM,102)</f>
        <v>30.69</v>
      </c>
      <c r="C17" s="50">
        <f>VLOOKUP($A17,'Data shares'!$C:$FM,110)</f>
        <v>30.86</v>
      </c>
      <c r="D17" s="50">
        <f>VLOOKUP($A17,'Data shares'!$C:$FM,114)</f>
        <v>30.33</v>
      </c>
      <c r="E17" s="50">
        <f>VLOOKUP($A17,'Data shares'!$C:$FM,106)</f>
        <v>28.56</v>
      </c>
      <c r="F17" s="50">
        <f>VLOOKUP($A17,'Data shares'!$C:$FM,108)</f>
        <v>2.13</v>
      </c>
      <c r="G17" s="50">
        <f t="shared" si="0"/>
        <v>1.0745798319327733</v>
      </c>
    </row>
    <row r="18" spans="1:7" x14ac:dyDescent="0.25">
      <c r="A18" s="49" t="str">
        <f>'Data shares'!C13</f>
        <v>AMBER</v>
      </c>
      <c r="B18" s="50">
        <f>VLOOKUP($A18,'Data shares'!$C:$FM,102)</f>
        <v>31.22</v>
      </c>
      <c r="C18" s="50">
        <f>VLOOKUP($A18,'Data shares'!$C:$FM,110)</f>
        <v>30.66</v>
      </c>
      <c r="D18" s="50">
        <f>VLOOKUP($A18,'Data shares'!$C:$FM,114)</f>
        <v>32.31</v>
      </c>
      <c r="E18" s="50">
        <f>VLOOKUP($A18,'Data shares'!$C:$FM,106)</f>
        <v>57.66</v>
      </c>
      <c r="F18" s="50">
        <f>VLOOKUP($A18,'Data shares'!$C:$FM,108)</f>
        <v>-26.44</v>
      </c>
      <c r="G18" s="50">
        <f t="shared" si="0"/>
        <v>0.54144987859868199</v>
      </c>
    </row>
    <row r="19" spans="1:7" x14ac:dyDescent="0.25">
      <c r="A19" s="49" t="str">
        <f>'Data shares'!C14</f>
        <v>AMBUJACEM</v>
      </c>
      <c r="B19" s="50">
        <f>VLOOKUP($A19,'Data shares'!$C:$FM,102)</f>
        <v>28.67</v>
      </c>
      <c r="C19" s="50">
        <f>VLOOKUP($A19,'Data shares'!$C:$FM,110)</f>
        <v>28.77</v>
      </c>
      <c r="D19" s="50">
        <f>VLOOKUP($A19,'Data shares'!$C:$FM,114)</f>
        <v>28.39</v>
      </c>
      <c r="E19" s="50">
        <f>VLOOKUP($A19,'Data shares'!$C:$FM,106)</f>
        <v>36.950000000000003</v>
      </c>
      <c r="F19" s="50">
        <f>VLOOKUP($A19,'Data shares'!$C:$FM,108)</f>
        <v>-8.2799999999999994</v>
      </c>
      <c r="G19" s="50">
        <f t="shared" si="0"/>
        <v>0.77591339648173208</v>
      </c>
    </row>
    <row r="20" spans="1:7" x14ac:dyDescent="0.25">
      <c r="A20" s="49" t="str">
        <f>'Data shares'!C15</f>
        <v>ANGELONE</v>
      </c>
      <c r="B20" s="50">
        <f>VLOOKUP($A20,'Data shares'!$C:$FM,102)</f>
        <v>35.869999999999997</v>
      </c>
      <c r="C20" s="50">
        <f>VLOOKUP($A20,'Data shares'!$C:$FM,110)</f>
        <v>35.29</v>
      </c>
      <c r="D20" s="50">
        <f>VLOOKUP($A20,'Data shares'!$C:$FM,114)</f>
        <v>36.799999999999997</v>
      </c>
      <c r="E20" s="50">
        <f>VLOOKUP($A20,'Data shares'!$C:$FM,106)</f>
        <v>58.82</v>
      </c>
      <c r="F20" s="50">
        <f>VLOOKUP($A20,'Data shares'!$C:$FM,108)</f>
        <v>-22.95</v>
      </c>
      <c r="G20" s="50">
        <f t="shared" si="0"/>
        <v>0.60982658959537572</v>
      </c>
    </row>
    <row r="21" spans="1:7" x14ac:dyDescent="0.25">
      <c r="A21" s="49" t="str">
        <f>'Data shares'!C16</f>
        <v>APLAPOLLO</v>
      </c>
      <c r="B21" s="50">
        <f>VLOOKUP($A21,'Data shares'!$C:$FM,102)</f>
        <v>22.97</v>
      </c>
      <c r="C21" s="50">
        <f>VLOOKUP($A21,'Data shares'!$C:$FM,110)</f>
        <v>22.85</v>
      </c>
      <c r="D21" s="50">
        <f>VLOOKUP($A21,'Data shares'!$C:$FM,114)</f>
        <v>23.34</v>
      </c>
      <c r="E21" s="50">
        <f>VLOOKUP($A21,'Data shares'!$C:$FM,106)</f>
        <v>38.21</v>
      </c>
      <c r="F21" s="50">
        <f>VLOOKUP($A21,'Data shares'!$C:$FM,108)</f>
        <v>-15.24</v>
      </c>
      <c r="G21" s="50">
        <f t="shared" si="0"/>
        <v>0.60115153101282381</v>
      </c>
    </row>
    <row r="22" spans="1:7" x14ac:dyDescent="0.25">
      <c r="A22" s="49" t="str">
        <f>'Data shares'!C17</f>
        <v>APOLLOHOSP</v>
      </c>
      <c r="B22" s="50">
        <f>VLOOKUP($A22,'Data shares'!$C:$FM,102)</f>
        <v>24.77</v>
      </c>
      <c r="C22" s="50">
        <f>VLOOKUP($A22,'Data shares'!$C:$FM,110)</f>
        <v>24.84</v>
      </c>
      <c r="D22" s="50">
        <f>VLOOKUP($A22,'Data shares'!$C:$FM,114)</f>
        <v>24.6</v>
      </c>
      <c r="E22" s="50">
        <f>VLOOKUP($A22,'Data shares'!$C:$FM,106)</f>
        <v>26.52</v>
      </c>
      <c r="F22" s="50">
        <f>VLOOKUP($A22,'Data shares'!$C:$FM,108)</f>
        <v>-1.75</v>
      </c>
      <c r="G22" s="50">
        <f t="shared" si="0"/>
        <v>0.93401206636500755</v>
      </c>
    </row>
    <row r="23" spans="1:7" x14ac:dyDescent="0.25">
      <c r="A23" s="49" t="str">
        <f>'Data shares'!C18</f>
        <v>ASHOKLEY</v>
      </c>
      <c r="B23" s="50">
        <f>VLOOKUP($A23,'Data shares'!$C:$FM,102)</f>
        <v>25.11</v>
      </c>
      <c r="C23" s="50">
        <f>VLOOKUP($A23,'Data shares'!$C:$FM,110)</f>
        <v>25.33</v>
      </c>
      <c r="D23" s="50">
        <f>VLOOKUP($A23,'Data shares'!$C:$FM,114)</f>
        <v>24.82</v>
      </c>
      <c r="E23" s="50">
        <f>VLOOKUP($A23,'Data shares'!$C:$FM,106)</f>
        <v>35.01</v>
      </c>
      <c r="F23" s="50">
        <f>VLOOKUP($A23,'Data shares'!$C:$FM,108)</f>
        <v>-9.9</v>
      </c>
      <c r="G23" s="50">
        <f t="shared" si="0"/>
        <v>0.71722365038560409</v>
      </c>
    </row>
    <row r="24" spans="1:7" x14ac:dyDescent="0.25">
      <c r="A24" s="49" t="str">
        <f>'Data shares'!C19</f>
        <v>ASIANPAINT</v>
      </c>
      <c r="B24" s="50">
        <f>VLOOKUP($A24,'Data shares'!$C:$FM,102)</f>
        <v>19.12</v>
      </c>
      <c r="C24" s="50">
        <f>VLOOKUP($A24,'Data shares'!$C:$FM,110)</f>
        <v>19.16</v>
      </c>
      <c r="D24" s="50">
        <f>VLOOKUP($A24,'Data shares'!$C:$FM,114)</f>
        <v>19.05</v>
      </c>
      <c r="E24" s="50">
        <f>VLOOKUP($A24,'Data shares'!$C:$FM,106)</f>
        <v>24.21</v>
      </c>
      <c r="F24" s="50">
        <f>VLOOKUP($A24,'Data shares'!$C:$FM,108)</f>
        <v>-5.09</v>
      </c>
      <c r="G24" s="50">
        <f t="shared" si="0"/>
        <v>0.78975629904997935</v>
      </c>
    </row>
    <row r="25" spans="1:7" x14ac:dyDescent="0.25">
      <c r="A25" s="49" t="str">
        <f>'Data shares'!C20</f>
        <v>ASTRAL</v>
      </c>
      <c r="B25" s="50">
        <f>VLOOKUP($A25,'Data shares'!$C:$FM,102)</f>
        <v>28.43</v>
      </c>
      <c r="C25" s="50">
        <f>VLOOKUP($A25,'Data shares'!$C:$FM,110)</f>
        <v>28.2</v>
      </c>
      <c r="D25" s="50">
        <f>VLOOKUP($A25,'Data shares'!$C:$FM,114)</f>
        <v>28.88</v>
      </c>
      <c r="E25" s="50">
        <f>VLOOKUP($A25,'Data shares'!$C:$FM,106)</f>
        <v>32.96</v>
      </c>
      <c r="F25" s="50">
        <f>VLOOKUP($A25,'Data shares'!$C:$FM,108)</f>
        <v>-4.53</v>
      </c>
      <c r="G25" s="50">
        <f t="shared" si="0"/>
        <v>0.8625606796116505</v>
      </c>
    </row>
    <row r="26" spans="1:7" x14ac:dyDescent="0.25">
      <c r="A26" s="49" t="str">
        <f>'Data shares'!C21</f>
        <v>ATGL</v>
      </c>
      <c r="B26" s="50">
        <f>VLOOKUP($A26,'Data shares'!$C:$FM,102)</f>
        <v>36.4</v>
      </c>
      <c r="C26" s="50">
        <f>VLOOKUP($A26,'Data shares'!$C:$FM,110)</f>
        <v>36.29</v>
      </c>
      <c r="D26" s="50">
        <f>VLOOKUP($A26,'Data shares'!$C:$FM,114)</f>
        <v>36.49</v>
      </c>
      <c r="E26" s="50">
        <f>VLOOKUP($A26,'Data shares'!$C:$FM,106)</f>
        <v>56.02</v>
      </c>
      <c r="F26" s="50">
        <f>VLOOKUP($A26,'Data shares'!$C:$FM,108)</f>
        <v>-19.62</v>
      </c>
      <c r="G26" s="50">
        <f t="shared" si="0"/>
        <v>0.64976794002142091</v>
      </c>
    </row>
    <row r="27" spans="1:7" x14ac:dyDescent="0.25">
      <c r="A27" s="49" t="str">
        <f>'Data shares'!C22</f>
        <v>AUBANK</v>
      </c>
      <c r="B27" s="50">
        <f>VLOOKUP($A27,'Data shares'!$C:$FM,102)</f>
        <v>28.97</v>
      </c>
      <c r="C27" s="50">
        <f>VLOOKUP($A27,'Data shares'!$C:$FM,110)</f>
        <v>28.87</v>
      </c>
      <c r="D27" s="50">
        <f>VLOOKUP($A27,'Data shares'!$C:$FM,114)</f>
        <v>29.16</v>
      </c>
      <c r="E27" s="50">
        <f>VLOOKUP($A27,'Data shares'!$C:$FM,106)</f>
        <v>38.44</v>
      </c>
      <c r="F27" s="50">
        <f>VLOOKUP($A27,'Data shares'!$C:$FM,108)</f>
        <v>-9.4700000000000006</v>
      </c>
      <c r="G27" s="50">
        <f t="shared" si="0"/>
        <v>0.75364203954214359</v>
      </c>
    </row>
    <row r="28" spans="1:7" x14ac:dyDescent="0.25">
      <c r="A28" s="49" t="str">
        <f>'Data shares'!C23</f>
        <v>AUROPHARMA</v>
      </c>
      <c r="B28" s="50">
        <f>VLOOKUP($A28,'Data shares'!$C:$FM,102)</f>
        <v>33.94</v>
      </c>
      <c r="C28" s="50">
        <f>VLOOKUP($A28,'Data shares'!$C:$FM,110)</f>
        <v>33.049999999999997</v>
      </c>
      <c r="D28" s="50">
        <f>VLOOKUP($A28,'Data shares'!$C:$FM,114)</f>
        <v>35.39</v>
      </c>
      <c r="E28" s="50">
        <f>VLOOKUP($A28,'Data shares'!$C:$FM,106)</f>
        <v>35.19</v>
      </c>
      <c r="F28" s="50">
        <f>VLOOKUP($A28,'Data shares'!$C:$FM,108)</f>
        <v>-1.25</v>
      </c>
      <c r="G28" s="50">
        <f t="shared" si="0"/>
        <v>0.96447854504120489</v>
      </c>
    </row>
    <row r="29" spans="1:7" x14ac:dyDescent="0.25">
      <c r="A29" s="49" t="str">
        <f>'Data shares'!C24</f>
        <v>AXISBANK</v>
      </c>
      <c r="B29" s="50">
        <f>VLOOKUP($A29,'Data shares'!$C:$FM,102)</f>
        <v>20.32</v>
      </c>
      <c r="C29" s="50">
        <f>VLOOKUP($A29,'Data shares'!$C:$FM,110)</f>
        <v>20.64</v>
      </c>
      <c r="D29" s="50">
        <f>VLOOKUP($A29,'Data shares'!$C:$FM,114)</f>
        <v>19.739999999999998</v>
      </c>
      <c r="E29" s="50">
        <f>VLOOKUP($A29,'Data shares'!$C:$FM,106)</f>
        <v>28.17</v>
      </c>
      <c r="F29" s="50">
        <f>VLOOKUP($A29,'Data shares'!$C:$FM,108)</f>
        <v>-7.85</v>
      </c>
      <c r="G29" s="50">
        <f t="shared" si="0"/>
        <v>0.72133475328363506</v>
      </c>
    </row>
    <row r="30" spans="1:7" x14ac:dyDescent="0.25">
      <c r="A30" s="49" t="str">
        <f>'Data shares'!C25</f>
        <v>BAJAJ-AUTO</v>
      </c>
      <c r="B30" s="50">
        <f>VLOOKUP($A30,'Data shares'!$C:$FM,102)</f>
        <v>26.65</v>
      </c>
      <c r="C30" s="50">
        <f>VLOOKUP($A30,'Data shares'!$C:$FM,110)</f>
        <v>26.52</v>
      </c>
      <c r="D30" s="50">
        <f>VLOOKUP($A30,'Data shares'!$C:$FM,114)</f>
        <v>26.79</v>
      </c>
      <c r="E30" s="50">
        <f>VLOOKUP($A30,'Data shares'!$C:$FM,106)</f>
        <v>31.82</v>
      </c>
      <c r="F30" s="50">
        <f>VLOOKUP($A30,'Data shares'!$C:$FM,108)</f>
        <v>-5.17</v>
      </c>
      <c r="G30" s="50">
        <f t="shared" si="0"/>
        <v>0.83752357008170952</v>
      </c>
    </row>
    <row r="31" spans="1:7" x14ac:dyDescent="0.25">
      <c r="A31" s="49" t="str">
        <f>'Data shares'!C26</f>
        <v>BAJAJFINSV</v>
      </c>
      <c r="B31" s="50">
        <f>VLOOKUP($A31,'Data shares'!$C:$FM,102)</f>
        <v>24.05</v>
      </c>
      <c r="C31" s="50">
        <f>VLOOKUP($A31,'Data shares'!$C:$FM,110)</f>
        <v>24.45</v>
      </c>
      <c r="D31" s="50">
        <f>VLOOKUP($A31,'Data shares'!$C:$FM,114)</f>
        <v>23.21</v>
      </c>
      <c r="E31" s="50">
        <f>VLOOKUP($A31,'Data shares'!$C:$FM,106)</f>
        <v>29.92</v>
      </c>
      <c r="F31" s="50">
        <f>VLOOKUP($A31,'Data shares'!$C:$FM,108)</f>
        <v>-5.87</v>
      </c>
      <c r="G31" s="50">
        <f t="shared" si="0"/>
        <v>0.80381016042780751</v>
      </c>
    </row>
    <row r="32" spans="1:7" x14ac:dyDescent="0.25">
      <c r="A32" s="49" t="str">
        <f>'Data shares'!C27</f>
        <v>BAJFINANCE</v>
      </c>
      <c r="B32" s="50">
        <f>VLOOKUP($A32,'Data shares'!$C:$FM,102)</f>
        <v>26.34</v>
      </c>
      <c r="C32" s="50">
        <f>VLOOKUP($A32,'Data shares'!$C:$FM,110)</f>
        <v>26.74</v>
      </c>
      <c r="D32" s="50">
        <f>VLOOKUP($A32,'Data shares'!$C:$FM,114)</f>
        <v>25.64</v>
      </c>
      <c r="E32" s="50">
        <f>VLOOKUP($A32,'Data shares'!$C:$FM,106)</f>
        <v>31.67</v>
      </c>
      <c r="F32" s="50">
        <f>VLOOKUP($A32,'Data shares'!$C:$FM,108)</f>
        <v>-5.33</v>
      </c>
      <c r="G32" s="50">
        <f t="shared" si="0"/>
        <v>0.83170192611304072</v>
      </c>
    </row>
    <row r="33" spans="1:7" x14ac:dyDescent="0.25">
      <c r="A33" s="49" t="str">
        <f>'Data shares'!C28</f>
        <v>BALKRISIND</v>
      </c>
      <c r="B33" s="50">
        <f>VLOOKUP($A33,'Data shares'!$C:$FM,102)</f>
        <v>33.47</v>
      </c>
      <c r="C33" s="50">
        <f>VLOOKUP($A33,'Data shares'!$C:$FM,110)</f>
        <v>33.47</v>
      </c>
      <c r="D33" s="50">
        <f>VLOOKUP($A33,'Data shares'!$C:$FM,114)</f>
        <v>33.47</v>
      </c>
      <c r="E33" s="50">
        <f>VLOOKUP($A33,'Data shares'!$C:$FM,106)</f>
        <v>33.47</v>
      </c>
      <c r="F33" s="50">
        <f>VLOOKUP($A33,'Data shares'!$C:$FM,108)</f>
        <v>0</v>
      </c>
      <c r="G33" s="50">
        <f t="shared" si="0"/>
        <v>1</v>
      </c>
    </row>
    <row r="34" spans="1:7" x14ac:dyDescent="0.25">
      <c r="A34" s="49" t="str">
        <f>'Data shares'!C29</f>
        <v>BANDHANBNK</v>
      </c>
      <c r="B34" s="50">
        <f>VLOOKUP($A34,'Data shares'!$C:$FM,102)</f>
        <v>33.520000000000003</v>
      </c>
      <c r="C34" s="50">
        <f>VLOOKUP($A34,'Data shares'!$C:$FM,110)</f>
        <v>33.86</v>
      </c>
      <c r="D34" s="50">
        <f>VLOOKUP($A34,'Data shares'!$C:$FM,114)</f>
        <v>32.94</v>
      </c>
      <c r="E34" s="50">
        <f>VLOOKUP($A34,'Data shares'!$C:$FM,106)</f>
        <v>44.25</v>
      </c>
      <c r="F34" s="50">
        <f>VLOOKUP($A34,'Data shares'!$C:$FM,108)</f>
        <v>-10.73</v>
      </c>
      <c r="G34" s="50">
        <f t="shared" si="0"/>
        <v>0.7575141242937854</v>
      </c>
    </row>
    <row r="35" spans="1:7" x14ac:dyDescent="0.25">
      <c r="A35" s="49" t="str">
        <f>'Data shares'!C30</f>
        <v>BANKBARODA</v>
      </c>
      <c r="B35" s="50">
        <f>VLOOKUP($A35,'Data shares'!$C:$FM,102)</f>
        <v>24.16</v>
      </c>
      <c r="C35" s="50">
        <f>VLOOKUP($A35,'Data shares'!$C:$FM,110)</f>
        <v>24.44</v>
      </c>
      <c r="D35" s="50">
        <f>VLOOKUP($A35,'Data shares'!$C:$FM,114)</f>
        <v>23.81</v>
      </c>
      <c r="E35" s="50">
        <f>VLOOKUP($A35,'Data shares'!$C:$FM,106)</f>
        <v>38.28</v>
      </c>
      <c r="F35" s="50">
        <f>VLOOKUP($A35,'Data shares'!$C:$FM,108)</f>
        <v>-14.12</v>
      </c>
      <c r="G35" s="50">
        <f t="shared" si="0"/>
        <v>0.63113897596656221</v>
      </c>
    </row>
    <row r="36" spans="1:7" x14ac:dyDescent="0.25">
      <c r="A36" s="49" t="str">
        <f>'Data shares'!C31</f>
        <v>BANKINDIA</v>
      </c>
      <c r="B36" s="50">
        <f>VLOOKUP($A36,'Data shares'!$C:$FM,102)</f>
        <v>30.26</v>
      </c>
      <c r="C36" s="50">
        <f>VLOOKUP($A36,'Data shares'!$C:$FM,110)</f>
        <v>30.7</v>
      </c>
      <c r="D36" s="50">
        <f>VLOOKUP($A36,'Data shares'!$C:$FM,114)</f>
        <v>29.51</v>
      </c>
      <c r="E36" s="50">
        <f>VLOOKUP($A36,'Data shares'!$C:$FM,106)</f>
        <v>42.16</v>
      </c>
      <c r="F36" s="50">
        <f>VLOOKUP($A36,'Data shares'!$C:$FM,108)</f>
        <v>-11.9</v>
      </c>
      <c r="G36" s="50">
        <f t="shared" si="0"/>
        <v>0.71774193548387111</v>
      </c>
    </row>
    <row r="37" spans="1:7" x14ac:dyDescent="0.25">
      <c r="A37" s="49" t="str">
        <f>'Data shares'!C32</f>
        <v>BANKNIFTY</v>
      </c>
      <c r="B37" s="50">
        <f>VLOOKUP($A37,'Data shares'!$C:$FM,102)</f>
        <v>11.72</v>
      </c>
      <c r="C37" s="50">
        <f>VLOOKUP($A37,'Data shares'!$C:$FM,110)</f>
        <v>11.42</v>
      </c>
      <c r="D37" s="50">
        <f>VLOOKUP($A37,'Data shares'!$C:$FM,114)</f>
        <v>12.06</v>
      </c>
      <c r="E37" s="50">
        <f>VLOOKUP($A37,'Data shares'!$C:$FM,106)</f>
        <v>18.63</v>
      </c>
      <c r="F37" s="50">
        <f>VLOOKUP($A37,'Data shares'!$C:$FM,108)</f>
        <v>-6.91</v>
      </c>
      <c r="G37" s="50">
        <f t="shared" si="0"/>
        <v>0.62909286097691897</v>
      </c>
    </row>
    <row r="38" spans="1:7" x14ac:dyDescent="0.25">
      <c r="A38" s="49" t="str">
        <f>'Data shares'!C33</f>
        <v>BDL</v>
      </c>
      <c r="B38" s="50">
        <f>VLOOKUP($A38,'Data shares'!$C:$FM,102)</f>
        <v>35.61</v>
      </c>
      <c r="C38" s="50">
        <f>VLOOKUP($A38,'Data shares'!$C:$FM,110)</f>
        <v>35.21</v>
      </c>
      <c r="D38" s="50">
        <f>VLOOKUP($A38,'Data shares'!$C:$FM,114)</f>
        <v>36.450000000000003</v>
      </c>
      <c r="E38" s="50">
        <f>VLOOKUP($A38,'Data shares'!$C:$FM,106)</f>
        <v>55.65</v>
      </c>
      <c r="F38" s="50">
        <f>VLOOKUP($A38,'Data shares'!$C:$FM,108)</f>
        <v>-20.04</v>
      </c>
      <c r="G38" s="50">
        <f t="shared" si="0"/>
        <v>0.63989218328840969</v>
      </c>
    </row>
    <row r="39" spans="1:7" x14ac:dyDescent="0.25">
      <c r="A39" s="49" t="str">
        <f>'Data shares'!C34</f>
        <v>BEL</v>
      </c>
      <c r="B39" s="50">
        <f>VLOOKUP($A39,'Data shares'!$C:$FM,102)</f>
        <v>26.04</v>
      </c>
      <c r="C39" s="50">
        <f>VLOOKUP($A39,'Data shares'!$C:$FM,110)</f>
        <v>26.3</v>
      </c>
      <c r="D39" s="50">
        <f>VLOOKUP($A39,'Data shares'!$C:$FM,114)</f>
        <v>25.68</v>
      </c>
      <c r="E39" s="50">
        <f>VLOOKUP($A39,'Data shares'!$C:$FM,106)</f>
        <v>40.200000000000003</v>
      </c>
      <c r="F39" s="50">
        <f>VLOOKUP($A39,'Data shares'!$C:$FM,108)</f>
        <v>-14.16</v>
      </c>
      <c r="G39" s="50">
        <f t="shared" ref="G39:G70" si="1">B39/E39</f>
        <v>0.64776119402985066</v>
      </c>
    </row>
    <row r="40" spans="1:7" x14ac:dyDescent="0.25">
      <c r="A40" s="49" t="str">
        <f>'Data shares'!C35</f>
        <v>BHARATFORG</v>
      </c>
      <c r="B40" s="50">
        <f>VLOOKUP($A40,'Data shares'!$C:$FM,102)</f>
        <v>32.17</v>
      </c>
      <c r="C40" s="50">
        <f>VLOOKUP($A40,'Data shares'!$C:$FM,110)</f>
        <v>31.97</v>
      </c>
      <c r="D40" s="50">
        <f>VLOOKUP($A40,'Data shares'!$C:$FM,114)</f>
        <v>32.36</v>
      </c>
      <c r="E40" s="50">
        <f>VLOOKUP($A40,'Data shares'!$C:$FM,106)</f>
        <v>39.69</v>
      </c>
      <c r="F40" s="50">
        <f>VLOOKUP($A40,'Data shares'!$C:$FM,108)</f>
        <v>-7.52</v>
      </c>
      <c r="G40" s="50">
        <f t="shared" si="1"/>
        <v>0.81053162005542967</v>
      </c>
    </row>
    <row r="41" spans="1:7" x14ac:dyDescent="0.25">
      <c r="A41" s="49" t="str">
        <f>'Data shares'!C36</f>
        <v>BHARTIARTL</v>
      </c>
      <c r="B41" s="50">
        <f>VLOOKUP($A41,'Data shares'!$C:$FM,102)</f>
        <v>20.6</v>
      </c>
      <c r="C41" s="50">
        <f>VLOOKUP($A41,'Data shares'!$C:$FM,110)</f>
        <v>20.68</v>
      </c>
      <c r="D41" s="50">
        <f>VLOOKUP($A41,'Data shares'!$C:$FM,114)</f>
        <v>20.45</v>
      </c>
      <c r="E41" s="50">
        <f>VLOOKUP($A41,'Data shares'!$C:$FM,106)</f>
        <v>26.35</v>
      </c>
      <c r="F41" s="50">
        <f>VLOOKUP($A41,'Data shares'!$C:$FM,108)</f>
        <v>-5.75</v>
      </c>
      <c r="G41" s="50">
        <f t="shared" si="1"/>
        <v>0.78178368121442121</v>
      </c>
    </row>
    <row r="42" spans="1:7" x14ac:dyDescent="0.25">
      <c r="A42" s="49" t="str">
        <f>'Data shares'!C37</f>
        <v>BHEL</v>
      </c>
      <c r="B42" s="50">
        <f>VLOOKUP($A42,'Data shares'!$C:$FM,102)</f>
        <v>37.74</v>
      </c>
      <c r="C42" s="50">
        <f>VLOOKUP($A42,'Data shares'!$C:$FM,110)</f>
        <v>38.380000000000003</v>
      </c>
      <c r="D42" s="50">
        <f>VLOOKUP($A42,'Data shares'!$C:$FM,114)</f>
        <v>36.85</v>
      </c>
      <c r="E42" s="50">
        <f>VLOOKUP($A42,'Data shares'!$C:$FM,106)</f>
        <v>48.95</v>
      </c>
      <c r="F42" s="50">
        <f>VLOOKUP($A42,'Data shares'!$C:$FM,108)</f>
        <v>-11.21</v>
      </c>
      <c r="G42" s="50">
        <f t="shared" si="1"/>
        <v>0.77099080694586308</v>
      </c>
    </row>
    <row r="43" spans="1:7" x14ac:dyDescent="0.25">
      <c r="A43" s="49" t="str">
        <f>'Data shares'!C38</f>
        <v>BIOCON</v>
      </c>
      <c r="B43" s="50">
        <f>VLOOKUP($A43,'Data shares'!$C:$FM,102)</f>
        <v>35.450000000000003</v>
      </c>
      <c r="C43" s="50">
        <f>VLOOKUP($A43,'Data shares'!$C:$FM,110)</f>
        <v>35.56</v>
      </c>
      <c r="D43" s="50">
        <f>VLOOKUP($A43,'Data shares'!$C:$FM,114)</f>
        <v>35.26</v>
      </c>
      <c r="E43" s="50">
        <f>VLOOKUP($A43,'Data shares'!$C:$FM,106)</f>
        <v>41.02</v>
      </c>
      <c r="F43" s="50">
        <f>VLOOKUP($A43,'Data shares'!$C:$FM,108)</f>
        <v>-5.57</v>
      </c>
      <c r="G43" s="50">
        <f t="shared" si="1"/>
        <v>0.86421257922964412</v>
      </c>
    </row>
    <row r="44" spans="1:7" x14ac:dyDescent="0.25">
      <c r="A44" s="49" t="str">
        <f>'Data shares'!C39</f>
        <v>BLUESTARCO</v>
      </c>
      <c r="B44" s="50">
        <f>VLOOKUP($A44,'Data shares'!$C:$FM,102)</f>
        <v>33.409999999999997</v>
      </c>
      <c r="C44" s="50">
        <f>VLOOKUP($A44,'Data shares'!$C:$FM,110)</f>
        <v>33.630000000000003</v>
      </c>
      <c r="D44" s="50">
        <f>VLOOKUP($A44,'Data shares'!$C:$FM,114)</f>
        <v>32.659999999999997</v>
      </c>
      <c r="E44" s="50">
        <f>VLOOKUP($A44,'Data shares'!$C:$FM,106)</f>
        <v>44.4</v>
      </c>
      <c r="F44" s="50">
        <f>VLOOKUP($A44,'Data shares'!$C:$FM,108)</f>
        <v>-10.99</v>
      </c>
      <c r="G44" s="50">
        <f t="shared" si="1"/>
        <v>0.7524774774774774</v>
      </c>
    </row>
    <row r="45" spans="1:7" x14ac:dyDescent="0.25">
      <c r="A45" s="49" t="str">
        <f>'Data shares'!C40</f>
        <v>BOSCHLTD</v>
      </c>
      <c r="B45" s="50">
        <f>VLOOKUP($A45,'Data shares'!$C:$FM,102)</f>
        <v>35.64</v>
      </c>
      <c r="C45" s="50">
        <f>VLOOKUP($A45,'Data shares'!$C:$FM,110)</f>
        <v>34.869999999999997</v>
      </c>
      <c r="D45" s="50">
        <f>VLOOKUP($A45,'Data shares'!$C:$FM,114)</f>
        <v>37.69</v>
      </c>
      <c r="E45" s="50">
        <f>VLOOKUP($A45,'Data shares'!$C:$FM,106)</f>
        <v>30.25</v>
      </c>
      <c r="F45" s="50">
        <f>VLOOKUP($A45,'Data shares'!$C:$FM,108)</f>
        <v>5.39</v>
      </c>
      <c r="G45" s="50">
        <f t="shared" si="1"/>
        <v>1.1781818181818182</v>
      </c>
    </row>
    <row r="46" spans="1:7" x14ac:dyDescent="0.25">
      <c r="A46" s="49" t="str">
        <f>'Data shares'!C41</f>
        <v>BPCL</v>
      </c>
      <c r="B46" s="50">
        <f>VLOOKUP($A46,'Data shares'!$C:$FM,102)</f>
        <v>30.31</v>
      </c>
      <c r="C46" s="50">
        <f>VLOOKUP($A46,'Data shares'!$C:$FM,110)</f>
        <v>29.97</v>
      </c>
      <c r="D46" s="50">
        <f>VLOOKUP($A46,'Data shares'!$C:$FM,114)</f>
        <v>30.82</v>
      </c>
      <c r="E46" s="50">
        <f>VLOOKUP($A46,'Data shares'!$C:$FM,106)</f>
        <v>35.729999999999997</v>
      </c>
      <c r="F46" s="50">
        <f>VLOOKUP($A46,'Data shares'!$C:$FM,108)</f>
        <v>-5.42</v>
      </c>
      <c r="G46" s="50">
        <f t="shared" si="1"/>
        <v>0.84830674503218584</v>
      </c>
    </row>
    <row r="47" spans="1:7" x14ac:dyDescent="0.25">
      <c r="A47" s="49" t="str">
        <f>'Data shares'!C42</f>
        <v>BRITANNIA</v>
      </c>
      <c r="B47" s="50">
        <f>VLOOKUP($A47,'Data shares'!$C:$FM,102)</f>
        <v>26.02</v>
      </c>
      <c r="C47" s="50">
        <f>VLOOKUP($A47,'Data shares'!$C:$FM,110)</f>
        <v>26.03</v>
      </c>
      <c r="D47" s="50">
        <f>VLOOKUP($A47,'Data shares'!$C:$FM,114)</f>
        <v>25.99</v>
      </c>
      <c r="E47" s="50">
        <f>VLOOKUP($A47,'Data shares'!$C:$FM,106)</f>
        <v>23.83</v>
      </c>
      <c r="F47" s="50">
        <f>VLOOKUP($A47,'Data shares'!$C:$FM,108)</f>
        <v>2.19</v>
      </c>
      <c r="G47" s="50">
        <f t="shared" si="1"/>
        <v>1.0919009651699538</v>
      </c>
    </row>
    <row r="48" spans="1:7" x14ac:dyDescent="0.25">
      <c r="A48" s="49" t="str">
        <f>'Data shares'!C43</f>
        <v>BSE</v>
      </c>
      <c r="B48" s="50">
        <f>VLOOKUP($A48,'Data shares'!$C:$FM,102)</f>
        <v>46.14</v>
      </c>
      <c r="C48" s="50">
        <f>VLOOKUP($A48,'Data shares'!$C:$FM,110)</f>
        <v>45.37</v>
      </c>
      <c r="D48" s="50">
        <f>VLOOKUP($A48,'Data shares'!$C:$FM,114)</f>
        <v>47.01</v>
      </c>
      <c r="E48" s="50">
        <f>VLOOKUP($A48,'Data shares'!$C:$FM,106)</f>
        <v>67.02</v>
      </c>
      <c r="F48" s="50">
        <f>VLOOKUP($A48,'Data shares'!$C:$FM,108)</f>
        <v>-20.88</v>
      </c>
      <c r="G48" s="50">
        <f t="shared" si="1"/>
        <v>0.68845120859444942</v>
      </c>
    </row>
    <row r="49" spans="1:7" x14ac:dyDescent="0.25">
      <c r="A49" s="49" t="str">
        <f>'Data shares'!C44</f>
        <v>BSOFT</v>
      </c>
      <c r="B49" s="50">
        <f>VLOOKUP($A49,'Data shares'!$C:$FM,102)</f>
        <v>41.49</v>
      </c>
      <c r="C49" s="50">
        <f>VLOOKUP($A49,'Data shares'!$C:$FM,110)</f>
        <v>41.49</v>
      </c>
      <c r="D49" s="50">
        <f>VLOOKUP($A49,'Data shares'!$C:$FM,114)</f>
        <v>41.49</v>
      </c>
      <c r="E49" s="50">
        <f>VLOOKUP($A49,'Data shares'!$C:$FM,106)</f>
        <v>41.49</v>
      </c>
      <c r="F49" s="50">
        <f>VLOOKUP($A49,'Data shares'!$C:$FM,108)</f>
        <v>0</v>
      </c>
      <c r="G49" s="50">
        <f t="shared" si="1"/>
        <v>1</v>
      </c>
    </row>
    <row r="50" spans="1:7" x14ac:dyDescent="0.25">
      <c r="A50" s="49" t="str">
        <f>'Data shares'!C45</f>
        <v>CAMS</v>
      </c>
      <c r="B50" s="50">
        <f>VLOOKUP($A50,'Data shares'!$C:$FM,102)</f>
        <v>32.43</v>
      </c>
      <c r="C50" s="50">
        <f>VLOOKUP($A50,'Data shares'!$C:$FM,110)</f>
        <v>32.630000000000003</v>
      </c>
      <c r="D50" s="50">
        <f>VLOOKUP($A50,'Data shares'!$C:$FM,114)</f>
        <v>32.18</v>
      </c>
      <c r="E50" s="50">
        <f>VLOOKUP($A50,'Data shares'!$C:$FM,106)</f>
        <v>45.89</v>
      </c>
      <c r="F50" s="50">
        <f>VLOOKUP($A50,'Data shares'!$C:$FM,108)</f>
        <v>-13.46</v>
      </c>
      <c r="G50" s="50">
        <f t="shared" si="1"/>
        <v>0.70668991065591635</v>
      </c>
    </row>
    <row r="51" spans="1:7" x14ac:dyDescent="0.25">
      <c r="A51" s="49" t="str">
        <f>'Data shares'!C46</f>
        <v>CANBK</v>
      </c>
      <c r="B51" s="50">
        <f>VLOOKUP($A51,'Data shares'!$C:$FM,102)</f>
        <v>28.63</v>
      </c>
      <c r="C51" s="50">
        <f>VLOOKUP($A51,'Data shares'!$C:$FM,110)</f>
        <v>28.89</v>
      </c>
      <c r="D51" s="50">
        <f>VLOOKUP($A51,'Data shares'!$C:$FM,114)</f>
        <v>28.26</v>
      </c>
      <c r="E51" s="50">
        <f>VLOOKUP($A51,'Data shares'!$C:$FM,106)</f>
        <v>39.840000000000003</v>
      </c>
      <c r="F51" s="50">
        <f>VLOOKUP($A51,'Data shares'!$C:$FM,108)</f>
        <v>-11.21</v>
      </c>
      <c r="G51" s="50">
        <f t="shared" si="1"/>
        <v>0.71862449799196781</v>
      </c>
    </row>
    <row r="52" spans="1:7" x14ac:dyDescent="0.25">
      <c r="A52" s="49" t="str">
        <f>'Data shares'!C47</f>
        <v>CDSL</v>
      </c>
      <c r="B52" s="50">
        <f>VLOOKUP($A52,'Data shares'!$C:$FM,102)</f>
        <v>34.049999999999997</v>
      </c>
      <c r="C52" s="50">
        <f>VLOOKUP($A52,'Data shares'!$C:$FM,110)</f>
        <v>34.549999999999997</v>
      </c>
      <c r="D52" s="50">
        <f>VLOOKUP($A52,'Data shares'!$C:$FM,114)</f>
        <v>33.32</v>
      </c>
      <c r="E52" s="50">
        <f>VLOOKUP($A52,'Data shares'!$C:$FM,106)</f>
        <v>51.37</v>
      </c>
      <c r="F52" s="50">
        <f>VLOOKUP($A52,'Data shares'!$C:$FM,108)</f>
        <v>-17.32</v>
      </c>
      <c r="G52" s="50">
        <f t="shared" si="1"/>
        <v>0.66283823243138018</v>
      </c>
    </row>
    <row r="53" spans="1:7" x14ac:dyDescent="0.25">
      <c r="A53" s="49" t="str">
        <f>'Data shares'!C48</f>
        <v>CESC</v>
      </c>
      <c r="B53" s="50">
        <f>VLOOKUP($A53,'Data shares'!$C:$FM,102)</f>
        <v>32.75</v>
      </c>
      <c r="C53" s="50">
        <f>VLOOKUP($A53,'Data shares'!$C:$FM,110)</f>
        <v>33.75</v>
      </c>
      <c r="D53" s="50">
        <f>VLOOKUP($A53,'Data shares'!$C:$FM,114)</f>
        <v>30.59</v>
      </c>
      <c r="E53" s="50">
        <f>VLOOKUP($A53,'Data shares'!$C:$FM,106)</f>
        <v>43.24</v>
      </c>
      <c r="F53" s="50">
        <f>VLOOKUP($A53,'Data shares'!$C:$FM,108)</f>
        <v>-10.49</v>
      </c>
      <c r="G53" s="50">
        <f t="shared" si="1"/>
        <v>0.75740055504162807</v>
      </c>
    </row>
    <row r="54" spans="1:7" x14ac:dyDescent="0.25">
      <c r="A54" s="49" t="str">
        <f>'Data shares'!C49</f>
        <v>CGPOWER</v>
      </c>
      <c r="B54" s="50">
        <f>VLOOKUP($A54,'Data shares'!$C:$FM,102)</f>
        <v>28.44</v>
      </c>
      <c r="C54" s="50">
        <f>VLOOKUP($A54,'Data shares'!$C:$FM,110)</f>
        <v>28.42</v>
      </c>
      <c r="D54" s="50">
        <f>VLOOKUP($A54,'Data shares'!$C:$FM,114)</f>
        <v>28.47</v>
      </c>
      <c r="E54" s="50">
        <f>VLOOKUP($A54,'Data shares'!$C:$FM,106)</f>
        <v>44.81</v>
      </c>
      <c r="F54" s="50">
        <f>VLOOKUP($A54,'Data shares'!$C:$FM,108)</f>
        <v>-16.37</v>
      </c>
      <c r="G54" s="50">
        <f t="shared" si="1"/>
        <v>0.63467975898237006</v>
      </c>
    </row>
    <row r="55" spans="1:7" x14ac:dyDescent="0.25">
      <c r="A55" s="49" t="str">
        <f>'Data shares'!C50</f>
        <v>CHAMBLFERT</v>
      </c>
      <c r="B55" s="50">
        <f>VLOOKUP($A55,'Data shares'!$C:$FM,102)</f>
        <v>46.04</v>
      </c>
      <c r="C55" s="50">
        <f>VLOOKUP($A55,'Data shares'!$C:$FM,110)</f>
        <v>46.04</v>
      </c>
      <c r="D55" s="50">
        <f>VLOOKUP($A55,'Data shares'!$C:$FM,114)</f>
        <v>46.04</v>
      </c>
      <c r="E55" s="50">
        <f>VLOOKUP($A55,'Data shares'!$C:$FM,106)</f>
        <v>46.04</v>
      </c>
      <c r="F55" s="50">
        <f>VLOOKUP($A55,'Data shares'!$C:$FM,108)</f>
        <v>0</v>
      </c>
      <c r="G55" s="50">
        <f t="shared" si="1"/>
        <v>1</v>
      </c>
    </row>
    <row r="56" spans="1:7" x14ac:dyDescent="0.25">
      <c r="A56" s="49" t="str">
        <f>'Data shares'!C51</f>
        <v>CHOLAFIN</v>
      </c>
      <c r="B56" s="50">
        <f>VLOOKUP($A56,'Data shares'!$C:$FM,102)</f>
        <v>31.65</v>
      </c>
      <c r="C56" s="50">
        <f>VLOOKUP($A56,'Data shares'!$C:$FM,110)</f>
        <v>31.59</v>
      </c>
      <c r="D56" s="50">
        <f>VLOOKUP($A56,'Data shares'!$C:$FM,114)</f>
        <v>31.73</v>
      </c>
      <c r="E56" s="50">
        <f>VLOOKUP($A56,'Data shares'!$C:$FM,106)</f>
        <v>40.11</v>
      </c>
      <c r="F56" s="50">
        <f>VLOOKUP($A56,'Data shares'!$C:$FM,108)</f>
        <v>-8.4600000000000009</v>
      </c>
      <c r="G56" s="50">
        <f t="shared" si="1"/>
        <v>0.78908002991772619</v>
      </c>
    </row>
    <row r="57" spans="1:7" x14ac:dyDescent="0.25">
      <c r="A57" s="49" t="str">
        <f>'Data shares'!C52</f>
        <v>CIPLA</v>
      </c>
      <c r="B57" s="50">
        <f>VLOOKUP($A57,'Data shares'!$C:$FM,102)</f>
        <v>21.58</v>
      </c>
      <c r="C57" s="50">
        <f>VLOOKUP($A57,'Data shares'!$C:$FM,110)</f>
        <v>21.29</v>
      </c>
      <c r="D57" s="50">
        <f>VLOOKUP($A57,'Data shares'!$C:$FM,114)</f>
        <v>21.89</v>
      </c>
      <c r="E57" s="50">
        <f>VLOOKUP($A57,'Data shares'!$C:$FM,106)</f>
        <v>27.27</v>
      </c>
      <c r="F57" s="50">
        <f>VLOOKUP($A57,'Data shares'!$C:$FM,108)</f>
        <v>-5.69</v>
      </c>
      <c r="G57" s="50">
        <f t="shared" si="1"/>
        <v>0.79134580124679132</v>
      </c>
    </row>
    <row r="58" spans="1:7" x14ac:dyDescent="0.25">
      <c r="A58" s="49" t="str">
        <f>'Data shares'!C53</f>
        <v>COALINDIA</v>
      </c>
      <c r="B58" s="50">
        <f>VLOOKUP($A58,'Data shares'!$C:$FM,102)</f>
        <v>21.81</v>
      </c>
      <c r="C58" s="50">
        <f>VLOOKUP($A58,'Data shares'!$C:$FM,110)</f>
        <v>22.28</v>
      </c>
      <c r="D58" s="50">
        <f>VLOOKUP($A58,'Data shares'!$C:$FM,114)</f>
        <v>21.11</v>
      </c>
      <c r="E58" s="50">
        <f>VLOOKUP($A58,'Data shares'!$C:$FM,106)</f>
        <v>31.64</v>
      </c>
      <c r="F58" s="50">
        <f>VLOOKUP($A58,'Data shares'!$C:$FM,108)</f>
        <v>-9.83</v>
      </c>
      <c r="G58" s="50">
        <f t="shared" si="1"/>
        <v>0.68931731984829325</v>
      </c>
    </row>
    <row r="59" spans="1:7" x14ac:dyDescent="0.25">
      <c r="A59" s="49" t="str">
        <f>'Data shares'!C54</f>
        <v>COFORGE</v>
      </c>
      <c r="B59" s="50">
        <f>VLOOKUP($A59,'Data shares'!$C:$FM,102)</f>
        <v>30.77</v>
      </c>
      <c r="C59" s="50">
        <f>VLOOKUP($A59,'Data shares'!$C:$FM,110)</f>
        <v>30.54</v>
      </c>
      <c r="D59" s="50">
        <f>VLOOKUP($A59,'Data shares'!$C:$FM,114)</f>
        <v>31.23</v>
      </c>
      <c r="E59" s="50">
        <f>VLOOKUP($A59,'Data shares'!$C:$FM,106)</f>
        <v>43.76</v>
      </c>
      <c r="F59" s="50">
        <f>VLOOKUP($A59,'Data shares'!$C:$FM,108)</f>
        <v>-12.99</v>
      </c>
      <c r="G59" s="50">
        <f t="shared" si="1"/>
        <v>0.70315356489945158</v>
      </c>
    </row>
    <row r="60" spans="1:7" x14ac:dyDescent="0.25">
      <c r="A60" s="49" t="str">
        <f>'Data shares'!C55</f>
        <v>COLPAL</v>
      </c>
      <c r="B60" s="50">
        <f>VLOOKUP($A60,'Data shares'!$C:$FM,102)</f>
        <v>19.97</v>
      </c>
      <c r="C60" s="50">
        <f>VLOOKUP($A60,'Data shares'!$C:$FM,110)</f>
        <v>20</v>
      </c>
      <c r="D60" s="50">
        <f>VLOOKUP($A60,'Data shares'!$C:$FM,114)</f>
        <v>19.93</v>
      </c>
      <c r="E60" s="50">
        <f>VLOOKUP($A60,'Data shares'!$C:$FM,106)</f>
        <v>28.86</v>
      </c>
      <c r="F60" s="50">
        <f>VLOOKUP($A60,'Data shares'!$C:$FM,108)</f>
        <v>-8.89</v>
      </c>
      <c r="G60" s="50">
        <f t="shared" si="1"/>
        <v>0.69196119196119199</v>
      </c>
    </row>
    <row r="61" spans="1:7" x14ac:dyDescent="0.25">
      <c r="A61" s="49" t="str">
        <f>'Data shares'!C56</f>
        <v>CONCOR</v>
      </c>
      <c r="B61" s="50">
        <f>VLOOKUP($A61,'Data shares'!$C:$FM,102)</f>
        <v>27.2</v>
      </c>
      <c r="C61" s="50">
        <f>VLOOKUP($A61,'Data shares'!$C:$FM,110)</f>
        <v>27.32</v>
      </c>
      <c r="D61" s="50">
        <f>VLOOKUP($A61,'Data shares'!$C:$FM,114)</f>
        <v>27.07</v>
      </c>
      <c r="E61" s="50">
        <f>VLOOKUP($A61,'Data shares'!$C:$FM,106)</f>
        <v>39.049999999999997</v>
      </c>
      <c r="F61" s="50">
        <f>VLOOKUP($A61,'Data shares'!$C:$FM,108)</f>
        <v>-11.85</v>
      </c>
      <c r="G61" s="50">
        <f t="shared" si="1"/>
        <v>0.69654289372599232</v>
      </c>
    </row>
    <row r="62" spans="1:7" x14ac:dyDescent="0.25">
      <c r="A62" s="49" t="str">
        <f>'Data shares'!C57</f>
        <v>CROMPTON</v>
      </c>
      <c r="B62" s="50">
        <f>VLOOKUP($A62,'Data shares'!$C:$FM,102)</f>
        <v>32.67</v>
      </c>
      <c r="C62" s="50">
        <f>VLOOKUP($A62,'Data shares'!$C:$FM,110)</f>
        <v>32.42</v>
      </c>
      <c r="D62" s="50">
        <f>VLOOKUP($A62,'Data shares'!$C:$FM,114)</f>
        <v>32.94</v>
      </c>
      <c r="E62" s="50">
        <f>VLOOKUP($A62,'Data shares'!$C:$FM,106)</f>
        <v>35.17</v>
      </c>
      <c r="F62" s="50">
        <f>VLOOKUP($A62,'Data shares'!$C:$FM,108)</f>
        <v>-2.5</v>
      </c>
      <c r="G62" s="50">
        <f t="shared" si="1"/>
        <v>0.92891669036110325</v>
      </c>
    </row>
    <row r="63" spans="1:7" x14ac:dyDescent="0.25">
      <c r="A63" s="49" t="str">
        <f>'Data shares'!C58</f>
        <v>CUMMINSIND</v>
      </c>
      <c r="B63" s="50">
        <f>VLOOKUP($A63,'Data shares'!$C:$FM,102)</f>
        <v>32.28</v>
      </c>
      <c r="C63" s="50">
        <f>VLOOKUP($A63,'Data shares'!$C:$FM,110)</f>
        <v>31.81</v>
      </c>
      <c r="D63" s="50">
        <f>VLOOKUP($A63,'Data shares'!$C:$FM,114)</f>
        <v>33.07</v>
      </c>
      <c r="E63" s="50">
        <f>VLOOKUP($A63,'Data shares'!$C:$FM,106)</f>
        <v>38.29</v>
      </c>
      <c r="F63" s="50">
        <f>VLOOKUP($A63,'Data shares'!$C:$FM,108)</f>
        <v>-6.01</v>
      </c>
      <c r="G63" s="50">
        <f t="shared" si="1"/>
        <v>0.84303995821363287</v>
      </c>
    </row>
    <row r="64" spans="1:7" x14ac:dyDescent="0.25">
      <c r="A64" s="49" t="str">
        <f>'Data shares'!C59</f>
        <v>CYIENT</v>
      </c>
      <c r="B64" s="50">
        <f>VLOOKUP($A64,'Data shares'!$C:$FM,102)</f>
        <v>31.33</v>
      </c>
      <c r="C64" s="50">
        <f>VLOOKUP($A64,'Data shares'!$C:$FM,110)</f>
        <v>32.28</v>
      </c>
      <c r="D64" s="50">
        <f>VLOOKUP($A64,'Data shares'!$C:$FM,114)</f>
        <v>30.41</v>
      </c>
      <c r="E64" s="50">
        <f>VLOOKUP($A64,'Data shares'!$C:$FM,106)</f>
        <v>47.33</v>
      </c>
      <c r="F64" s="50">
        <f>VLOOKUP($A64,'Data shares'!$C:$FM,108)</f>
        <v>-16</v>
      </c>
      <c r="G64" s="50">
        <f t="shared" si="1"/>
        <v>0.66194802450876822</v>
      </c>
    </row>
    <row r="65" spans="1:7" x14ac:dyDescent="0.25">
      <c r="A65" s="49" t="str">
        <f>'Data shares'!C60</f>
        <v>DABUR</v>
      </c>
      <c r="B65" s="50">
        <f>VLOOKUP($A65,'Data shares'!$C:$FM,102)</f>
        <v>23.64</v>
      </c>
      <c r="C65" s="50">
        <f>VLOOKUP($A65,'Data shares'!$C:$FM,110)</f>
        <v>23.43</v>
      </c>
      <c r="D65" s="50">
        <f>VLOOKUP($A65,'Data shares'!$C:$FM,114)</f>
        <v>24.08</v>
      </c>
      <c r="E65" s="50">
        <f>VLOOKUP($A65,'Data shares'!$C:$FM,106)</f>
        <v>25.09</v>
      </c>
      <c r="F65" s="50">
        <f>VLOOKUP($A65,'Data shares'!$C:$FM,108)</f>
        <v>-1.45</v>
      </c>
      <c r="G65" s="50">
        <f t="shared" si="1"/>
        <v>0.9422080510163412</v>
      </c>
    </row>
    <row r="66" spans="1:7" x14ac:dyDescent="0.25">
      <c r="A66" s="49" t="str">
        <f>'Data shares'!C61</f>
        <v>DALBHARAT</v>
      </c>
      <c r="B66" s="50">
        <f>VLOOKUP($A66,'Data shares'!$C:$FM,102)</f>
        <v>26.89</v>
      </c>
      <c r="C66" s="50">
        <f>VLOOKUP($A66,'Data shares'!$C:$FM,110)</f>
        <v>26.35</v>
      </c>
      <c r="D66" s="50">
        <f>VLOOKUP($A66,'Data shares'!$C:$FM,114)</f>
        <v>27.64</v>
      </c>
      <c r="E66" s="50">
        <f>VLOOKUP($A66,'Data shares'!$C:$FM,106)</f>
        <v>32.700000000000003</v>
      </c>
      <c r="F66" s="50">
        <f>VLOOKUP($A66,'Data shares'!$C:$FM,108)</f>
        <v>-5.81</v>
      </c>
      <c r="G66" s="50">
        <f t="shared" si="1"/>
        <v>0.82232415902140665</v>
      </c>
    </row>
    <row r="67" spans="1:7" x14ac:dyDescent="0.25">
      <c r="A67" s="49" t="str">
        <f>'Data shares'!C62</f>
        <v>DELHIVERY</v>
      </c>
      <c r="B67" s="50">
        <f>VLOOKUP($A67,'Data shares'!$C:$FM,102)</f>
        <v>40.79</v>
      </c>
      <c r="C67" s="50">
        <f>VLOOKUP($A67,'Data shares'!$C:$FM,110)</f>
        <v>40.1</v>
      </c>
      <c r="D67" s="50">
        <f>VLOOKUP($A67,'Data shares'!$C:$FM,114)</f>
        <v>42.41</v>
      </c>
      <c r="E67" s="50">
        <f>VLOOKUP($A67,'Data shares'!$C:$FM,106)</f>
        <v>42.17</v>
      </c>
      <c r="F67" s="50">
        <f>VLOOKUP($A67,'Data shares'!$C:$FM,108)</f>
        <v>-1.38</v>
      </c>
      <c r="G67" s="50">
        <f t="shared" si="1"/>
        <v>0.96727531420441071</v>
      </c>
    </row>
    <row r="68" spans="1:7" x14ac:dyDescent="0.25">
      <c r="A68" s="49" t="str">
        <f>'Data shares'!C63</f>
        <v>DIVISLAB</v>
      </c>
      <c r="B68" s="50">
        <f>VLOOKUP($A68,'Data shares'!$C:$FM,102)</f>
        <v>31.03</v>
      </c>
      <c r="C68" s="50">
        <f>VLOOKUP($A68,'Data shares'!$C:$FM,110)</f>
        <v>31.19</v>
      </c>
      <c r="D68" s="50">
        <f>VLOOKUP($A68,'Data shares'!$C:$FM,114)</f>
        <v>30.77</v>
      </c>
      <c r="E68" s="50">
        <f>VLOOKUP($A68,'Data shares'!$C:$FM,106)</f>
        <v>31.69</v>
      </c>
      <c r="F68" s="50">
        <f>VLOOKUP($A68,'Data shares'!$C:$FM,108)</f>
        <v>-0.66</v>
      </c>
      <c r="G68" s="50">
        <f t="shared" si="1"/>
        <v>0.97917324076995893</v>
      </c>
    </row>
    <row r="69" spans="1:7" x14ac:dyDescent="0.25">
      <c r="A69" s="49" t="str">
        <f>'Data shares'!C64</f>
        <v>DIXON</v>
      </c>
      <c r="B69" s="50">
        <f>VLOOKUP($A69,'Data shares'!$C:$FM,102)</f>
        <v>32.58</v>
      </c>
      <c r="C69" s="50">
        <f>VLOOKUP($A69,'Data shares'!$C:$FM,110)</f>
        <v>31.96</v>
      </c>
      <c r="D69" s="50">
        <f>VLOOKUP($A69,'Data shares'!$C:$FM,114)</f>
        <v>33.409999999999997</v>
      </c>
      <c r="E69" s="50">
        <f>VLOOKUP($A69,'Data shares'!$C:$FM,106)</f>
        <v>47.8</v>
      </c>
      <c r="F69" s="50">
        <f>VLOOKUP($A69,'Data shares'!$C:$FM,108)</f>
        <v>-15.22</v>
      </c>
      <c r="G69" s="50">
        <f t="shared" si="1"/>
        <v>0.68158995815899581</v>
      </c>
    </row>
    <row r="70" spans="1:7" x14ac:dyDescent="0.25">
      <c r="A70" s="49" t="str">
        <f>'Data shares'!C65</f>
        <v>DLF</v>
      </c>
      <c r="B70" s="50">
        <f>VLOOKUP($A70,'Data shares'!$C:$FM,102)</f>
        <v>30.28</v>
      </c>
      <c r="C70" s="50">
        <f>VLOOKUP($A70,'Data shares'!$C:$FM,110)</f>
        <v>30.27</v>
      </c>
      <c r="D70" s="50">
        <f>VLOOKUP($A70,'Data shares'!$C:$FM,114)</f>
        <v>30.28</v>
      </c>
      <c r="E70" s="50">
        <f>VLOOKUP($A70,'Data shares'!$C:$FM,106)</f>
        <v>39.83</v>
      </c>
      <c r="F70" s="50">
        <f>VLOOKUP($A70,'Data shares'!$C:$FM,108)</f>
        <v>-9.5500000000000007</v>
      </c>
      <c r="G70" s="50">
        <f t="shared" si="1"/>
        <v>0.76023098167210656</v>
      </c>
    </row>
    <row r="71" spans="1:7" x14ac:dyDescent="0.25">
      <c r="A71" s="49" t="str">
        <f>'Data shares'!C66</f>
        <v>DMART</v>
      </c>
      <c r="B71" s="50">
        <f>VLOOKUP($A71,'Data shares'!$C:$FM,102)</f>
        <v>28</v>
      </c>
      <c r="C71" s="50">
        <f>VLOOKUP($A71,'Data shares'!$C:$FM,110)</f>
        <v>27.69</v>
      </c>
      <c r="D71" s="50">
        <f>VLOOKUP($A71,'Data shares'!$C:$FM,114)</f>
        <v>28.92</v>
      </c>
      <c r="E71" s="50">
        <f>VLOOKUP($A71,'Data shares'!$C:$FM,106)</f>
        <v>34.619999999999997</v>
      </c>
      <c r="F71" s="50">
        <f>VLOOKUP($A71,'Data shares'!$C:$FM,108)</f>
        <v>-6.62</v>
      </c>
      <c r="G71" s="50">
        <f t="shared" ref="G71:G102" si="2">B71/E71</f>
        <v>0.80878105141536694</v>
      </c>
    </row>
    <row r="72" spans="1:7" x14ac:dyDescent="0.25">
      <c r="A72" s="49" t="str">
        <f>'Data shares'!C67</f>
        <v>DRREDDY</v>
      </c>
      <c r="B72" s="50">
        <f>VLOOKUP($A72,'Data shares'!$C:$FM,102)</f>
        <v>24.46</v>
      </c>
      <c r="C72" s="50">
        <f>VLOOKUP($A72,'Data shares'!$C:$FM,110)</f>
        <v>24.27</v>
      </c>
      <c r="D72" s="50">
        <f>VLOOKUP($A72,'Data shares'!$C:$FM,114)</f>
        <v>24.78</v>
      </c>
      <c r="E72" s="50">
        <f>VLOOKUP($A72,'Data shares'!$C:$FM,106)</f>
        <v>25.08</v>
      </c>
      <c r="F72" s="50">
        <f>VLOOKUP($A72,'Data shares'!$C:$FM,108)</f>
        <v>-0.62</v>
      </c>
      <c r="G72" s="50">
        <f t="shared" si="2"/>
        <v>0.9752791068580543</v>
      </c>
    </row>
    <row r="73" spans="1:7" x14ac:dyDescent="0.25">
      <c r="A73" s="49" t="str">
        <f>'Data shares'!C68</f>
        <v>EICHERMOT</v>
      </c>
      <c r="B73" s="50">
        <f>VLOOKUP($A73,'Data shares'!$C:$FM,102)</f>
        <v>26.55</v>
      </c>
      <c r="C73" s="50">
        <f>VLOOKUP($A73,'Data shares'!$C:$FM,110)</f>
        <v>26.42</v>
      </c>
      <c r="D73" s="50">
        <f>VLOOKUP($A73,'Data shares'!$C:$FM,114)</f>
        <v>26.77</v>
      </c>
      <c r="E73" s="50">
        <f>VLOOKUP($A73,'Data shares'!$C:$FM,106)</f>
        <v>29.35</v>
      </c>
      <c r="F73" s="50">
        <f>VLOOKUP($A73,'Data shares'!$C:$FM,108)</f>
        <v>-2.8</v>
      </c>
      <c r="G73" s="50">
        <f t="shared" si="2"/>
        <v>0.90459965928449737</v>
      </c>
    </row>
    <row r="74" spans="1:7" x14ac:dyDescent="0.25">
      <c r="A74" s="49" t="str">
        <f>'Data shares'!C69</f>
        <v>ETERNAL</v>
      </c>
      <c r="B74" s="50">
        <f>VLOOKUP($A74,'Data shares'!$C:$FM,102)</f>
        <v>36.270000000000003</v>
      </c>
      <c r="C74" s="50">
        <f>VLOOKUP($A74,'Data shares'!$C:$FM,110)</f>
        <v>35.450000000000003</v>
      </c>
      <c r="D74" s="50">
        <f>VLOOKUP($A74,'Data shares'!$C:$FM,114)</f>
        <v>37.909999999999997</v>
      </c>
      <c r="E74" s="50">
        <f>VLOOKUP($A74,'Data shares'!$C:$FM,106)</f>
        <v>50.17</v>
      </c>
      <c r="F74" s="50">
        <f>VLOOKUP($A74,'Data shares'!$C:$FM,108)</f>
        <v>-13.9</v>
      </c>
      <c r="G74" s="50">
        <f t="shared" si="2"/>
        <v>0.72294199720948782</v>
      </c>
    </row>
    <row r="75" spans="1:7" x14ac:dyDescent="0.25">
      <c r="A75" s="49" t="str">
        <f>'Data shares'!C70</f>
        <v>EXIDEIND</v>
      </c>
      <c r="B75" s="50">
        <f>VLOOKUP($A75,'Data shares'!$C:$FM,102)</f>
        <v>30.44</v>
      </c>
      <c r="C75" s="50">
        <f>VLOOKUP($A75,'Data shares'!$C:$FM,110)</f>
        <v>30.38</v>
      </c>
      <c r="D75" s="50">
        <f>VLOOKUP($A75,'Data shares'!$C:$FM,114)</f>
        <v>30.52</v>
      </c>
      <c r="E75" s="50">
        <f>VLOOKUP($A75,'Data shares'!$C:$FM,106)</f>
        <v>37.35</v>
      </c>
      <c r="F75" s="50">
        <f>VLOOKUP($A75,'Data shares'!$C:$FM,108)</f>
        <v>-6.91</v>
      </c>
      <c r="G75" s="50">
        <f t="shared" si="2"/>
        <v>0.81499330655957158</v>
      </c>
    </row>
    <row r="76" spans="1:7" x14ac:dyDescent="0.25">
      <c r="A76" s="49" t="str">
        <f>'Data shares'!C71</f>
        <v>FEDERALBNK</v>
      </c>
      <c r="B76" s="50">
        <f>VLOOKUP($A76,'Data shares'!$C:$FM,102)</f>
        <v>26.87</v>
      </c>
      <c r="C76" s="50">
        <f>VLOOKUP($A76,'Data shares'!$C:$FM,110)</f>
        <v>27.11</v>
      </c>
      <c r="D76" s="50">
        <f>VLOOKUP($A76,'Data shares'!$C:$FM,114)</f>
        <v>26.56</v>
      </c>
      <c r="E76" s="50">
        <f>VLOOKUP($A76,'Data shares'!$C:$FM,106)</f>
        <v>30.43</v>
      </c>
      <c r="F76" s="50">
        <f>VLOOKUP($A76,'Data shares'!$C:$FM,108)</f>
        <v>-3.56</v>
      </c>
      <c r="G76" s="50">
        <f t="shared" si="2"/>
        <v>0.88301018731514958</v>
      </c>
    </row>
    <row r="77" spans="1:7" x14ac:dyDescent="0.25">
      <c r="A77" s="49" t="str">
        <f>'Data shares'!C72</f>
        <v>FINNIFTY</v>
      </c>
      <c r="B77" s="50">
        <f>VLOOKUP($A77,'Data shares'!$C:$FM,102)</f>
        <v>11.95</v>
      </c>
      <c r="C77" s="50">
        <f>VLOOKUP($A77,'Data shares'!$C:$FM,110)</f>
        <v>11.85</v>
      </c>
      <c r="D77" s="50">
        <f>VLOOKUP($A77,'Data shares'!$C:$FM,114)</f>
        <v>12.05</v>
      </c>
      <c r="E77" s="50">
        <f>VLOOKUP($A77,'Data shares'!$C:$FM,106)</f>
        <v>19.100000000000001</v>
      </c>
      <c r="F77" s="50">
        <f>VLOOKUP($A77,'Data shares'!$C:$FM,108)</f>
        <v>-7.15</v>
      </c>
      <c r="G77" s="50">
        <f t="shared" si="2"/>
        <v>0.62565445026178002</v>
      </c>
    </row>
    <row r="78" spans="1:7" x14ac:dyDescent="0.25">
      <c r="A78" s="49" t="str">
        <f>'Data shares'!C73</f>
        <v>FORTIS</v>
      </c>
      <c r="B78" s="50">
        <f>VLOOKUP($A78,'Data shares'!$C:$FM,102)</f>
        <v>32.53</v>
      </c>
      <c r="C78" s="50">
        <f>VLOOKUP($A78,'Data shares'!$C:$FM,110)</f>
        <v>32.369999999999997</v>
      </c>
      <c r="D78" s="50">
        <f>VLOOKUP($A78,'Data shares'!$C:$FM,114)</f>
        <v>33.130000000000003</v>
      </c>
      <c r="E78" s="50">
        <f>VLOOKUP($A78,'Data shares'!$C:$FM,106)</f>
        <v>37.74</v>
      </c>
      <c r="F78" s="50">
        <f>VLOOKUP($A78,'Data shares'!$C:$FM,108)</f>
        <v>-5.21</v>
      </c>
      <c r="G78" s="50">
        <f t="shared" si="2"/>
        <v>0.86195018547959723</v>
      </c>
    </row>
    <row r="79" spans="1:7" x14ac:dyDescent="0.25">
      <c r="A79" s="49" t="str">
        <f>'Data shares'!C74</f>
        <v>GAIL</v>
      </c>
      <c r="B79" s="50">
        <f>VLOOKUP($A79,'Data shares'!$C:$FM,102)</f>
        <v>28.01</v>
      </c>
      <c r="C79" s="50">
        <f>VLOOKUP($A79,'Data shares'!$C:$FM,110)</f>
        <v>28.43</v>
      </c>
      <c r="D79" s="50">
        <f>VLOOKUP($A79,'Data shares'!$C:$FM,114)</f>
        <v>27.51</v>
      </c>
      <c r="E79" s="50">
        <f>VLOOKUP($A79,'Data shares'!$C:$FM,106)</f>
        <v>39.46</v>
      </c>
      <c r="F79" s="50">
        <f>VLOOKUP($A79,'Data shares'!$C:$FM,108)</f>
        <v>-11.45</v>
      </c>
      <c r="G79" s="50">
        <f t="shared" si="2"/>
        <v>0.70983274201723268</v>
      </c>
    </row>
    <row r="80" spans="1:7" x14ac:dyDescent="0.25">
      <c r="A80" s="49" t="str">
        <f>'Data shares'!C75</f>
        <v>GLENMARK</v>
      </c>
      <c r="B80" s="50">
        <f>VLOOKUP($A80,'Data shares'!$C:$FM,102)</f>
        <v>32.19</v>
      </c>
      <c r="C80" s="50">
        <f>VLOOKUP($A80,'Data shares'!$C:$FM,110)</f>
        <v>31.55</v>
      </c>
      <c r="D80" s="50">
        <f>VLOOKUP($A80,'Data shares'!$C:$FM,114)</f>
        <v>33.770000000000003</v>
      </c>
      <c r="E80" s="50">
        <f>VLOOKUP($A80,'Data shares'!$C:$FM,106)</f>
        <v>40.32</v>
      </c>
      <c r="F80" s="50">
        <f>VLOOKUP($A80,'Data shares'!$C:$FM,108)</f>
        <v>-8.1300000000000008</v>
      </c>
      <c r="G80" s="50">
        <f t="shared" si="2"/>
        <v>0.79836309523809512</v>
      </c>
    </row>
    <row r="81" spans="1:7" x14ac:dyDescent="0.25">
      <c r="A81" s="49" t="str">
        <f>'Data shares'!C76</f>
        <v>GMRAIRPORT</v>
      </c>
      <c r="B81" s="50">
        <f>VLOOKUP($A81,'Data shares'!$C:$FM,102)</f>
        <v>29.62</v>
      </c>
      <c r="C81" s="50">
        <f>VLOOKUP($A81,'Data shares'!$C:$FM,110)</f>
        <v>29.07</v>
      </c>
      <c r="D81" s="50">
        <f>VLOOKUP($A81,'Data shares'!$C:$FM,114)</f>
        <v>30.06</v>
      </c>
      <c r="E81" s="50">
        <f>VLOOKUP($A81,'Data shares'!$C:$FM,106)</f>
        <v>40.03</v>
      </c>
      <c r="F81" s="50">
        <f>VLOOKUP($A81,'Data shares'!$C:$FM,108)</f>
        <v>-10.41</v>
      </c>
      <c r="G81" s="50">
        <f t="shared" si="2"/>
        <v>0.73994504121908566</v>
      </c>
    </row>
    <row r="82" spans="1:7" x14ac:dyDescent="0.25">
      <c r="A82" s="49" t="str">
        <f>'Data shares'!C77</f>
        <v>GODREJCP</v>
      </c>
      <c r="B82" s="50">
        <f>VLOOKUP($A82,'Data shares'!$C:$FM,102)</f>
        <v>26.35</v>
      </c>
      <c r="C82" s="50">
        <f>VLOOKUP($A82,'Data shares'!$C:$FM,110)</f>
        <v>26.19</v>
      </c>
      <c r="D82" s="50">
        <f>VLOOKUP($A82,'Data shares'!$C:$FM,114)</f>
        <v>27.34</v>
      </c>
      <c r="E82" s="50">
        <f>VLOOKUP($A82,'Data shares'!$C:$FM,106)</f>
        <v>31.25</v>
      </c>
      <c r="F82" s="50">
        <f>VLOOKUP($A82,'Data shares'!$C:$FM,108)</f>
        <v>-4.9000000000000004</v>
      </c>
      <c r="G82" s="50">
        <f t="shared" si="2"/>
        <v>0.84320000000000006</v>
      </c>
    </row>
    <row r="83" spans="1:7" x14ac:dyDescent="0.25">
      <c r="A83" s="49" t="str">
        <f>'Data shares'!C78</f>
        <v>GODREJPROP</v>
      </c>
      <c r="B83" s="50">
        <f>VLOOKUP($A83,'Data shares'!$C:$FM,102)</f>
        <v>36.83</v>
      </c>
      <c r="C83" s="50">
        <f>VLOOKUP($A83,'Data shares'!$C:$FM,110)</f>
        <v>36.090000000000003</v>
      </c>
      <c r="D83" s="50">
        <f>VLOOKUP($A83,'Data shares'!$C:$FM,114)</f>
        <v>37.85</v>
      </c>
      <c r="E83" s="50">
        <f>VLOOKUP($A83,'Data shares'!$C:$FM,106)</f>
        <v>46.6</v>
      </c>
      <c r="F83" s="50">
        <f>VLOOKUP($A83,'Data shares'!$C:$FM,108)</f>
        <v>-9.77</v>
      </c>
      <c r="G83" s="50">
        <f t="shared" si="2"/>
        <v>0.79034334763948488</v>
      </c>
    </row>
    <row r="84" spans="1:7" x14ac:dyDescent="0.25">
      <c r="A84" s="49" t="str">
        <f>'Data shares'!C79</f>
        <v>GRANULES</v>
      </c>
      <c r="B84" s="50">
        <f>VLOOKUP($A84,'Data shares'!$C:$FM,102)</f>
        <v>33.83</v>
      </c>
      <c r="C84" s="50">
        <f>VLOOKUP($A84,'Data shares'!$C:$FM,110)</f>
        <v>34.630000000000003</v>
      </c>
      <c r="D84" s="50">
        <f>VLOOKUP($A84,'Data shares'!$C:$FM,114)</f>
        <v>32.85</v>
      </c>
      <c r="E84" s="50">
        <f>VLOOKUP($A84,'Data shares'!$C:$FM,106)</f>
        <v>45.78</v>
      </c>
      <c r="F84" s="50">
        <f>VLOOKUP($A84,'Data shares'!$C:$FM,108)</f>
        <v>-11.95</v>
      </c>
      <c r="G84" s="50">
        <f t="shared" si="2"/>
        <v>0.73896898208824813</v>
      </c>
    </row>
    <row r="85" spans="1:7" x14ac:dyDescent="0.25">
      <c r="A85" s="49" t="str">
        <f>'Data shares'!C80</f>
        <v>GRASIM</v>
      </c>
      <c r="B85" s="50">
        <f>VLOOKUP($A85,'Data shares'!$C:$FM,102)</f>
        <v>23.6</v>
      </c>
      <c r="C85" s="50">
        <f>VLOOKUP($A85,'Data shares'!$C:$FM,110)</f>
        <v>23.36</v>
      </c>
      <c r="D85" s="50">
        <f>VLOOKUP($A85,'Data shares'!$C:$FM,114)</f>
        <v>24.18</v>
      </c>
      <c r="E85" s="50">
        <f>VLOOKUP($A85,'Data shares'!$C:$FM,106)</f>
        <v>27.04</v>
      </c>
      <c r="F85" s="50">
        <f>VLOOKUP($A85,'Data shares'!$C:$FM,108)</f>
        <v>-3.44</v>
      </c>
      <c r="G85" s="50">
        <f t="shared" si="2"/>
        <v>0.87278106508875752</v>
      </c>
    </row>
    <row r="86" spans="1:7" x14ac:dyDescent="0.25">
      <c r="A86" s="49" t="str">
        <f>'Data shares'!C81</f>
        <v>HAL</v>
      </c>
      <c r="B86" s="50">
        <f>VLOOKUP($A86,'Data shares'!$C:$FM,102)</f>
        <v>30.22</v>
      </c>
      <c r="C86" s="50">
        <f>VLOOKUP($A86,'Data shares'!$C:$FM,110)</f>
        <v>30.15</v>
      </c>
      <c r="D86" s="50">
        <f>VLOOKUP($A86,'Data shares'!$C:$FM,114)</f>
        <v>30.35</v>
      </c>
      <c r="E86" s="50">
        <f>VLOOKUP($A86,'Data shares'!$C:$FM,106)</f>
        <v>43.43</v>
      </c>
      <c r="F86" s="50">
        <f>VLOOKUP($A86,'Data shares'!$C:$FM,108)</f>
        <v>-13.21</v>
      </c>
      <c r="G86" s="50">
        <f t="shared" si="2"/>
        <v>0.69583237393506792</v>
      </c>
    </row>
    <row r="87" spans="1:7" x14ac:dyDescent="0.25">
      <c r="A87" s="49" t="str">
        <f>'Data shares'!C82</f>
        <v>HAVELLS</v>
      </c>
      <c r="B87" s="50">
        <f>VLOOKUP($A87,'Data shares'!$C:$FM,102)</f>
        <v>23.04</v>
      </c>
      <c r="C87" s="50">
        <f>VLOOKUP($A87,'Data shares'!$C:$FM,110)</f>
        <v>22.92</v>
      </c>
      <c r="D87" s="50">
        <f>VLOOKUP($A87,'Data shares'!$C:$FM,114)</f>
        <v>23.28</v>
      </c>
      <c r="E87" s="50">
        <f>VLOOKUP($A87,'Data shares'!$C:$FM,106)</f>
        <v>29.89</v>
      </c>
      <c r="F87" s="50">
        <f>VLOOKUP($A87,'Data shares'!$C:$FM,108)</f>
        <v>-6.85</v>
      </c>
      <c r="G87" s="50">
        <f t="shared" si="2"/>
        <v>0.7708263633322181</v>
      </c>
    </row>
    <row r="88" spans="1:7" x14ac:dyDescent="0.25">
      <c r="A88" s="49" t="str">
        <f>'Data shares'!C83</f>
        <v>HCLTECH</v>
      </c>
      <c r="B88" s="50">
        <f>VLOOKUP($A88,'Data shares'!$C:$FM,102)</f>
        <v>21.98</v>
      </c>
      <c r="C88" s="50">
        <f>VLOOKUP($A88,'Data shares'!$C:$FM,110)</f>
        <v>22.32</v>
      </c>
      <c r="D88" s="50">
        <f>VLOOKUP($A88,'Data shares'!$C:$FM,114)</f>
        <v>21.4</v>
      </c>
      <c r="E88" s="50">
        <f>VLOOKUP($A88,'Data shares'!$C:$FM,106)</f>
        <v>30.46</v>
      </c>
      <c r="F88" s="50">
        <f>VLOOKUP($A88,'Data shares'!$C:$FM,108)</f>
        <v>-8.48</v>
      </c>
      <c r="G88" s="50">
        <f t="shared" si="2"/>
        <v>0.72160210111621803</v>
      </c>
    </row>
    <row r="89" spans="1:7" x14ac:dyDescent="0.25">
      <c r="A89" s="49" t="str">
        <f>'Data shares'!C84</f>
        <v>HDFCAMC</v>
      </c>
      <c r="B89" s="50">
        <f>VLOOKUP($A89,'Data shares'!$C:$FM,102)</f>
        <v>27.21</v>
      </c>
      <c r="C89" s="50">
        <f>VLOOKUP($A89,'Data shares'!$C:$FM,110)</f>
        <v>26.06</v>
      </c>
      <c r="D89" s="50">
        <f>VLOOKUP($A89,'Data shares'!$C:$FM,114)</f>
        <v>29.07</v>
      </c>
      <c r="E89" s="50">
        <f>VLOOKUP($A89,'Data shares'!$C:$FM,106)</f>
        <v>36.99</v>
      </c>
      <c r="F89" s="50">
        <f>VLOOKUP($A89,'Data shares'!$C:$FM,108)</f>
        <v>-9.7799999999999994</v>
      </c>
      <c r="G89" s="50">
        <f t="shared" si="2"/>
        <v>0.7356042173560422</v>
      </c>
    </row>
    <row r="90" spans="1:7" x14ac:dyDescent="0.25">
      <c r="A90" s="49" t="str">
        <f>'Data shares'!C85</f>
        <v>HDFCBANK</v>
      </c>
      <c r="B90" s="50">
        <f>VLOOKUP($A90,'Data shares'!$C:$FM,102)</f>
        <v>15.83</v>
      </c>
      <c r="C90" s="50">
        <f>VLOOKUP($A90,'Data shares'!$C:$FM,110)</f>
        <v>15.07</v>
      </c>
      <c r="D90" s="50">
        <f>VLOOKUP($A90,'Data shares'!$C:$FM,114)</f>
        <v>16.600000000000001</v>
      </c>
      <c r="E90" s="50">
        <f>VLOOKUP($A90,'Data shares'!$C:$FM,106)</f>
        <v>23</v>
      </c>
      <c r="F90" s="50">
        <f>VLOOKUP($A90,'Data shares'!$C:$FM,108)</f>
        <v>-7.17</v>
      </c>
      <c r="G90" s="50">
        <f t="shared" si="2"/>
        <v>0.68826086956521737</v>
      </c>
    </row>
    <row r="91" spans="1:7" x14ac:dyDescent="0.25">
      <c r="A91" s="49" t="str">
        <f>'Data shares'!C86</f>
        <v>HDFCLIFE</v>
      </c>
      <c r="B91" s="50">
        <f>VLOOKUP($A91,'Data shares'!$C:$FM,102)</f>
        <v>21.9</v>
      </c>
      <c r="C91" s="50">
        <f>VLOOKUP($A91,'Data shares'!$C:$FM,110)</f>
        <v>21.85</v>
      </c>
      <c r="D91" s="50">
        <f>VLOOKUP($A91,'Data shares'!$C:$FM,114)</f>
        <v>21.96</v>
      </c>
      <c r="E91" s="50">
        <f>VLOOKUP($A91,'Data shares'!$C:$FM,106)</f>
        <v>27.49</v>
      </c>
      <c r="F91" s="50">
        <f>VLOOKUP($A91,'Data shares'!$C:$FM,108)</f>
        <v>-5.59</v>
      </c>
      <c r="G91" s="50">
        <f t="shared" si="2"/>
        <v>0.79665332848308479</v>
      </c>
    </row>
    <row r="92" spans="1:7" x14ac:dyDescent="0.25">
      <c r="A92" s="49" t="str">
        <f>'Data shares'!C87</f>
        <v>HEROMOTOCO</v>
      </c>
      <c r="B92" s="50">
        <f>VLOOKUP($A92,'Data shares'!$C:$FM,102)</f>
        <v>28.42</v>
      </c>
      <c r="C92" s="50">
        <f>VLOOKUP($A92,'Data shares'!$C:$FM,110)</f>
        <v>28.35</v>
      </c>
      <c r="D92" s="50">
        <f>VLOOKUP($A92,'Data shares'!$C:$FM,114)</f>
        <v>28.57</v>
      </c>
      <c r="E92" s="50">
        <f>VLOOKUP($A92,'Data shares'!$C:$FM,106)</f>
        <v>30.37</v>
      </c>
      <c r="F92" s="50">
        <f>VLOOKUP($A92,'Data shares'!$C:$FM,108)</f>
        <v>-1.95</v>
      </c>
      <c r="G92" s="50">
        <f t="shared" si="2"/>
        <v>0.93579189990121836</v>
      </c>
    </row>
    <row r="93" spans="1:7" x14ac:dyDescent="0.25">
      <c r="A93" s="49" t="str">
        <f>'Data shares'!C88</f>
        <v>HFCL</v>
      </c>
      <c r="B93" s="50">
        <f>VLOOKUP($A93,'Data shares'!$C:$FM,102)</f>
        <v>43.64</v>
      </c>
      <c r="C93" s="50">
        <f>VLOOKUP($A93,'Data shares'!$C:$FM,110)</f>
        <v>43.49</v>
      </c>
      <c r="D93" s="50">
        <f>VLOOKUP($A93,'Data shares'!$C:$FM,114)</f>
        <v>43.98</v>
      </c>
      <c r="E93" s="50">
        <f>VLOOKUP($A93,'Data shares'!$C:$FM,106)</f>
        <v>57.92</v>
      </c>
      <c r="F93" s="50">
        <f>VLOOKUP($A93,'Data shares'!$C:$FM,108)</f>
        <v>-14.28</v>
      </c>
      <c r="G93" s="50">
        <f t="shared" si="2"/>
        <v>0.75345303867403313</v>
      </c>
    </row>
    <row r="94" spans="1:7" x14ac:dyDescent="0.25">
      <c r="A94" s="49" t="str">
        <f>'Data shares'!C89</f>
        <v>HINDALCO</v>
      </c>
      <c r="B94" s="50">
        <f>VLOOKUP($A94,'Data shares'!$C:$FM,102)</f>
        <v>27.77</v>
      </c>
      <c r="C94" s="50">
        <f>VLOOKUP($A94,'Data shares'!$C:$FM,110)</f>
        <v>28.05</v>
      </c>
      <c r="D94" s="50">
        <f>VLOOKUP($A94,'Data shares'!$C:$FM,114)</f>
        <v>27.48</v>
      </c>
      <c r="E94" s="50">
        <f>VLOOKUP($A94,'Data shares'!$C:$FM,106)</f>
        <v>35.29</v>
      </c>
      <c r="F94" s="50">
        <f>VLOOKUP($A94,'Data shares'!$C:$FM,108)</f>
        <v>-7.52</v>
      </c>
      <c r="G94" s="50">
        <f t="shared" si="2"/>
        <v>0.78690847265514308</v>
      </c>
    </row>
    <row r="95" spans="1:7" x14ac:dyDescent="0.25">
      <c r="A95" s="49" t="str">
        <f>'Data shares'!C90</f>
        <v>HINDCOPPER</v>
      </c>
      <c r="B95" s="50">
        <f>VLOOKUP($A95,'Data shares'!$C:$FM,102)</f>
        <v>55.62</v>
      </c>
      <c r="C95" s="50">
        <f>VLOOKUP($A95,'Data shares'!$C:$FM,110)</f>
        <v>55.62</v>
      </c>
      <c r="D95" s="50">
        <f>VLOOKUP($A95,'Data shares'!$C:$FM,114)</f>
        <v>55.62</v>
      </c>
      <c r="E95" s="50">
        <f>VLOOKUP($A95,'Data shares'!$C:$FM,106)</f>
        <v>55.62</v>
      </c>
      <c r="F95" s="50">
        <f>VLOOKUP($A95,'Data shares'!$C:$FM,108)</f>
        <v>0</v>
      </c>
      <c r="G95" s="50">
        <f t="shared" si="2"/>
        <v>1</v>
      </c>
    </row>
    <row r="96" spans="1:7" x14ac:dyDescent="0.25">
      <c r="A96" s="49" t="str">
        <f>'Data shares'!C91</f>
        <v>HINDPETRO</v>
      </c>
      <c r="B96" s="50">
        <f>VLOOKUP($A96,'Data shares'!$C:$FM,102)</f>
        <v>34.54</v>
      </c>
      <c r="C96" s="50">
        <f>VLOOKUP($A96,'Data shares'!$C:$FM,110)</f>
        <v>34.25</v>
      </c>
      <c r="D96" s="50">
        <f>VLOOKUP($A96,'Data shares'!$C:$FM,114)</f>
        <v>35.049999999999997</v>
      </c>
      <c r="E96" s="50">
        <f>VLOOKUP($A96,'Data shares'!$C:$FM,106)</f>
        <v>43.8</v>
      </c>
      <c r="F96" s="50">
        <f>VLOOKUP($A96,'Data shares'!$C:$FM,108)</f>
        <v>-9.26</v>
      </c>
      <c r="G96" s="50">
        <f t="shared" si="2"/>
        <v>0.78858447488584482</v>
      </c>
    </row>
    <row r="97" spans="1:7" x14ac:dyDescent="0.25">
      <c r="A97" s="49" t="str">
        <f>'Data shares'!C92</f>
        <v>HINDUNILVR</v>
      </c>
      <c r="B97" s="50">
        <f>VLOOKUP($A97,'Data shares'!$C:$FM,102)</f>
        <v>19.489999999999998</v>
      </c>
      <c r="C97" s="50">
        <f>VLOOKUP($A97,'Data shares'!$C:$FM,110)</f>
        <v>19.14</v>
      </c>
      <c r="D97" s="50">
        <f>VLOOKUP($A97,'Data shares'!$C:$FM,114)</f>
        <v>20.22</v>
      </c>
      <c r="E97" s="50">
        <f>VLOOKUP($A97,'Data shares'!$C:$FM,106)</f>
        <v>23.36</v>
      </c>
      <c r="F97" s="50">
        <f>VLOOKUP($A97,'Data shares'!$C:$FM,108)</f>
        <v>-3.87</v>
      </c>
      <c r="G97" s="50">
        <f t="shared" si="2"/>
        <v>0.83433219178082185</v>
      </c>
    </row>
    <row r="98" spans="1:7" x14ac:dyDescent="0.25">
      <c r="A98" s="49" t="str">
        <f>'Data shares'!C93</f>
        <v>HINDZINC</v>
      </c>
      <c r="B98" s="50">
        <f>VLOOKUP($A98,'Data shares'!$C:$FM,102)</f>
        <v>26.01</v>
      </c>
      <c r="C98" s="50">
        <f>VLOOKUP($A98,'Data shares'!$C:$FM,110)</f>
        <v>25.15</v>
      </c>
      <c r="D98" s="50">
        <f>VLOOKUP($A98,'Data shares'!$C:$FM,114)</f>
        <v>27.28</v>
      </c>
      <c r="E98" s="50">
        <f>VLOOKUP($A98,'Data shares'!$C:$FM,106)</f>
        <v>46.85</v>
      </c>
      <c r="F98" s="50">
        <f>VLOOKUP($A98,'Data shares'!$C:$FM,108)</f>
        <v>-20.84</v>
      </c>
      <c r="G98" s="50">
        <f t="shared" si="2"/>
        <v>0.5551760939167556</v>
      </c>
    </row>
    <row r="99" spans="1:7" x14ac:dyDescent="0.25">
      <c r="A99" s="49" t="str">
        <f>'Data shares'!C94</f>
        <v>HUDCO</v>
      </c>
      <c r="B99" s="50">
        <f>VLOOKUP($A99,'Data shares'!$C:$FM,102)</f>
        <v>36.92</v>
      </c>
      <c r="C99" s="50">
        <f>VLOOKUP($A99,'Data shares'!$C:$FM,110)</f>
        <v>37.11</v>
      </c>
      <c r="D99" s="50">
        <f>VLOOKUP($A99,'Data shares'!$C:$FM,114)</f>
        <v>36.6</v>
      </c>
      <c r="E99" s="50">
        <f>VLOOKUP($A99,'Data shares'!$C:$FM,106)</f>
        <v>57.73</v>
      </c>
      <c r="F99" s="50">
        <f>VLOOKUP($A99,'Data shares'!$C:$FM,108)</f>
        <v>-20.81</v>
      </c>
      <c r="G99" s="50">
        <f t="shared" si="2"/>
        <v>0.63952884115711073</v>
      </c>
    </row>
    <row r="100" spans="1:7" x14ac:dyDescent="0.25">
      <c r="A100" s="49" t="str">
        <f>'Data shares'!C95</f>
        <v>ICICIBANK</v>
      </c>
      <c r="B100" s="50">
        <f>VLOOKUP($A100,'Data shares'!$C:$FM,102)</f>
        <v>15.37</v>
      </c>
      <c r="C100" s="50">
        <f>VLOOKUP($A100,'Data shares'!$C:$FM,110)</f>
        <v>15.36</v>
      </c>
      <c r="D100" s="50">
        <f>VLOOKUP($A100,'Data shares'!$C:$FM,114)</f>
        <v>15.38</v>
      </c>
      <c r="E100" s="50">
        <f>VLOOKUP($A100,'Data shares'!$C:$FM,106)</f>
        <v>22.66</v>
      </c>
      <c r="F100" s="50">
        <f>VLOOKUP($A100,'Data shares'!$C:$FM,108)</f>
        <v>-7.29</v>
      </c>
      <c r="G100" s="50">
        <f t="shared" si="2"/>
        <v>0.67828773168578993</v>
      </c>
    </row>
    <row r="101" spans="1:7" x14ac:dyDescent="0.25">
      <c r="A101" s="49" t="str">
        <f>'Data shares'!C96</f>
        <v>ICICIGI</v>
      </c>
      <c r="B101" s="50">
        <f>VLOOKUP($A101,'Data shares'!$C:$FM,102)</f>
        <v>21.35</v>
      </c>
      <c r="C101" s="50">
        <f>VLOOKUP($A101,'Data shares'!$C:$FM,110)</f>
        <v>21.29</v>
      </c>
      <c r="D101" s="50">
        <f>VLOOKUP($A101,'Data shares'!$C:$FM,114)</f>
        <v>21.47</v>
      </c>
      <c r="E101" s="50">
        <f>VLOOKUP($A101,'Data shares'!$C:$FM,106)</f>
        <v>29.48</v>
      </c>
      <c r="F101" s="50">
        <f>VLOOKUP($A101,'Data shares'!$C:$FM,108)</f>
        <v>-8.1300000000000008</v>
      </c>
      <c r="G101" s="50">
        <f t="shared" si="2"/>
        <v>0.72421981004070557</v>
      </c>
    </row>
    <row r="102" spans="1:7" x14ac:dyDescent="0.25">
      <c r="A102" s="49" t="str">
        <f>'Data shares'!C97</f>
        <v>ICICIPRULI</v>
      </c>
      <c r="B102" s="50">
        <f>VLOOKUP($A102,'Data shares'!$C:$FM,102)</f>
        <v>23.51</v>
      </c>
      <c r="C102" s="50">
        <f>VLOOKUP($A102,'Data shares'!$C:$FM,110)</f>
        <v>23.56</v>
      </c>
      <c r="D102" s="50">
        <f>VLOOKUP($A102,'Data shares'!$C:$FM,114)</f>
        <v>23.36</v>
      </c>
      <c r="E102" s="50">
        <f>VLOOKUP($A102,'Data shares'!$C:$FM,106)</f>
        <v>30.31</v>
      </c>
      <c r="F102" s="50">
        <f>VLOOKUP($A102,'Data shares'!$C:$FM,108)</f>
        <v>-6.8</v>
      </c>
      <c r="G102" s="50">
        <f t="shared" si="2"/>
        <v>0.77565160013196977</v>
      </c>
    </row>
    <row r="103" spans="1:7" x14ac:dyDescent="0.25">
      <c r="A103" s="49" t="str">
        <f>'Data shares'!C98</f>
        <v>IDEA</v>
      </c>
      <c r="B103" s="50">
        <f>VLOOKUP($A103,'Data shares'!$C:$FM,102)</f>
        <v>56.94</v>
      </c>
      <c r="C103" s="50">
        <f>VLOOKUP($A103,'Data shares'!$C:$FM,110)</f>
        <v>58.26</v>
      </c>
      <c r="D103" s="50">
        <f>VLOOKUP($A103,'Data shares'!$C:$FM,114)</f>
        <v>54.41</v>
      </c>
      <c r="E103" s="50">
        <f>VLOOKUP($A103,'Data shares'!$C:$FM,106)</f>
        <v>66.709999999999994</v>
      </c>
      <c r="F103" s="50">
        <f>VLOOKUP($A103,'Data shares'!$C:$FM,108)</f>
        <v>-9.77</v>
      </c>
      <c r="G103" s="50">
        <f t="shared" ref="G103:G134" si="3">B103/E103</f>
        <v>0.85354519562284514</v>
      </c>
    </row>
    <row r="104" spans="1:7" x14ac:dyDescent="0.25">
      <c r="A104" s="49" t="str">
        <f>'Data shares'!C99</f>
        <v>IDFCFIRSTB</v>
      </c>
      <c r="B104" s="50">
        <f>VLOOKUP($A104,'Data shares'!$C:$FM,102)</f>
        <v>26.64</v>
      </c>
      <c r="C104" s="50">
        <f>VLOOKUP($A104,'Data shares'!$C:$FM,110)</f>
        <v>27.07</v>
      </c>
      <c r="D104" s="50">
        <f>VLOOKUP($A104,'Data shares'!$C:$FM,114)</f>
        <v>26.07</v>
      </c>
      <c r="E104" s="50">
        <f>VLOOKUP($A104,'Data shares'!$C:$FM,106)</f>
        <v>36.229999999999997</v>
      </c>
      <c r="F104" s="50">
        <f>VLOOKUP($A104,'Data shares'!$C:$FM,108)</f>
        <v>-9.59</v>
      </c>
      <c r="G104" s="50">
        <f t="shared" si="3"/>
        <v>0.7353022357162573</v>
      </c>
    </row>
    <row r="105" spans="1:7" x14ac:dyDescent="0.25">
      <c r="A105" s="49" t="str">
        <f>'Data shares'!C100</f>
        <v>IEX</v>
      </c>
      <c r="B105" s="50">
        <f>VLOOKUP($A105,'Data shares'!$C:$FM,102)</f>
        <v>51.18</v>
      </c>
      <c r="C105" s="50">
        <f>VLOOKUP($A105,'Data shares'!$C:$FM,110)</f>
        <v>51.64</v>
      </c>
      <c r="D105" s="50">
        <f>VLOOKUP($A105,'Data shares'!$C:$FM,114)</f>
        <v>50.17</v>
      </c>
      <c r="E105" s="50">
        <f>VLOOKUP($A105,'Data shares'!$C:$FM,106)</f>
        <v>63.88</v>
      </c>
      <c r="F105" s="50">
        <f>VLOOKUP($A105,'Data shares'!$C:$FM,108)</f>
        <v>-12.7</v>
      </c>
      <c r="G105" s="50">
        <f t="shared" si="3"/>
        <v>0.8011897307451471</v>
      </c>
    </row>
    <row r="106" spans="1:7" x14ac:dyDescent="0.25">
      <c r="A106" s="49" t="str">
        <f>'Data shares'!C101</f>
        <v>IGL</v>
      </c>
      <c r="B106" s="50">
        <f>VLOOKUP($A106,'Data shares'!$C:$FM,102)</f>
        <v>32.72</v>
      </c>
      <c r="C106" s="50">
        <f>VLOOKUP($A106,'Data shares'!$C:$FM,110)</f>
        <v>32.630000000000003</v>
      </c>
      <c r="D106" s="50">
        <f>VLOOKUP($A106,'Data shares'!$C:$FM,114)</f>
        <v>32.93</v>
      </c>
      <c r="E106" s="50">
        <f>VLOOKUP($A106,'Data shares'!$C:$FM,106)</f>
        <v>45.41</v>
      </c>
      <c r="F106" s="50">
        <f>VLOOKUP($A106,'Data shares'!$C:$FM,108)</f>
        <v>-12.69</v>
      </c>
      <c r="G106" s="50">
        <f t="shared" si="3"/>
        <v>0.72054613521250832</v>
      </c>
    </row>
    <row r="107" spans="1:7" x14ac:dyDescent="0.25">
      <c r="A107" s="49" t="str">
        <f>'Data shares'!C102</f>
        <v>IIFL</v>
      </c>
      <c r="B107" s="50">
        <f>VLOOKUP($A107,'Data shares'!$C:$FM,102)</f>
        <v>33.83</v>
      </c>
      <c r="C107" s="50">
        <f>VLOOKUP($A107,'Data shares'!$C:$FM,110)</f>
        <v>33.31</v>
      </c>
      <c r="D107" s="50">
        <f>VLOOKUP($A107,'Data shares'!$C:$FM,114)</f>
        <v>34.67</v>
      </c>
      <c r="E107" s="50">
        <f>VLOOKUP($A107,'Data shares'!$C:$FM,106)</f>
        <v>53.52</v>
      </c>
      <c r="F107" s="50">
        <f>VLOOKUP($A107,'Data shares'!$C:$FM,108)</f>
        <v>-19.690000000000001</v>
      </c>
      <c r="G107" s="50">
        <f t="shared" si="3"/>
        <v>0.63210014947683102</v>
      </c>
    </row>
    <row r="108" spans="1:7" x14ac:dyDescent="0.25">
      <c r="A108" s="49" t="str">
        <f>'Data shares'!C103</f>
        <v>INDHOTEL</v>
      </c>
      <c r="B108" s="50">
        <f>VLOOKUP($A108,'Data shares'!$C:$FM,102)</f>
        <v>23.59</v>
      </c>
      <c r="C108" s="50">
        <f>VLOOKUP($A108,'Data shares'!$C:$FM,110)</f>
        <v>23.76</v>
      </c>
      <c r="D108" s="50">
        <f>VLOOKUP($A108,'Data shares'!$C:$FM,114)</f>
        <v>23.29</v>
      </c>
      <c r="E108" s="50">
        <f>VLOOKUP($A108,'Data shares'!$C:$FM,106)</f>
        <v>38.43</v>
      </c>
      <c r="F108" s="50">
        <f>VLOOKUP($A108,'Data shares'!$C:$FM,108)</f>
        <v>-14.84</v>
      </c>
      <c r="G108" s="50">
        <f t="shared" si="3"/>
        <v>0.61384335154826963</v>
      </c>
    </row>
    <row r="109" spans="1:7" x14ac:dyDescent="0.25">
      <c r="A109" s="49" t="str">
        <f>'Data shares'!C104</f>
        <v>INDIANB</v>
      </c>
      <c r="B109" s="50">
        <f>VLOOKUP($A109,'Data shares'!$C:$FM,102)</f>
        <v>28.36</v>
      </c>
      <c r="C109" s="50">
        <f>VLOOKUP($A109,'Data shares'!$C:$FM,110)</f>
        <v>28.55</v>
      </c>
      <c r="D109" s="50">
        <f>VLOOKUP($A109,'Data shares'!$C:$FM,114)</f>
        <v>28.11</v>
      </c>
      <c r="E109" s="50">
        <f>VLOOKUP($A109,'Data shares'!$C:$FM,106)</f>
        <v>41.18</v>
      </c>
      <c r="F109" s="50">
        <f>VLOOKUP($A109,'Data shares'!$C:$FM,108)</f>
        <v>-12.82</v>
      </c>
      <c r="G109" s="50">
        <f t="shared" si="3"/>
        <v>0.68868382710053422</v>
      </c>
    </row>
    <row r="110" spans="1:7" x14ac:dyDescent="0.25">
      <c r="A110" s="49" t="str">
        <f>'Data shares'!C105</f>
        <v>INDIAVIX</v>
      </c>
      <c r="B110" s="50">
        <f>VLOOKUP($A110,'Data shares'!$C:$FM,102)</f>
        <v>0</v>
      </c>
      <c r="C110" s="50">
        <f>VLOOKUP($A110,'Data shares'!$C:$FM,110)</f>
        <v>0</v>
      </c>
      <c r="D110" s="50">
        <f>VLOOKUP($A110,'Data shares'!$C:$FM,114)</f>
        <v>0</v>
      </c>
      <c r="E110" s="50">
        <f>VLOOKUP($A110,'Data shares'!$C:$FM,106)</f>
        <v>0</v>
      </c>
      <c r="F110" s="50">
        <f>VLOOKUP($A110,'Data shares'!$C:$FM,108)</f>
        <v>0</v>
      </c>
      <c r="G110" s="50" t="e">
        <f t="shared" si="3"/>
        <v>#DIV/0!</v>
      </c>
    </row>
    <row r="111" spans="1:7" x14ac:dyDescent="0.25">
      <c r="A111" s="49" t="str">
        <f>'Data shares'!C106</f>
        <v>INDIGO</v>
      </c>
      <c r="B111" s="50">
        <f>VLOOKUP($A111,'Data shares'!$C:$FM,102)</f>
        <v>25.43</v>
      </c>
      <c r="C111" s="50">
        <f>VLOOKUP($A111,'Data shares'!$C:$FM,110)</f>
        <v>24.13</v>
      </c>
      <c r="D111" s="50">
        <f>VLOOKUP($A111,'Data shares'!$C:$FM,114)</f>
        <v>27.07</v>
      </c>
      <c r="E111" s="50">
        <f>VLOOKUP($A111,'Data shares'!$C:$FM,106)</f>
        <v>34.729999999999997</v>
      </c>
      <c r="F111" s="50">
        <f>VLOOKUP($A111,'Data shares'!$C:$FM,108)</f>
        <v>-9.3000000000000007</v>
      </c>
      <c r="G111" s="50">
        <f t="shared" si="3"/>
        <v>0.7322199827238699</v>
      </c>
    </row>
    <row r="112" spans="1:7" x14ac:dyDescent="0.25">
      <c r="A112" s="49" t="str">
        <f>'Data shares'!C107</f>
        <v>INDUSINDBK</v>
      </c>
      <c r="B112" s="50">
        <f>VLOOKUP($A112,'Data shares'!$C:$FM,102)</f>
        <v>30.98</v>
      </c>
      <c r="C112" s="50">
        <f>VLOOKUP($A112,'Data shares'!$C:$FM,110)</f>
        <v>30.91</v>
      </c>
      <c r="D112" s="50">
        <f>VLOOKUP($A112,'Data shares'!$C:$FM,114)</f>
        <v>31.07</v>
      </c>
      <c r="E112" s="50">
        <f>VLOOKUP($A112,'Data shares'!$C:$FM,106)</f>
        <v>51.6</v>
      </c>
      <c r="F112" s="50">
        <f>VLOOKUP($A112,'Data shares'!$C:$FM,108)</f>
        <v>-20.62</v>
      </c>
      <c r="G112" s="50">
        <f t="shared" si="3"/>
        <v>0.60038759689922483</v>
      </c>
    </row>
    <row r="113" spans="1:7" x14ac:dyDescent="0.25">
      <c r="A113" s="49" t="str">
        <f>'Data shares'!C108</f>
        <v>INDUSTOWER</v>
      </c>
      <c r="B113" s="50">
        <f>VLOOKUP($A113,'Data shares'!$C:$FM,102)</f>
        <v>29.69</v>
      </c>
      <c r="C113" s="50">
        <f>VLOOKUP($A113,'Data shares'!$C:$FM,110)</f>
        <v>30.25</v>
      </c>
      <c r="D113" s="50">
        <f>VLOOKUP($A113,'Data shares'!$C:$FM,114)</f>
        <v>28.87</v>
      </c>
      <c r="E113" s="50">
        <f>VLOOKUP($A113,'Data shares'!$C:$FM,106)</f>
        <v>42.01</v>
      </c>
      <c r="F113" s="50">
        <f>VLOOKUP($A113,'Data shares'!$C:$FM,108)</f>
        <v>-12.32</v>
      </c>
      <c r="G113" s="50">
        <f t="shared" si="3"/>
        <v>0.70673649131159255</v>
      </c>
    </row>
    <row r="114" spans="1:7" x14ac:dyDescent="0.25">
      <c r="A114" s="49" t="str">
        <f>'Data shares'!C109</f>
        <v>INFY</v>
      </c>
      <c r="B114" s="50">
        <f>VLOOKUP($A114,'Data shares'!$C:$FM,102)</f>
        <v>22.7</v>
      </c>
      <c r="C114" s="50">
        <f>VLOOKUP($A114,'Data shares'!$C:$FM,110)</f>
        <v>22.56</v>
      </c>
      <c r="D114" s="50">
        <f>VLOOKUP($A114,'Data shares'!$C:$FM,114)</f>
        <v>22.97</v>
      </c>
      <c r="E114" s="50">
        <f>VLOOKUP($A114,'Data shares'!$C:$FM,106)</f>
        <v>29.38</v>
      </c>
      <c r="F114" s="50">
        <f>VLOOKUP($A114,'Data shares'!$C:$FM,108)</f>
        <v>-6.68</v>
      </c>
      <c r="G114" s="50">
        <f t="shared" si="3"/>
        <v>0.77263444520081692</v>
      </c>
    </row>
    <row r="115" spans="1:7" x14ac:dyDescent="0.25">
      <c r="A115" s="49" t="str">
        <f>'Data shares'!C110</f>
        <v>INOXWIND</v>
      </c>
      <c r="B115" s="50">
        <f>VLOOKUP($A115,'Data shares'!$C:$FM,102)</f>
        <v>38.15</v>
      </c>
      <c r="C115" s="50">
        <f>VLOOKUP($A115,'Data shares'!$C:$FM,110)</f>
        <v>37.54</v>
      </c>
      <c r="D115" s="50">
        <f>VLOOKUP($A115,'Data shares'!$C:$FM,114)</f>
        <v>39.24</v>
      </c>
      <c r="E115" s="50">
        <f>VLOOKUP($A115,'Data shares'!$C:$FM,106)</f>
        <v>62.18</v>
      </c>
      <c r="F115" s="50">
        <f>VLOOKUP($A115,'Data shares'!$C:$FM,108)</f>
        <v>-24.03</v>
      </c>
      <c r="G115" s="50">
        <f t="shared" si="3"/>
        <v>0.61354133161788349</v>
      </c>
    </row>
    <row r="116" spans="1:7" x14ac:dyDescent="0.25">
      <c r="A116" s="49" t="str">
        <f>'Data shares'!C111</f>
        <v>IOC</v>
      </c>
      <c r="B116" s="50">
        <f>VLOOKUP($A116,'Data shares'!$C:$FM,102)</f>
        <v>27</v>
      </c>
      <c r="C116" s="50">
        <f>VLOOKUP($A116,'Data shares'!$C:$FM,110)</f>
        <v>27.44</v>
      </c>
      <c r="D116" s="50">
        <f>VLOOKUP($A116,'Data shares'!$C:$FM,114)</f>
        <v>26.67</v>
      </c>
      <c r="E116" s="50">
        <f>VLOOKUP($A116,'Data shares'!$C:$FM,106)</f>
        <v>34.6</v>
      </c>
      <c r="F116" s="50">
        <f>VLOOKUP($A116,'Data shares'!$C:$FM,108)</f>
        <v>-7.6</v>
      </c>
      <c r="G116" s="50">
        <f t="shared" si="3"/>
        <v>0.78034682080924855</v>
      </c>
    </row>
    <row r="117" spans="1:7" x14ac:dyDescent="0.25">
      <c r="A117" s="49" t="str">
        <f>'Data shares'!C112</f>
        <v>IRB</v>
      </c>
      <c r="B117" s="50">
        <f>VLOOKUP($A117,'Data shares'!$C:$FM,102)</f>
        <v>35.520000000000003</v>
      </c>
      <c r="C117" s="50">
        <f>VLOOKUP($A117,'Data shares'!$C:$FM,110)</f>
        <v>36.99</v>
      </c>
      <c r="D117" s="50">
        <f>VLOOKUP($A117,'Data shares'!$C:$FM,114)</f>
        <v>33.21</v>
      </c>
      <c r="E117" s="50">
        <f>VLOOKUP($A117,'Data shares'!$C:$FM,106)</f>
        <v>49.66</v>
      </c>
      <c r="F117" s="50">
        <f>VLOOKUP($A117,'Data shares'!$C:$FM,108)</f>
        <v>-14.14</v>
      </c>
      <c r="G117" s="50">
        <f t="shared" si="3"/>
        <v>0.71526379379782534</v>
      </c>
    </row>
    <row r="118" spans="1:7" x14ac:dyDescent="0.25">
      <c r="A118" s="49" t="str">
        <f>'Data shares'!C113</f>
        <v>IRCTC</v>
      </c>
      <c r="B118" s="50">
        <f>VLOOKUP($A118,'Data shares'!$C:$FM,102)</f>
        <v>25.79</v>
      </c>
      <c r="C118" s="50">
        <f>VLOOKUP($A118,'Data shares'!$C:$FM,110)</f>
        <v>25.89</v>
      </c>
      <c r="D118" s="50">
        <f>VLOOKUP($A118,'Data shares'!$C:$FM,114)</f>
        <v>25.63</v>
      </c>
      <c r="E118" s="50">
        <f>VLOOKUP($A118,'Data shares'!$C:$FM,106)</f>
        <v>34.17</v>
      </c>
      <c r="F118" s="50">
        <f>VLOOKUP($A118,'Data shares'!$C:$FM,108)</f>
        <v>-8.3800000000000008</v>
      </c>
      <c r="G118" s="50">
        <f t="shared" si="3"/>
        <v>0.75475563359672215</v>
      </c>
    </row>
    <row r="119" spans="1:7" x14ac:dyDescent="0.25">
      <c r="A119" s="49" t="str">
        <f>'Data shares'!C114</f>
        <v>IREDA</v>
      </c>
      <c r="B119" s="50">
        <f>VLOOKUP($A119,'Data shares'!$C:$FM,102)</f>
        <v>37.840000000000003</v>
      </c>
      <c r="C119" s="50">
        <f>VLOOKUP($A119,'Data shares'!$C:$FM,110)</f>
        <v>38.049999999999997</v>
      </c>
      <c r="D119" s="50">
        <f>VLOOKUP($A119,'Data shares'!$C:$FM,114)</f>
        <v>37.17</v>
      </c>
      <c r="E119" s="50">
        <f>VLOOKUP($A119,'Data shares'!$C:$FM,106)</f>
        <v>57.07</v>
      </c>
      <c r="F119" s="50">
        <f>VLOOKUP($A119,'Data shares'!$C:$FM,108)</f>
        <v>-19.23</v>
      </c>
      <c r="G119" s="50">
        <f t="shared" si="3"/>
        <v>0.66304538286315062</v>
      </c>
    </row>
    <row r="120" spans="1:7" x14ac:dyDescent="0.25">
      <c r="A120" s="49" t="str">
        <f>'Data shares'!C115</f>
        <v>IRFC</v>
      </c>
      <c r="B120" s="50">
        <f>VLOOKUP($A120,'Data shares'!$C:$FM,102)</f>
        <v>35.42</v>
      </c>
      <c r="C120" s="50">
        <f>VLOOKUP($A120,'Data shares'!$C:$FM,110)</f>
        <v>36.03</v>
      </c>
      <c r="D120" s="50">
        <f>VLOOKUP($A120,'Data shares'!$C:$FM,114)</f>
        <v>33.72</v>
      </c>
      <c r="E120" s="50">
        <f>VLOOKUP($A120,'Data shares'!$C:$FM,106)</f>
        <v>52.51</v>
      </c>
      <c r="F120" s="50">
        <f>VLOOKUP($A120,'Data shares'!$C:$FM,108)</f>
        <v>-17.09</v>
      </c>
      <c r="G120" s="50">
        <f t="shared" si="3"/>
        <v>0.67453818320319947</v>
      </c>
    </row>
    <row r="121" spans="1:7" x14ac:dyDescent="0.25">
      <c r="A121" s="49" t="str">
        <f>'Data shares'!C116</f>
        <v>ITC</v>
      </c>
      <c r="B121" s="50">
        <f>VLOOKUP($A121,'Data shares'!$C:$FM,102)</f>
        <v>18.71</v>
      </c>
      <c r="C121" s="50">
        <f>VLOOKUP($A121,'Data shares'!$C:$FM,110)</f>
        <v>19.02</v>
      </c>
      <c r="D121" s="50">
        <f>VLOOKUP($A121,'Data shares'!$C:$FM,114)</f>
        <v>18.05</v>
      </c>
      <c r="E121" s="50">
        <f>VLOOKUP($A121,'Data shares'!$C:$FM,106)</f>
        <v>20.58</v>
      </c>
      <c r="F121" s="50">
        <f>VLOOKUP($A121,'Data shares'!$C:$FM,108)</f>
        <v>-1.87</v>
      </c>
      <c r="G121" s="50">
        <f t="shared" si="3"/>
        <v>0.90913508260447051</v>
      </c>
    </row>
    <row r="122" spans="1:7" x14ac:dyDescent="0.25">
      <c r="A122" s="49" t="str">
        <f>'Data shares'!C117</f>
        <v>JINDALSTEL</v>
      </c>
      <c r="B122" s="50">
        <f>VLOOKUP($A122,'Data shares'!$C:$FM,102)</f>
        <v>29.82</v>
      </c>
      <c r="C122" s="50">
        <f>VLOOKUP($A122,'Data shares'!$C:$FM,110)</f>
        <v>29.91</v>
      </c>
      <c r="D122" s="50">
        <f>VLOOKUP($A122,'Data shares'!$C:$FM,114)</f>
        <v>29.71</v>
      </c>
      <c r="E122" s="50">
        <f>VLOOKUP($A122,'Data shares'!$C:$FM,106)</f>
        <v>37.33</v>
      </c>
      <c r="F122" s="50">
        <f>VLOOKUP($A122,'Data shares'!$C:$FM,108)</f>
        <v>-7.51</v>
      </c>
      <c r="G122" s="50">
        <f t="shared" si="3"/>
        <v>0.79882132333244049</v>
      </c>
    </row>
    <row r="123" spans="1:7" x14ac:dyDescent="0.25">
      <c r="A123" s="49" t="str">
        <f>'Data shares'!C118</f>
        <v>JIOFIN</v>
      </c>
      <c r="B123" s="50">
        <f>VLOOKUP($A123,'Data shares'!$C:$FM,102)</f>
        <v>28.32</v>
      </c>
      <c r="C123" s="50">
        <f>VLOOKUP($A123,'Data shares'!$C:$FM,110)</f>
        <v>28.3</v>
      </c>
      <c r="D123" s="50">
        <f>VLOOKUP($A123,'Data shares'!$C:$FM,114)</f>
        <v>28.36</v>
      </c>
      <c r="E123" s="50">
        <f>VLOOKUP($A123,'Data shares'!$C:$FM,106)</f>
        <v>39.380000000000003</v>
      </c>
      <c r="F123" s="50">
        <f>VLOOKUP($A123,'Data shares'!$C:$FM,108)</f>
        <v>-11.06</v>
      </c>
      <c r="G123" s="50">
        <f t="shared" si="3"/>
        <v>0.71914677501269675</v>
      </c>
    </row>
    <row r="124" spans="1:7" x14ac:dyDescent="0.25">
      <c r="A124" s="49" t="str">
        <f>'Data shares'!C119</f>
        <v>JSL</v>
      </c>
      <c r="B124" s="50">
        <f>VLOOKUP($A124,'Data shares'!$C:$FM,102)</f>
        <v>36.78</v>
      </c>
      <c r="C124" s="50">
        <f>VLOOKUP($A124,'Data shares'!$C:$FM,110)</f>
        <v>36.799999999999997</v>
      </c>
      <c r="D124" s="50">
        <f>VLOOKUP($A124,'Data shares'!$C:$FM,114)</f>
        <v>36.72</v>
      </c>
      <c r="E124" s="50">
        <f>VLOOKUP($A124,'Data shares'!$C:$FM,106)</f>
        <v>44.6</v>
      </c>
      <c r="F124" s="50">
        <f>VLOOKUP($A124,'Data shares'!$C:$FM,108)</f>
        <v>-7.82</v>
      </c>
      <c r="G124" s="50">
        <f t="shared" si="3"/>
        <v>0.82466367713004485</v>
      </c>
    </row>
    <row r="125" spans="1:7" x14ac:dyDescent="0.25">
      <c r="A125" s="49" t="str">
        <f>'Data shares'!C120</f>
        <v>JSWENERGY</v>
      </c>
      <c r="B125" s="50">
        <f>VLOOKUP($A125,'Data shares'!$C:$FM,102)</f>
        <v>37.76</v>
      </c>
      <c r="C125" s="50">
        <f>VLOOKUP($A125,'Data shares'!$C:$FM,110)</f>
        <v>37.9</v>
      </c>
      <c r="D125" s="50">
        <f>VLOOKUP($A125,'Data shares'!$C:$FM,114)</f>
        <v>37.35</v>
      </c>
      <c r="E125" s="50">
        <f>VLOOKUP($A125,'Data shares'!$C:$FM,106)</f>
        <v>48.95</v>
      </c>
      <c r="F125" s="50">
        <f>VLOOKUP($A125,'Data shares'!$C:$FM,108)</f>
        <v>-11.19</v>
      </c>
      <c r="G125" s="50">
        <f t="shared" si="3"/>
        <v>0.77139938712972411</v>
      </c>
    </row>
    <row r="126" spans="1:7" x14ac:dyDescent="0.25">
      <c r="A126" s="49" t="str">
        <f>'Data shares'!C121</f>
        <v>JSWSTEEL</v>
      </c>
      <c r="B126" s="50">
        <f>VLOOKUP($A126,'Data shares'!$C:$FM,102)</f>
        <v>27.67</v>
      </c>
      <c r="C126" s="50">
        <f>VLOOKUP($A126,'Data shares'!$C:$FM,110)</f>
        <v>27.36</v>
      </c>
      <c r="D126" s="50">
        <f>VLOOKUP($A126,'Data shares'!$C:$FM,114)</f>
        <v>28.18</v>
      </c>
      <c r="E126" s="50">
        <f>VLOOKUP($A126,'Data shares'!$C:$FM,106)</f>
        <v>31</v>
      </c>
      <c r="F126" s="50">
        <f>VLOOKUP($A126,'Data shares'!$C:$FM,108)</f>
        <v>-3.33</v>
      </c>
      <c r="G126" s="50">
        <f t="shared" si="3"/>
        <v>0.89258064516129043</v>
      </c>
    </row>
    <row r="127" spans="1:7" x14ac:dyDescent="0.25">
      <c r="A127" s="49" t="str">
        <f>'Data shares'!C122</f>
        <v>JUBLFOOD</v>
      </c>
      <c r="B127" s="50">
        <f>VLOOKUP($A127,'Data shares'!$C:$FM,102)</f>
        <v>29.55</v>
      </c>
      <c r="C127" s="50">
        <f>VLOOKUP($A127,'Data shares'!$C:$FM,110)</f>
        <v>29.61</v>
      </c>
      <c r="D127" s="50">
        <f>VLOOKUP($A127,'Data shares'!$C:$FM,114)</f>
        <v>29.41</v>
      </c>
      <c r="E127" s="50">
        <f>VLOOKUP($A127,'Data shares'!$C:$FM,106)</f>
        <v>35.96</v>
      </c>
      <c r="F127" s="50">
        <f>VLOOKUP($A127,'Data shares'!$C:$FM,108)</f>
        <v>-6.41</v>
      </c>
      <c r="G127" s="50">
        <f t="shared" si="3"/>
        <v>0.82174638487208007</v>
      </c>
    </row>
    <row r="128" spans="1:7" x14ac:dyDescent="0.25">
      <c r="A128" s="49" t="str">
        <f>'Data shares'!C123</f>
        <v>KALYANKJIL</v>
      </c>
      <c r="B128" s="50">
        <f>VLOOKUP($A128,'Data shares'!$C:$FM,102)</f>
        <v>38.78</v>
      </c>
      <c r="C128" s="50">
        <f>VLOOKUP($A128,'Data shares'!$C:$FM,110)</f>
        <v>38.340000000000003</v>
      </c>
      <c r="D128" s="50">
        <f>VLOOKUP($A128,'Data shares'!$C:$FM,114)</f>
        <v>39.78</v>
      </c>
      <c r="E128" s="50">
        <f>VLOOKUP($A128,'Data shares'!$C:$FM,106)</f>
        <v>53.6</v>
      </c>
      <c r="F128" s="50">
        <f>VLOOKUP($A128,'Data shares'!$C:$FM,108)</f>
        <v>-14.82</v>
      </c>
      <c r="G128" s="50">
        <f t="shared" si="3"/>
        <v>0.72350746268656718</v>
      </c>
    </row>
    <row r="129" spans="1:7" x14ac:dyDescent="0.25">
      <c r="A129" s="49" t="str">
        <f>'Data shares'!C124</f>
        <v>KAYNES</v>
      </c>
      <c r="B129" s="50">
        <f>VLOOKUP($A129,'Data shares'!$C:$FM,102)</f>
        <v>37.49</v>
      </c>
      <c r="C129" s="50">
        <f>VLOOKUP($A129,'Data shares'!$C:$FM,110)</f>
        <v>36.869999999999997</v>
      </c>
      <c r="D129" s="50">
        <f>VLOOKUP($A129,'Data shares'!$C:$FM,114)</f>
        <v>39.22</v>
      </c>
      <c r="E129" s="50">
        <f>VLOOKUP($A129,'Data shares'!$C:$FM,106)</f>
        <v>58.88</v>
      </c>
      <c r="F129" s="50">
        <f>VLOOKUP($A129,'Data shares'!$C:$FM,108)</f>
        <v>-21.39</v>
      </c>
      <c r="G129" s="50">
        <f t="shared" si="3"/>
        <v>0.63671875</v>
      </c>
    </row>
    <row r="130" spans="1:7" x14ac:dyDescent="0.25">
      <c r="A130" s="49" t="str">
        <f>'Data shares'!C125</f>
        <v>KEI</v>
      </c>
      <c r="B130" s="50">
        <f>VLOOKUP($A130,'Data shares'!$C:$FM,102)</f>
        <v>30.24</v>
      </c>
      <c r="C130" s="50">
        <f>VLOOKUP($A130,'Data shares'!$C:$FM,110)</f>
        <v>30.42</v>
      </c>
      <c r="D130" s="50">
        <f>VLOOKUP($A130,'Data shares'!$C:$FM,114)</f>
        <v>29.95</v>
      </c>
      <c r="E130" s="50">
        <f>VLOOKUP($A130,'Data shares'!$C:$FM,106)</f>
        <v>53.09</v>
      </c>
      <c r="F130" s="50">
        <f>VLOOKUP($A130,'Data shares'!$C:$FM,108)</f>
        <v>-22.85</v>
      </c>
      <c r="G130" s="50">
        <f t="shared" si="3"/>
        <v>0.5695987944999058</v>
      </c>
    </row>
    <row r="131" spans="1:7" x14ac:dyDescent="0.25">
      <c r="A131" s="49" t="str">
        <f>'Data shares'!C126</f>
        <v>KFINTECH</v>
      </c>
      <c r="B131" s="50">
        <f>VLOOKUP($A131,'Data shares'!$C:$FM,102)</f>
        <v>40.32</v>
      </c>
      <c r="C131" s="50">
        <f>VLOOKUP($A131,'Data shares'!$C:$FM,110)</f>
        <v>39.9</v>
      </c>
      <c r="D131" s="50">
        <f>VLOOKUP($A131,'Data shares'!$C:$FM,114)</f>
        <v>40.78</v>
      </c>
      <c r="E131" s="50">
        <f>VLOOKUP($A131,'Data shares'!$C:$FM,106)</f>
        <v>60.3</v>
      </c>
      <c r="F131" s="50">
        <f>VLOOKUP($A131,'Data shares'!$C:$FM,108)</f>
        <v>-19.98</v>
      </c>
      <c r="G131" s="50">
        <f t="shared" si="3"/>
        <v>0.66865671641791047</v>
      </c>
    </row>
    <row r="132" spans="1:7" x14ac:dyDescent="0.25">
      <c r="A132" s="49" t="str">
        <f>'Data shares'!C127</f>
        <v>KOTAKBANK</v>
      </c>
      <c r="B132" s="50">
        <f>VLOOKUP($A132,'Data shares'!$C:$FM,102)</f>
        <v>19.22</v>
      </c>
      <c r="C132" s="50">
        <f>VLOOKUP($A132,'Data shares'!$C:$FM,110)</f>
        <v>19.170000000000002</v>
      </c>
      <c r="D132" s="50">
        <f>VLOOKUP($A132,'Data shares'!$C:$FM,114)</f>
        <v>19.309999999999999</v>
      </c>
      <c r="E132" s="50">
        <f>VLOOKUP($A132,'Data shares'!$C:$FM,106)</f>
        <v>29.15</v>
      </c>
      <c r="F132" s="50">
        <f>VLOOKUP($A132,'Data shares'!$C:$FM,108)</f>
        <v>-9.93</v>
      </c>
      <c r="G132" s="50">
        <f t="shared" si="3"/>
        <v>0.65934819897084052</v>
      </c>
    </row>
    <row r="133" spans="1:7" x14ac:dyDescent="0.25">
      <c r="A133" s="49" t="str">
        <f>'Data shares'!C128</f>
        <v>KPITTECH</v>
      </c>
      <c r="B133" s="50">
        <f>VLOOKUP($A133,'Data shares'!$C:$FM,102)</f>
        <v>31.44</v>
      </c>
      <c r="C133" s="50">
        <f>VLOOKUP($A133,'Data shares'!$C:$FM,110)</f>
        <v>31.82</v>
      </c>
      <c r="D133" s="50">
        <f>VLOOKUP($A133,'Data shares'!$C:$FM,114)</f>
        <v>30.84</v>
      </c>
      <c r="E133" s="50">
        <f>VLOOKUP($A133,'Data shares'!$C:$FM,106)</f>
        <v>46.51</v>
      </c>
      <c r="F133" s="50">
        <f>VLOOKUP($A133,'Data shares'!$C:$FM,108)</f>
        <v>-15.07</v>
      </c>
      <c r="G133" s="50">
        <f t="shared" si="3"/>
        <v>0.67598365942808003</v>
      </c>
    </row>
    <row r="134" spans="1:7" x14ac:dyDescent="0.25">
      <c r="A134" s="49" t="str">
        <f>'Data shares'!C129</f>
        <v>LAURUSLABS</v>
      </c>
      <c r="B134" s="50">
        <f>VLOOKUP($A134,'Data shares'!$C:$FM,102)</f>
        <v>33.54</v>
      </c>
      <c r="C134" s="50">
        <f>VLOOKUP($A134,'Data shares'!$C:$FM,110)</f>
        <v>33.270000000000003</v>
      </c>
      <c r="D134" s="50">
        <f>VLOOKUP($A134,'Data shares'!$C:$FM,114)</f>
        <v>33.880000000000003</v>
      </c>
      <c r="E134" s="50">
        <f>VLOOKUP($A134,'Data shares'!$C:$FM,106)</f>
        <v>42.88</v>
      </c>
      <c r="F134" s="50">
        <f>VLOOKUP($A134,'Data shares'!$C:$FM,108)</f>
        <v>-9.34</v>
      </c>
      <c r="G134" s="50">
        <f t="shared" si="3"/>
        <v>0.78218283582089543</v>
      </c>
    </row>
    <row r="135" spans="1:7" x14ac:dyDescent="0.25">
      <c r="A135" s="49" t="str">
        <f>'Data shares'!C130</f>
        <v>LICHSGFIN</v>
      </c>
      <c r="B135" s="50">
        <f>VLOOKUP($A135,'Data shares'!$C:$FM,102)</f>
        <v>28.88</v>
      </c>
      <c r="C135" s="50">
        <f>VLOOKUP($A135,'Data shares'!$C:$FM,110)</f>
        <v>29.13</v>
      </c>
      <c r="D135" s="50">
        <f>VLOOKUP($A135,'Data shares'!$C:$FM,114)</f>
        <v>28.35</v>
      </c>
      <c r="E135" s="50">
        <f>VLOOKUP($A135,'Data shares'!$C:$FM,106)</f>
        <v>37.369999999999997</v>
      </c>
      <c r="F135" s="50">
        <f>VLOOKUP($A135,'Data shares'!$C:$FM,108)</f>
        <v>-8.49</v>
      </c>
      <c r="G135" s="50">
        <f t="shared" ref="G135:G166" si="4">B135/E135</f>
        <v>0.77281241637677289</v>
      </c>
    </row>
    <row r="136" spans="1:7" x14ac:dyDescent="0.25">
      <c r="A136" s="49" t="str">
        <f>'Data shares'!C131</f>
        <v>LICI</v>
      </c>
      <c r="B136" s="50">
        <f>VLOOKUP($A136,'Data shares'!$C:$FM,102)</f>
        <v>24.88</v>
      </c>
      <c r="C136" s="50">
        <f>VLOOKUP($A136,'Data shares'!$C:$FM,110)</f>
        <v>25.2</v>
      </c>
      <c r="D136" s="50">
        <f>VLOOKUP($A136,'Data shares'!$C:$FM,114)</f>
        <v>24.34</v>
      </c>
      <c r="E136" s="50">
        <f>VLOOKUP($A136,'Data shares'!$C:$FM,106)</f>
        <v>34.82</v>
      </c>
      <c r="F136" s="50">
        <f>VLOOKUP($A136,'Data shares'!$C:$FM,108)</f>
        <v>-9.94</v>
      </c>
      <c r="G136" s="50">
        <f t="shared" si="4"/>
        <v>0.7145318782309017</v>
      </c>
    </row>
    <row r="137" spans="1:7" x14ac:dyDescent="0.25">
      <c r="A137" s="49" t="str">
        <f>'Data shares'!C132</f>
        <v>LODHA</v>
      </c>
      <c r="B137" s="50">
        <f>VLOOKUP($A137,'Data shares'!$C:$FM,102)</f>
        <v>35.39</v>
      </c>
      <c r="C137" s="50">
        <f>VLOOKUP($A137,'Data shares'!$C:$FM,110)</f>
        <v>35.729999999999997</v>
      </c>
      <c r="D137" s="50">
        <f>VLOOKUP($A137,'Data shares'!$C:$FM,114)</f>
        <v>34.94</v>
      </c>
      <c r="E137" s="50">
        <f>VLOOKUP($A137,'Data shares'!$C:$FM,106)</f>
        <v>51.94</v>
      </c>
      <c r="F137" s="50">
        <f>VLOOKUP($A137,'Data shares'!$C:$FM,108)</f>
        <v>-16.55</v>
      </c>
      <c r="G137" s="50">
        <f t="shared" si="4"/>
        <v>0.6813631112822488</v>
      </c>
    </row>
    <row r="138" spans="1:7" x14ac:dyDescent="0.25">
      <c r="A138" s="49" t="str">
        <f>'Data shares'!C133</f>
        <v>LT</v>
      </c>
      <c r="B138" s="50">
        <f>VLOOKUP($A138,'Data shares'!$C:$FM,102)</f>
        <v>19.04</v>
      </c>
      <c r="C138" s="50">
        <f>VLOOKUP($A138,'Data shares'!$C:$FM,110)</f>
        <v>19.149999999999999</v>
      </c>
      <c r="D138" s="50">
        <f>VLOOKUP($A138,'Data shares'!$C:$FM,114)</f>
        <v>18.88</v>
      </c>
      <c r="E138" s="50">
        <f>VLOOKUP($A138,'Data shares'!$C:$FM,106)</f>
        <v>30.38</v>
      </c>
      <c r="F138" s="50">
        <f>VLOOKUP($A138,'Data shares'!$C:$FM,108)</f>
        <v>-11.34</v>
      </c>
      <c r="G138" s="50">
        <f t="shared" si="4"/>
        <v>0.62672811059907829</v>
      </c>
    </row>
    <row r="139" spans="1:7" x14ac:dyDescent="0.25">
      <c r="A139" s="49" t="str">
        <f>'Data shares'!C134</f>
        <v>LTF</v>
      </c>
      <c r="B139" s="50">
        <f>VLOOKUP($A139,'Data shares'!$C:$FM,102)</f>
        <v>32.5</v>
      </c>
      <c r="C139" s="50">
        <f>VLOOKUP($A139,'Data shares'!$C:$FM,110)</f>
        <v>32.700000000000003</v>
      </c>
      <c r="D139" s="50">
        <f>VLOOKUP($A139,'Data shares'!$C:$FM,114)</f>
        <v>31.99</v>
      </c>
      <c r="E139" s="50">
        <f>VLOOKUP($A139,'Data shares'!$C:$FM,106)</f>
        <v>40.19</v>
      </c>
      <c r="F139" s="50">
        <f>VLOOKUP($A139,'Data shares'!$C:$FM,108)</f>
        <v>-7.69</v>
      </c>
      <c r="G139" s="50">
        <f t="shared" si="4"/>
        <v>0.80865887036576267</v>
      </c>
    </row>
    <row r="140" spans="1:7" x14ac:dyDescent="0.25">
      <c r="A140" s="49" t="str">
        <f>'Data shares'!C135</f>
        <v>LTIM</v>
      </c>
      <c r="B140" s="50">
        <f>VLOOKUP($A140,'Data shares'!$C:$FM,102)</f>
        <v>24.48</v>
      </c>
      <c r="C140" s="50">
        <f>VLOOKUP($A140,'Data shares'!$C:$FM,110)</f>
        <v>24.12</v>
      </c>
      <c r="D140" s="50">
        <f>VLOOKUP($A140,'Data shares'!$C:$FM,114)</f>
        <v>25.23</v>
      </c>
      <c r="E140" s="50">
        <f>VLOOKUP($A140,'Data shares'!$C:$FM,106)</f>
        <v>35.1</v>
      </c>
      <c r="F140" s="50">
        <f>VLOOKUP($A140,'Data shares'!$C:$FM,108)</f>
        <v>-10.62</v>
      </c>
      <c r="G140" s="50">
        <f t="shared" si="4"/>
        <v>0.6974358974358974</v>
      </c>
    </row>
    <row r="141" spans="1:7" x14ac:dyDescent="0.25">
      <c r="A141" s="49" t="str">
        <f>'Data shares'!C136</f>
        <v>LUPIN</v>
      </c>
      <c r="B141" s="50">
        <f>VLOOKUP($A141,'Data shares'!$C:$FM,102)</f>
        <v>32.24</v>
      </c>
      <c r="C141" s="50">
        <f>VLOOKUP($A141,'Data shares'!$C:$FM,110)</f>
        <v>32.61</v>
      </c>
      <c r="D141" s="50">
        <f>VLOOKUP($A141,'Data shares'!$C:$FM,114)</f>
        <v>31.75</v>
      </c>
      <c r="E141" s="50">
        <f>VLOOKUP($A141,'Data shares'!$C:$FM,106)</f>
        <v>33.26</v>
      </c>
      <c r="F141" s="50">
        <f>VLOOKUP($A141,'Data shares'!$C:$FM,108)</f>
        <v>-1.02</v>
      </c>
      <c r="G141" s="50">
        <f t="shared" si="4"/>
        <v>0.96933253156945287</v>
      </c>
    </row>
    <row r="142" spans="1:7" x14ac:dyDescent="0.25">
      <c r="A142" s="49" t="str">
        <f>'Data shares'!C137</f>
        <v>M&amp;M</v>
      </c>
      <c r="B142" s="50">
        <f>VLOOKUP($A142,'Data shares'!$C:$FM,102)</f>
        <v>29.4</v>
      </c>
      <c r="C142" s="50">
        <f>VLOOKUP($A142,'Data shares'!$C:$FM,110)</f>
        <v>29.23</v>
      </c>
      <c r="D142" s="50">
        <f>VLOOKUP($A142,'Data shares'!$C:$FM,114)</f>
        <v>29.81</v>
      </c>
      <c r="E142" s="50">
        <f>VLOOKUP($A142,'Data shares'!$C:$FM,106)</f>
        <v>34.369999999999997</v>
      </c>
      <c r="F142" s="50">
        <f>VLOOKUP($A142,'Data shares'!$C:$FM,108)</f>
        <v>-4.97</v>
      </c>
      <c r="G142" s="50">
        <f t="shared" si="4"/>
        <v>0.85539714867617112</v>
      </c>
    </row>
    <row r="143" spans="1:7" x14ac:dyDescent="0.25">
      <c r="A143" s="49" t="str">
        <f>'Data shares'!C138</f>
        <v>M&amp;MFIN</v>
      </c>
      <c r="B143" s="50">
        <f>VLOOKUP($A143,'Data shares'!$C:$FM,102)</f>
        <v>36.92</v>
      </c>
      <c r="C143" s="50">
        <f>VLOOKUP($A143,'Data shares'!$C:$FM,110)</f>
        <v>36.92</v>
      </c>
      <c r="D143" s="50">
        <f>VLOOKUP($A143,'Data shares'!$C:$FM,114)</f>
        <v>36.92</v>
      </c>
      <c r="E143" s="50">
        <f>VLOOKUP($A143,'Data shares'!$C:$FM,106)</f>
        <v>36.92</v>
      </c>
      <c r="F143" s="50">
        <f>VLOOKUP($A143,'Data shares'!$C:$FM,108)</f>
        <v>0</v>
      </c>
      <c r="G143" s="50">
        <f t="shared" si="4"/>
        <v>1</v>
      </c>
    </row>
    <row r="144" spans="1:7" x14ac:dyDescent="0.25">
      <c r="A144" s="49" t="str">
        <f>'Data shares'!C139</f>
        <v>MANAPPURAM</v>
      </c>
      <c r="B144" s="50">
        <f>VLOOKUP($A144,'Data shares'!$C:$FM,102)</f>
        <v>26.7</v>
      </c>
      <c r="C144" s="50">
        <f>VLOOKUP($A144,'Data shares'!$C:$FM,110)</f>
        <v>27.04</v>
      </c>
      <c r="D144" s="50">
        <f>VLOOKUP($A144,'Data shares'!$C:$FM,114)</f>
        <v>26.45</v>
      </c>
      <c r="E144" s="50">
        <f>VLOOKUP($A144,'Data shares'!$C:$FM,106)</f>
        <v>45.41</v>
      </c>
      <c r="F144" s="50">
        <f>VLOOKUP($A144,'Data shares'!$C:$FM,108)</f>
        <v>-18.71</v>
      </c>
      <c r="G144" s="50">
        <f t="shared" si="4"/>
        <v>0.58797621669235856</v>
      </c>
    </row>
    <row r="145" spans="1:7" x14ac:dyDescent="0.25">
      <c r="A145" s="49" t="str">
        <f>'Data shares'!C140</f>
        <v>MANKIND</v>
      </c>
      <c r="B145" s="50">
        <f>VLOOKUP($A145,'Data shares'!$C:$FM,102)</f>
        <v>37.68</v>
      </c>
      <c r="C145" s="50">
        <f>VLOOKUP($A145,'Data shares'!$C:$FM,110)</f>
        <v>37.450000000000003</v>
      </c>
      <c r="D145" s="50">
        <f>VLOOKUP($A145,'Data shares'!$C:$FM,114)</f>
        <v>38.159999999999997</v>
      </c>
      <c r="E145" s="50">
        <f>VLOOKUP($A145,'Data shares'!$C:$FM,106)</f>
        <v>37.03</v>
      </c>
      <c r="F145" s="50">
        <f>VLOOKUP($A145,'Data shares'!$C:$FM,108)</f>
        <v>0.65</v>
      </c>
      <c r="G145" s="50">
        <f t="shared" si="4"/>
        <v>1.0175533351336754</v>
      </c>
    </row>
    <row r="146" spans="1:7" x14ac:dyDescent="0.25">
      <c r="A146" s="49" t="str">
        <f>'Data shares'!C141</f>
        <v>MARICO</v>
      </c>
      <c r="B146" s="50">
        <f>VLOOKUP($A146,'Data shares'!$C:$FM,102)</f>
        <v>27.04</v>
      </c>
      <c r="C146" s="50">
        <f>VLOOKUP($A146,'Data shares'!$C:$FM,110)</f>
        <v>27.07</v>
      </c>
      <c r="D146" s="50">
        <f>VLOOKUP($A146,'Data shares'!$C:$FM,114)</f>
        <v>26.9</v>
      </c>
      <c r="E146" s="50">
        <f>VLOOKUP($A146,'Data shares'!$C:$FM,106)</f>
        <v>27.4</v>
      </c>
      <c r="F146" s="50">
        <f>VLOOKUP($A146,'Data shares'!$C:$FM,108)</f>
        <v>-0.36</v>
      </c>
      <c r="G146" s="50">
        <f t="shared" si="4"/>
        <v>0.9868613138686132</v>
      </c>
    </row>
    <row r="147" spans="1:7" x14ac:dyDescent="0.25">
      <c r="A147" s="49" t="str">
        <f>'Data shares'!C142</f>
        <v>MARUTI</v>
      </c>
      <c r="B147" s="50">
        <f>VLOOKUP($A147,'Data shares'!$C:$FM,102)</f>
        <v>22.13</v>
      </c>
      <c r="C147" s="50">
        <f>VLOOKUP($A147,'Data shares'!$C:$FM,110)</f>
        <v>21.8</v>
      </c>
      <c r="D147" s="50">
        <f>VLOOKUP($A147,'Data shares'!$C:$FM,114)</f>
        <v>22.93</v>
      </c>
      <c r="E147" s="50">
        <f>VLOOKUP($A147,'Data shares'!$C:$FM,106)</f>
        <v>24.69</v>
      </c>
      <c r="F147" s="50">
        <f>VLOOKUP($A147,'Data shares'!$C:$FM,108)</f>
        <v>-2.56</v>
      </c>
      <c r="G147" s="50">
        <f t="shared" si="4"/>
        <v>0.8963142972863507</v>
      </c>
    </row>
    <row r="148" spans="1:7" x14ac:dyDescent="0.25">
      <c r="A148" s="49" t="str">
        <f>'Data shares'!C143</f>
        <v>MAXHEALTH</v>
      </c>
      <c r="B148" s="50">
        <f>VLOOKUP($A148,'Data shares'!$C:$FM,102)</f>
        <v>30.24</v>
      </c>
      <c r="C148" s="50">
        <f>VLOOKUP($A148,'Data shares'!$C:$FM,110)</f>
        <v>30.25</v>
      </c>
      <c r="D148" s="50">
        <f>VLOOKUP($A148,'Data shares'!$C:$FM,114)</f>
        <v>30.21</v>
      </c>
      <c r="E148" s="50">
        <f>VLOOKUP($A148,'Data shares'!$C:$FM,106)</f>
        <v>43.39</v>
      </c>
      <c r="F148" s="50">
        <f>VLOOKUP($A148,'Data shares'!$C:$FM,108)</f>
        <v>-13.15</v>
      </c>
      <c r="G148" s="50">
        <f t="shared" si="4"/>
        <v>0.69693477759852496</v>
      </c>
    </row>
    <row r="149" spans="1:7" x14ac:dyDescent="0.25">
      <c r="A149" s="49" t="str">
        <f>'Data shares'!C144</f>
        <v>MAZDOCK</v>
      </c>
      <c r="B149" s="50">
        <f>VLOOKUP($A149,'Data shares'!$C:$FM,102)</f>
        <v>37.340000000000003</v>
      </c>
      <c r="C149" s="50">
        <f>VLOOKUP($A149,'Data shares'!$C:$FM,110)</f>
        <v>37.06</v>
      </c>
      <c r="D149" s="50">
        <f>VLOOKUP($A149,'Data shares'!$C:$FM,114)</f>
        <v>38.19</v>
      </c>
      <c r="E149" s="50">
        <f>VLOOKUP($A149,'Data shares'!$C:$FM,106)</f>
        <v>65.180000000000007</v>
      </c>
      <c r="F149" s="50">
        <f>VLOOKUP($A149,'Data shares'!$C:$FM,108)</f>
        <v>-27.84</v>
      </c>
      <c r="G149" s="50">
        <f t="shared" si="4"/>
        <v>0.57287511506597111</v>
      </c>
    </row>
    <row r="150" spans="1:7" x14ac:dyDescent="0.25">
      <c r="A150" s="49" t="str">
        <f>'Data shares'!C145</f>
        <v>MCX</v>
      </c>
      <c r="B150" s="50">
        <f>VLOOKUP($A150,'Data shares'!$C:$FM,102)</f>
        <v>39.14</v>
      </c>
      <c r="C150" s="50">
        <f>VLOOKUP($A150,'Data shares'!$C:$FM,110)</f>
        <v>39.03</v>
      </c>
      <c r="D150" s="50">
        <f>VLOOKUP($A150,'Data shares'!$C:$FM,114)</f>
        <v>39.33</v>
      </c>
      <c r="E150" s="50">
        <f>VLOOKUP($A150,'Data shares'!$C:$FM,106)</f>
        <v>48.62</v>
      </c>
      <c r="F150" s="50">
        <f>VLOOKUP($A150,'Data shares'!$C:$FM,108)</f>
        <v>-9.48</v>
      </c>
      <c r="G150" s="50">
        <f t="shared" si="4"/>
        <v>0.80501851090086385</v>
      </c>
    </row>
    <row r="151" spans="1:7" x14ac:dyDescent="0.25">
      <c r="A151" s="49" t="str">
        <f>'Data shares'!C146</f>
        <v>MFSL</v>
      </c>
      <c r="B151" s="50">
        <f>VLOOKUP($A151,'Data shares'!$C:$FM,102)</f>
        <v>29.44</v>
      </c>
      <c r="C151" s="50">
        <f>VLOOKUP($A151,'Data shares'!$C:$FM,110)</f>
        <v>29.4</v>
      </c>
      <c r="D151" s="50">
        <f>VLOOKUP($A151,'Data shares'!$C:$FM,114)</f>
        <v>29.49</v>
      </c>
      <c r="E151" s="50">
        <f>VLOOKUP($A151,'Data shares'!$C:$FM,106)</f>
        <v>31.85</v>
      </c>
      <c r="F151" s="50">
        <f>VLOOKUP($A151,'Data shares'!$C:$FM,108)</f>
        <v>-2.41</v>
      </c>
      <c r="G151" s="50">
        <f t="shared" si="4"/>
        <v>0.92433281004709578</v>
      </c>
    </row>
    <row r="152" spans="1:7" x14ac:dyDescent="0.25">
      <c r="A152" s="49" t="str">
        <f>'Data shares'!C147</f>
        <v>MGL</v>
      </c>
      <c r="B152" s="50">
        <f>VLOOKUP($A152,'Data shares'!$C:$FM,102)</f>
        <v>45.05</v>
      </c>
      <c r="C152" s="50">
        <f>VLOOKUP($A152,'Data shares'!$C:$FM,110)</f>
        <v>45.05</v>
      </c>
      <c r="D152" s="50">
        <f>VLOOKUP($A152,'Data shares'!$C:$FM,114)</f>
        <v>45.05</v>
      </c>
      <c r="E152" s="50">
        <f>VLOOKUP($A152,'Data shares'!$C:$FM,106)</f>
        <v>45.05</v>
      </c>
      <c r="F152" s="50">
        <f>VLOOKUP($A152,'Data shares'!$C:$FM,108)</f>
        <v>0</v>
      </c>
      <c r="G152" s="50">
        <f t="shared" si="4"/>
        <v>1</v>
      </c>
    </row>
    <row r="153" spans="1:7" x14ac:dyDescent="0.25">
      <c r="A153" s="49" t="str">
        <f>'Data shares'!C148</f>
        <v>MIDCPNIFTY</v>
      </c>
      <c r="B153" s="50">
        <f>VLOOKUP($A153,'Data shares'!$C:$FM,102)</f>
        <v>18.89</v>
      </c>
      <c r="C153" s="50">
        <f>VLOOKUP($A153,'Data shares'!$C:$FM,110)</f>
        <v>18.21</v>
      </c>
      <c r="D153" s="50">
        <f>VLOOKUP($A153,'Data shares'!$C:$FM,114)</f>
        <v>19.64</v>
      </c>
      <c r="E153" s="50">
        <f>VLOOKUP($A153,'Data shares'!$C:$FM,106)</f>
        <v>24.04</v>
      </c>
      <c r="F153" s="50">
        <f>VLOOKUP($A153,'Data shares'!$C:$FM,108)</f>
        <v>-5.15</v>
      </c>
      <c r="G153" s="50">
        <f t="shared" si="4"/>
        <v>0.7857737104825292</v>
      </c>
    </row>
    <row r="154" spans="1:7" x14ac:dyDescent="0.25">
      <c r="A154" s="49" t="str">
        <f>'Data shares'!C149</f>
        <v>MOTHERSON</v>
      </c>
      <c r="B154" s="50">
        <f>VLOOKUP($A154,'Data shares'!$C:$FM,102)</f>
        <v>36.549999999999997</v>
      </c>
      <c r="C154" s="50">
        <f>VLOOKUP($A154,'Data shares'!$C:$FM,110)</f>
        <v>36.520000000000003</v>
      </c>
      <c r="D154" s="50">
        <f>VLOOKUP($A154,'Data shares'!$C:$FM,114)</f>
        <v>36.590000000000003</v>
      </c>
      <c r="E154" s="50">
        <f>VLOOKUP($A154,'Data shares'!$C:$FM,106)</f>
        <v>41.97</v>
      </c>
      <c r="F154" s="50">
        <f>VLOOKUP($A154,'Data shares'!$C:$FM,108)</f>
        <v>-5.42</v>
      </c>
      <c r="G154" s="50">
        <f t="shared" si="4"/>
        <v>0.87086013819394803</v>
      </c>
    </row>
    <row r="155" spans="1:7" x14ac:dyDescent="0.25">
      <c r="A155" s="49" t="str">
        <f>'Data shares'!C150</f>
        <v>MPHASIS</v>
      </c>
      <c r="B155" s="50">
        <f>VLOOKUP($A155,'Data shares'!$C:$FM,102)</f>
        <v>29.52</v>
      </c>
      <c r="C155" s="50">
        <f>VLOOKUP($A155,'Data shares'!$C:$FM,110)</f>
        <v>29.55</v>
      </c>
      <c r="D155" s="50">
        <f>VLOOKUP($A155,'Data shares'!$C:$FM,114)</f>
        <v>29.48</v>
      </c>
      <c r="E155" s="50">
        <f>VLOOKUP($A155,'Data shares'!$C:$FM,106)</f>
        <v>38.700000000000003</v>
      </c>
      <c r="F155" s="50">
        <f>VLOOKUP($A155,'Data shares'!$C:$FM,108)</f>
        <v>-9.18</v>
      </c>
      <c r="G155" s="50">
        <f t="shared" si="4"/>
        <v>0.76279069767441854</v>
      </c>
    </row>
    <row r="156" spans="1:7" x14ac:dyDescent="0.25">
      <c r="A156" s="49" t="str">
        <f>'Data shares'!C151</f>
        <v>MUTHOOTFIN</v>
      </c>
      <c r="B156" s="50">
        <f>VLOOKUP($A156,'Data shares'!$C:$FM,102)</f>
        <v>32.33</v>
      </c>
      <c r="C156" s="50">
        <f>VLOOKUP($A156,'Data shares'!$C:$FM,110)</f>
        <v>32.19</v>
      </c>
      <c r="D156" s="50">
        <f>VLOOKUP($A156,'Data shares'!$C:$FM,114)</f>
        <v>32.840000000000003</v>
      </c>
      <c r="E156" s="50">
        <f>VLOOKUP($A156,'Data shares'!$C:$FM,106)</f>
        <v>36.090000000000003</v>
      </c>
      <c r="F156" s="50">
        <f>VLOOKUP($A156,'Data shares'!$C:$FM,108)</f>
        <v>-3.76</v>
      </c>
      <c r="G156" s="50">
        <f t="shared" si="4"/>
        <v>0.89581601551676349</v>
      </c>
    </row>
    <row r="157" spans="1:7" x14ac:dyDescent="0.25">
      <c r="A157" s="49" t="str">
        <f>'Data shares'!C152</f>
        <v>NATIONALUM</v>
      </c>
      <c r="B157" s="50">
        <f>VLOOKUP($A157,'Data shares'!$C:$FM,102)</f>
        <v>33.03</v>
      </c>
      <c r="C157" s="50">
        <f>VLOOKUP($A157,'Data shares'!$C:$FM,110)</f>
        <v>33.57</v>
      </c>
      <c r="D157" s="50">
        <f>VLOOKUP($A157,'Data shares'!$C:$FM,114)</f>
        <v>32.299999999999997</v>
      </c>
      <c r="E157" s="50">
        <f>VLOOKUP($A157,'Data shares'!$C:$FM,106)</f>
        <v>50.81</v>
      </c>
      <c r="F157" s="50">
        <f>VLOOKUP($A157,'Data shares'!$C:$FM,108)</f>
        <v>-17.78</v>
      </c>
      <c r="G157" s="50">
        <f t="shared" si="4"/>
        <v>0.65006888407793739</v>
      </c>
    </row>
    <row r="158" spans="1:7" x14ac:dyDescent="0.25">
      <c r="A158" s="49" t="str">
        <f>'Data shares'!C153</f>
        <v>NAUKRI</v>
      </c>
      <c r="B158" s="50">
        <f>VLOOKUP($A158,'Data shares'!$C:$FM,102)</f>
        <v>34.21</v>
      </c>
      <c r="C158" s="50">
        <f>VLOOKUP($A158,'Data shares'!$C:$FM,110)</f>
        <v>34.1</v>
      </c>
      <c r="D158" s="50">
        <f>VLOOKUP($A158,'Data shares'!$C:$FM,114)</f>
        <v>34.36</v>
      </c>
      <c r="E158" s="50">
        <f>VLOOKUP($A158,'Data shares'!$C:$FM,106)</f>
        <v>40.24</v>
      </c>
      <c r="F158" s="50">
        <f>VLOOKUP($A158,'Data shares'!$C:$FM,108)</f>
        <v>-6.03</v>
      </c>
      <c r="G158" s="50">
        <f t="shared" si="4"/>
        <v>0.8501491053677932</v>
      </c>
    </row>
    <row r="159" spans="1:7" x14ac:dyDescent="0.25">
      <c r="A159" s="49" t="str">
        <f>'Data shares'!C154</f>
        <v>NBCC</v>
      </c>
      <c r="B159" s="50">
        <f>VLOOKUP($A159,'Data shares'!$C:$FM,102)</f>
        <v>37.869999999999997</v>
      </c>
      <c r="C159" s="50">
        <f>VLOOKUP($A159,'Data shares'!$C:$FM,110)</f>
        <v>38.020000000000003</v>
      </c>
      <c r="D159" s="50">
        <f>VLOOKUP($A159,'Data shares'!$C:$FM,114)</f>
        <v>37.65</v>
      </c>
      <c r="E159" s="50">
        <f>VLOOKUP($A159,'Data shares'!$C:$FM,106)</f>
        <v>56.61</v>
      </c>
      <c r="F159" s="50">
        <f>VLOOKUP($A159,'Data shares'!$C:$FM,108)</f>
        <v>-18.739999999999998</v>
      </c>
      <c r="G159" s="50">
        <f t="shared" si="4"/>
        <v>0.66896308072778654</v>
      </c>
    </row>
    <row r="160" spans="1:7" x14ac:dyDescent="0.25">
      <c r="A160" s="49" t="str">
        <f>'Data shares'!C155</f>
        <v>NCC</v>
      </c>
      <c r="B160" s="50">
        <f>VLOOKUP($A160,'Data shares'!$C:$FM,102)</f>
        <v>36.479999999999997</v>
      </c>
      <c r="C160" s="50">
        <f>VLOOKUP($A160,'Data shares'!$C:$FM,110)</f>
        <v>36.909999999999997</v>
      </c>
      <c r="D160" s="50">
        <f>VLOOKUP($A160,'Data shares'!$C:$FM,114)</f>
        <v>35.85</v>
      </c>
      <c r="E160" s="50">
        <f>VLOOKUP($A160,'Data shares'!$C:$FM,106)</f>
        <v>51.37</v>
      </c>
      <c r="F160" s="50">
        <f>VLOOKUP($A160,'Data shares'!$C:$FM,108)</f>
        <v>-14.89</v>
      </c>
      <c r="G160" s="50">
        <f t="shared" si="4"/>
        <v>0.71014210628771657</v>
      </c>
    </row>
    <row r="161" spans="1:7" x14ac:dyDescent="0.25">
      <c r="A161" s="49" t="str">
        <f>'Data shares'!C156</f>
        <v>NESTLEIND</v>
      </c>
      <c r="B161" s="50">
        <f>VLOOKUP($A161,'Data shares'!$C:$FM,102)</f>
        <v>18.760000000000002</v>
      </c>
      <c r="C161" s="50">
        <f>VLOOKUP($A161,'Data shares'!$C:$FM,110)</f>
        <v>19.03</v>
      </c>
      <c r="D161" s="50">
        <f>VLOOKUP($A161,'Data shares'!$C:$FM,114)</f>
        <v>18.18</v>
      </c>
      <c r="E161" s="50">
        <f>VLOOKUP($A161,'Data shares'!$C:$FM,106)</f>
        <v>23.36</v>
      </c>
      <c r="F161" s="50">
        <f>VLOOKUP($A161,'Data shares'!$C:$FM,108)</f>
        <v>-4.5999999999999996</v>
      </c>
      <c r="G161" s="50">
        <f t="shared" si="4"/>
        <v>0.80308219178082196</v>
      </c>
    </row>
    <row r="162" spans="1:7" x14ac:dyDescent="0.25">
      <c r="A162" s="49" t="str">
        <f>'Data shares'!C157</f>
        <v>NHPC</v>
      </c>
      <c r="B162" s="50">
        <f>VLOOKUP($A162,'Data shares'!$C:$FM,102)</f>
        <v>29.07</v>
      </c>
      <c r="C162" s="50">
        <f>VLOOKUP($A162,'Data shares'!$C:$FM,110)</f>
        <v>29.41</v>
      </c>
      <c r="D162" s="50">
        <f>VLOOKUP($A162,'Data shares'!$C:$FM,114)</f>
        <v>28.31</v>
      </c>
      <c r="E162" s="50">
        <f>VLOOKUP($A162,'Data shares'!$C:$FM,106)</f>
        <v>42.43</v>
      </c>
      <c r="F162" s="50">
        <f>VLOOKUP($A162,'Data shares'!$C:$FM,108)</f>
        <v>-13.36</v>
      </c>
      <c r="G162" s="50">
        <f t="shared" si="4"/>
        <v>0.68512844685364127</v>
      </c>
    </row>
    <row r="163" spans="1:7" x14ac:dyDescent="0.25">
      <c r="A163" s="49" t="str">
        <f>'Data shares'!C158</f>
        <v>NIFTY</v>
      </c>
      <c r="B163" s="50">
        <f>VLOOKUP($A163,'Data shares'!$C:$FM,102)</f>
        <v>12.44</v>
      </c>
      <c r="C163" s="50">
        <f>VLOOKUP($A163,'Data shares'!$C:$FM,110)</f>
        <v>11.66</v>
      </c>
      <c r="D163" s="50">
        <f>VLOOKUP($A163,'Data shares'!$C:$FM,114)</f>
        <v>13.29</v>
      </c>
      <c r="E163" s="50">
        <f>VLOOKUP($A163,'Data shares'!$C:$FM,106)</f>
        <v>16.23</v>
      </c>
      <c r="F163" s="50">
        <f>VLOOKUP($A163,'Data shares'!$C:$FM,108)</f>
        <v>-3.79</v>
      </c>
      <c r="G163" s="50">
        <f t="shared" si="4"/>
        <v>0.76648182378311758</v>
      </c>
    </row>
    <row r="164" spans="1:7" x14ac:dyDescent="0.25">
      <c r="A164" s="49" t="str">
        <f>'Data shares'!C159</f>
        <v>NIFTYNXT50</v>
      </c>
      <c r="B164" s="50">
        <f>VLOOKUP($A164,'Data shares'!$C:$FM,102)</f>
        <v>13.63</v>
      </c>
      <c r="C164" s="50">
        <f>VLOOKUP($A164,'Data shares'!$C:$FM,110)</f>
        <v>13.63</v>
      </c>
      <c r="D164" s="50">
        <f>VLOOKUP($A164,'Data shares'!$C:$FM,114)</f>
        <v>13.63</v>
      </c>
      <c r="E164" s="50">
        <f>VLOOKUP($A164,'Data shares'!$C:$FM,106)</f>
        <v>23</v>
      </c>
      <c r="F164" s="50">
        <f>VLOOKUP($A164,'Data shares'!$C:$FM,108)</f>
        <v>-9.3699999999999992</v>
      </c>
      <c r="G164" s="50">
        <f t="shared" si="4"/>
        <v>0.592608695652174</v>
      </c>
    </row>
    <row r="165" spans="1:7" x14ac:dyDescent="0.25">
      <c r="A165" s="49" t="str">
        <f>'Data shares'!C160</f>
        <v>NMDC</v>
      </c>
      <c r="B165" s="50">
        <f>VLOOKUP($A165,'Data shares'!$C:$FM,102)</f>
        <v>28.7</v>
      </c>
      <c r="C165" s="50">
        <f>VLOOKUP($A165,'Data shares'!$C:$FM,110)</f>
        <v>29.71</v>
      </c>
      <c r="D165" s="50">
        <f>VLOOKUP($A165,'Data shares'!$C:$FM,114)</f>
        <v>27.35</v>
      </c>
      <c r="E165" s="50">
        <f>VLOOKUP($A165,'Data shares'!$C:$FM,106)</f>
        <v>42.47</v>
      </c>
      <c r="F165" s="50">
        <f>VLOOKUP($A165,'Data shares'!$C:$FM,108)</f>
        <v>-13.77</v>
      </c>
      <c r="G165" s="50">
        <f t="shared" si="4"/>
        <v>0.67577113256416299</v>
      </c>
    </row>
    <row r="166" spans="1:7" x14ac:dyDescent="0.25">
      <c r="A166" s="49" t="str">
        <f>'Data shares'!C161</f>
        <v>NTPC</v>
      </c>
      <c r="B166" s="50">
        <f>VLOOKUP($A166,'Data shares'!$C:$FM,102)</f>
        <v>19.96</v>
      </c>
      <c r="C166" s="50">
        <f>VLOOKUP($A166,'Data shares'!$C:$FM,110)</f>
        <v>20</v>
      </c>
      <c r="D166" s="50">
        <f>VLOOKUP($A166,'Data shares'!$C:$FM,114)</f>
        <v>19.920000000000002</v>
      </c>
      <c r="E166" s="50">
        <f>VLOOKUP($A166,'Data shares'!$C:$FM,106)</f>
        <v>31.32</v>
      </c>
      <c r="F166" s="50">
        <f>VLOOKUP($A166,'Data shares'!$C:$FM,108)</f>
        <v>-11.36</v>
      </c>
      <c r="G166" s="50">
        <f t="shared" si="4"/>
        <v>0.63729246487867175</v>
      </c>
    </row>
    <row r="167" spans="1:7" x14ac:dyDescent="0.25">
      <c r="A167" s="49" t="str">
        <f>'Data shares'!C162</f>
        <v>NYKAA</v>
      </c>
      <c r="B167" s="50">
        <f>VLOOKUP($A167,'Data shares'!$C:$FM,102)</f>
        <v>34.46</v>
      </c>
      <c r="C167" s="50">
        <f>VLOOKUP($A167,'Data shares'!$C:$FM,110)</f>
        <v>34.54</v>
      </c>
      <c r="D167" s="50">
        <f>VLOOKUP($A167,'Data shares'!$C:$FM,114)</f>
        <v>34.25</v>
      </c>
      <c r="E167" s="50">
        <f>VLOOKUP($A167,'Data shares'!$C:$FM,106)</f>
        <v>37.92</v>
      </c>
      <c r="F167" s="50">
        <f>VLOOKUP($A167,'Data shares'!$C:$FM,108)</f>
        <v>-3.46</v>
      </c>
      <c r="G167" s="50">
        <f t="shared" ref="G167:G189" si="5">B167/E167</f>
        <v>0.90875527426160341</v>
      </c>
    </row>
    <row r="168" spans="1:7" x14ac:dyDescent="0.25">
      <c r="A168" s="49" t="str">
        <f>'Data shares'!C163</f>
        <v>OBEROIRLTY</v>
      </c>
      <c r="B168" s="50">
        <f>VLOOKUP($A168,'Data shares'!$C:$FM,102)</f>
        <v>29.28</v>
      </c>
      <c r="C168" s="50">
        <f>VLOOKUP($A168,'Data shares'!$C:$FM,110)</f>
        <v>29.26</v>
      </c>
      <c r="D168" s="50">
        <f>VLOOKUP($A168,'Data shares'!$C:$FM,114)</f>
        <v>29.29</v>
      </c>
      <c r="E168" s="50">
        <f>VLOOKUP($A168,'Data shares'!$C:$FM,106)</f>
        <v>41.35</v>
      </c>
      <c r="F168" s="50">
        <f>VLOOKUP($A168,'Data shares'!$C:$FM,108)</f>
        <v>-12.07</v>
      </c>
      <c r="G168" s="50">
        <f t="shared" si="5"/>
        <v>0.70810157194679568</v>
      </c>
    </row>
    <row r="169" spans="1:7" x14ac:dyDescent="0.25">
      <c r="A169" s="49" t="str">
        <f>'Data shares'!C164</f>
        <v>OFSS</v>
      </c>
      <c r="B169" s="50">
        <f>VLOOKUP($A169,'Data shares'!$C:$FM,102)</f>
        <v>30.18</v>
      </c>
      <c r="C169" s="50">
        <f>VLOOKUP($A169,'Data shares'!$C:$FM,110)</f>
        <v>30.1</v>
      </c>
      <c r="D169" s="50">
        <f>VLOOKUP($A169,'Data shares'!$C:$FM,114)</f>
        <v>30.28</v>
      </c>
      <c r="E169" s="50">
        <f>VLOOKUP($A169,'Data shares'!$C:$FM,106)</f>
        <v>42.51</v>
      </c>
      <c r="F169" s="50">
        <f>VLOOKUP($A169,'Data shares'!$C:$FM,108)</f>
        <v>-12.33</v>
      </c>
      <c r="G169" s="50">
        <f t="shared" si="5"/>
        <v>0.70995059985885678</v>
      </c>
    </row>
    <row r="170" spans="1:7" x14ac:dyDescent="0.25">
      <c r="A170" s="49" t="str">
        <f>'Data shares'!C165</f>
        <v>OIL</v>
      </c>
      <c r="B170" s="50">
        <f>VLOOKUP($A170,'Data shares'!$C:$FM,102)</f>
        <v>33.75</v>
      </c>
      <c r="C170" s="50">
        <f>VLOOKUP($A170,'Data shares'!$C:$FM,110)</f>
        <v>33.81</v>
      </c>
      <c r="D170" s="50">
        <f>VLOOKUP($A170,'Data shares'!$C:$FM,114)</f>
        <v>33.67</v>
      </c>
      <c r="E170" s="50">
        <f>VLOOKUP($A170,'Data shares'!$C:$FM,106)</f>
        <v>48.88</v>
      </c>
      <c r="F170" s="50">
        <f>VLOOKUP($A170,'Data shares'!$C:$FM,108)</f>
        <v>-15.13</v>
      </c>
      <c r="G170" s="50">
        <f t="shared" si="5"/>
        <v>0.6904664484451718</v>
      </c>
    </row>
    <row r="171" spans="1:7" x14ac:dyDescent="0.25">
      <c r="A171" s="49" t="str">
        <f>'Data shares'!C166</f>
        <v>ONGC</v>
      </c>
      <c r="B171" s="50">
        <f>VLOOKUP($A171,'Data shares'!$C:$FM,102)</f>
        <v>23.93</v>
      </c>
      <c r="C171" s="50">
        <f>VLOOKUP($A171,'Data shares'!$C:$FM,110)</f>
        <v>23.96</v>
      </c>
      <c r="D171" s="50">
        <f>VLOOKUP($A171,'Data shares'!$C:$FM,114)</f>
        <v>23.89</v>
      </c>
      <c r="E171" s="50">
        <f>VLOOKUP($A171,'Data shares'!$C:$FM,106)</f>
        <v>35.83</v>
      </c>
      <c r="F171" s="50">
        <f>VLOOKUP($A171,'Data shares'!$C:$FM,108)</f>
        <v>-11.9</v>
      </c>
      <c r="G171" s="50">
        <f t="shared" si="5"/>
        <v>0.66787608149595312</v>
      </c>
    </row>
    <row r="172" spans="1:7" x14ac:dyDescent="0.25">
      <c r="A172" s="49" t="str">
        <f>'Data shares'!C167</f>
        <v>PAGEIND</v>
      </c>
      <c r="B172" s="50">
        <f>VLOOKUP($A172,'Data shares'!$C:$FM,102)</f>
        <v>33.130000000000003</v>
      </c>
      <c r="C172" s="50">
        <f>VLOOKUP($A172,'Data shares'!$C:$FM,110)</f>
        <v>33.229999999999997</v>
      </c>
      <c r="D172" s="50">
        <f>VLOOKUP($A172,'Data shares'!$C:$FM,114)</f>
        <v>31.97</v>
      </c>
      <c r="E172" s="50">
        <f>VLOOKUP($A172,'Data shares'!$C:$FM,106)</f>
        <v>29.41</v>
      </c>
      <c r="F172" s="50">
        <f>VLOOKUP($A172,'Data shares'!$C:$FM,108)</f>
        <v>3.72</v>
      </c>
      <c r="G172" s="50">
        <f t="shared" si="5"/>
        <v>1.1264875892553554</v>
      </c>
    </row>
    <row r="173" spans="1:7" x14ac:dyDescent="0.25">
      <c r="A173" s="49" t="str">
        <f>'Data shares'!C168</f>
        <v>PATANJALI</v>
      </c>
      <c r="B173" s="50">
        <f>VLOOKUP($A173,'Data shares'!$C:$FM,102)</f>
        <v>32.03</v>
      </c>
      <c r="C173" s="50">
        <f>VLOOKUP($A173,'Data shares'!$C:$FM,110)</f>
        <v>32.159999999999997</v>
      </c>
      <c r="D173" s="50">
        <f>VLOOKUP($A173,'Data shares'!$C:$FM,114)</f>
        <v>31.76</v>
      </c>
      <c r="E173" s="50">
        <f>VLOOKUP($A173,'Data shares'!$C:$FM,106)</f>
        <v>37.33</v>
      </c>
      <c r="F173" s="50">
        <f>VLOOKUP($A173,'Data shares'!$C:$FM,108)</f>
        <v>-5.3</v>
      </c>
      <c r="G173" s="50">
        <f t="shared" si="5"/>
        <v>0.85802303777122968</v>
      </c>
    </row>
    <row r="174" spans="1:7" x14ac:dyDescent="0.25">
      <c r="A174" s="49" t="str">
        <f>'Data shares'!C169</f>
        <v>PAYTM</v>
      </c>
      <c r="B174" s="50">
        <f>VLOOKUP($A174,'Data shares'!$C:$FM,102)</f>
        <v>37.14</v>
      </c>
      <c r="C174" s="50">
        <f>VLOOKUP($A174,'Data shares'!$C:$FM,110)</f>
        <v>36.090000000000003</v>
      </c>
      <c r="D174" s="50">
        <f>VLOOKUP($A174,'Data shares'!$C:$FM,114)</f>
        <v>39.94</v>
      </c>
      <c r="E174" s="50">
        <f>VLOOKUP($A174,'Data shares'!$C:$FM,106)</f>
        <v>60.38</v>
      </c>
      <c r="F174" s="50">
        <f>VLOOKUP($A174,'Data shares'!$C:$FM,108)</f>
        <v>-23.24</v>
      </c>
      <c r="G174" s="50">
        <f t="shared" si="5"/>
        <v>0.61510433918516061</v>
      </c>
    </row>
    <row r="175" spans="1:7" x14ac:dyDescent="0.25">
      <c r="A175" s="49" t="str">
        <f>'Data shares'!C170</f>
        <v>PEL</v>
      </c>
      <c r="B175" s="50">
        <f>VLOOKUP($A175,'Data shares'!$C:$FM,102)</f>
        <v>45.3</v>
      </c>
      <c r="C175" s="50">
        <f>VLOOKUP($A175,'Data shares'!$C:$FM,110)</f>
        <v>45.3</v>
      </c>
      <c r="D175" s="50">
        <f>VLOOKUP($A175,'Data shares'!$C:$FM,114)</f>
        <v>45.3</v>
      </c>
      <c r="E175" s="50">
        <f>VLOOKUP($A175,'Data shares'!$C:$FM,106)</f>
        <v>45.3</v>
      </c>
      <c r="F175" s="50">
        <f>VLOOKUP($A175,'Data shares'!$C:$FM,108)</f>
        <v>0</v>
      </c>
      <c r="G175" s="50">
        <f t="shared" si="5"/>
        <v>1</v>
      </c>
    </row>
    <row r="176" spans="1:7" x14ac:dyDescent="0.25">
      <c r="A176" s="49" t="str">
        <f>'Data shares'!C171</f>
        <v>PERSISTENT</v>
      </c>
      <c r="B176" s="50">
        <f>VLOOKUP($A176,'Data shares'!$C:$FM,102)</f>
        <v>32.340000000000003</v>
      </c>
      <c r="C176" s="50">
        <f>VLOOKUP($A176,'Data shares'!$C:$FM,110)</f>
        <v>32.36</v>
      </c>
      <c r="D176" s="50">
        <f>VLOOKUP($A176,'Data shares'!$C:$FM,114)</f>
        <v>32.299999999999997</v>
      </c>
      <c r="E176" s="50">
        <f>VLOOKUP($A176,'Data shares'!$C:$FM,106)</f>
        <v>43.2</v>
      </c>
      <c r="F176" s="50">
        <f>VLOOKUP($A176,'Data shares'!$C:$FM,108)</f>
        <v>-10.86</v>
      </c>
      <c r="G176" s="50">
        <f t="shared" si="5"/>
        <v>0.74861111111111112</v>
      </c>
    </row>
    <row r="177" spans="1:7" x14ac:dyDescent="0.25">
      <c r="A177" s="49" t="str">
        <f>'Data shares'!C172</f>
        <v>PETRONET</v>
      </c>
      <c r="B177" s="50">
        <f>VLOOKUP($A177,'Data shares'!$C:$FM,102)</f>
        <v>20.98</v>
      </c>
      <c r="C177" s="50">
        <f>VLOOKUP($A177,'Data shares'!$C:$FM,110)</f>
        <v>21.38</v>
      </c>
      <c r="D177" s="50">
        <f>VLOOKUP($A177,'Data shares'!$C:$FM,114)</f>
        <v>20.309999999999999</v>
      </c>
      <c r="E177" s="50">
        <f>VLOOKUP($A177,'Data shares'!$C:$FM,106)</f>
        <v>34.31</v>
      </c>
      <c r="F177" s="50">
        <f>VLOOKUP($A177,'Data shares'!$C:$FM,108)</f>
        <v>-13.33</v>
      </c>
      <c r="G177" s="50">
        <f t="shared" si="5"/>
        <v>0.61148353249781406</v>
      </c>
    </row>
    <row r="178" spans="1:7" x14ac:dyDescent="0.25">
      <c r="A178" s="49" t="str">
        <f>'Data shares'!C173</f>
        <v>PFC</v>
      </c>
      <c r="B178" s="50">
        <f>VLOOKUP($A178,'Data shares'!$C:$FM,102)</f>
        <v>30.9</v>
      </c>
      <c r="C178" s="50">
        <f>VLOOKUP($A178,'Data shares'!$C:$FM,110)</f>
        <v>30.88</v>
      </c>
      <c r="D178" s="50">
        <f>VLOOKUP($A178,'Data shares'!$C:$FM,114)</f>
        <v>30.93</v>
      </c>
      <c r="E178" s="50">
        <f>VLOOKUP($A178,'Data shares'!$C:$FM,106)</f>
        <v>48.84</v>
      </c>
      <c r="F178" s="50">
        <f>VLOOKUP($A178,'Data shares'!$C:$FM,108)</f>
        <v>-17.940000000000001</v>
      </c>
      <c r="G178" s="50">
        <f t="shared" si="5"/>
        <v>0.63267813267813255</v>
      </c>
    </row>
    <row r="179" spans="1:7" x14ac:dyDescent="0.25">
      <c r="A179" s="49" t="str">
        <f>'Data shares'!C174</f>
        <v>PGEL</v>
      </c>
      <c r="B179" s="50">
        <f>VLOOKUP($A179,'Data shares'!$C:$FM,102)</f>
        <v>41.56</v>
      </c>
      <c r="C179" s="50">
        <f>VLOOKUP($A179,'Data shares'!$C:$FM,110)</f>
        <v>41.52</v>
      </c>
      <c r="D179" s="50">
        <f>VLOOKUP($A179,'Data shares'!$C:$FM,114)</f>
        <v>41.72</v>
      </c>
      <c r="E179" s="50">
        <f>VLOOKUP($A179,'Data shares'!$C:$FM,106)</f>
        <v>64.56</v>
      </c>
      <c r="F179" s="50">
        <f>VLOOKUP($A179,'Data shares'!$C:$FM,108)</f>
        <v>-23</v>
      </c>
      <c r="G179" s="50">
        <f t="shared" si="5"/>
        <v>0.64374225526641882</v>
      </c>
    </row>
    <row r="180" spans="1:7" x14ac:dyDescent="0.25">
      <c r="A180" s="49" t="str">
        <f>'Data shares'!C175</f>
        <v>PHOENIXLTD</v>
      </c>
      <c r="B180" s="50">
        <f>VLOOKUP($A180,'Data shares'!$C:$FM,102)</f>
        <v>30.23</v>
      </c>
      <c r="C180" s="50">
        <f>VLOOKUP($A180,'Data shares'!$C:$FM,110)</f>
        <v>30.17</v>
      </c>
      <c r="D180" s="50">
        <f>VLOOKUP($A180,'Data shares'!$C:$FM,114)</f>
        <v>30.32</v>
      </c>
      <c r="E180" s="50">
        <f>VLOOKUP($A180,'Data shares'!$C:$FM,106)</f>
        <v>47.72</v>
      </c>
      <c r="F180" s="50">
        <f>VLOOKUP($A180,'Data shares'!$C:$FM,108)</f>
        <v>-17.489999999999998</v>
      </c>
      <c r="G180" s="50">
        <f t="shared" si="5"/>
        <v>0.63348700754400677</v>
      </c>
    </row>
    <row r="181" spans="1:7" x14ac:dyDescent="0.25">
      <c r="A181" s="49" t="str">
        <f>'Data shares'!C176</f>
        <v>PIDILITIND</v>
      </c>
      <c r="B181" s="50">
        <f>VLOOKUP($A181,'Data shares'!$C:$FM,102)</f>
        <v>23.67</v>
      </c>
      <c r="C181" s="50">
        <f>VLOOKUP($A181,'Data shares'!$C:$FM,110)</f>
        <v>23.82</v>
      </c>
      <c r="D181" s="50">
        <f>VLOOKUP($A181,'Data shares'!$C:$FM,114)</f>
        <v>23.47</v>
      </c>
      <c r="E181" s="50">
        <f>VLOOKUP($A181,'Data shares'!$C:$FM,106)</f>
        <v>22.96</v>
      </c>
      <c r="F181" s="50">
        <f>VLOOKUP($A181,'Data shares'!$C:$FM,108)</f>
        <v>0.71</v>
      </c>
      <c r="G181" s="50">
        <f t="shared" si="5"/>
        <v>1.0309233449477353</v>
      </c>
    </row>
    <row r="182" spans="1:7" x14ac:dyDescent="0.25">
      <c r="A182" s="49" t="str">
        <f>'Data shares'!C177</f>
        <v>PIIND</v>
      </c>
      <c r="B182" s="50">
        <f>VLOOKUP($A182,'Data shares'!$C:$FM,102)</f>
        <v>29.53</v>
      </c>
      <c r="C182" s="50">
        <f>VLOOKUP($A182,'Data shares'!$C:$FM,110)</f>
        <v>29.45</v>
      </c>
      <c r="D182" s="50">
        <f>VLOOKUP($A182,'Data shares'!$C:$FM,114)</f>
        <v>29.76</v>
      </c>
      <c r="E182" s="50">
        <f>VLOOKUP($A182,'Data shares'!$C:$FM,106)</f>
        <v>31.6</v>
      </c>
      <c r="F182" s="50">
        <f>VLOOKUP($A182,'Data shares'!$C:$FM,108)</f>
        <v>-2.0699999999999998</v>
      </c>
      <c r="G182" s="50">
        <f t="shared" si="5"/>
        <v>0.93449367088607593</v>
      </c>
    </row>
    <row r="183" spans="1:7" x14ac:dyDescent="0.25">
      <c r="A183" s="49" t="str">
        <f>'Data shares'!C178</f>
        <v>PNB</v>
      </c>
      <c r="B183" s="50">
        <f>VLOOKUP($A183,'Data shares'!$C:$FM,102)</f>
        <v>27.27</v>
      </c>
      <c r="C183" s="50">
        <f>VLOOKUP($A183,'Data shares'!$C:$FM,110)</f>
        <v>27.75</v>
      </c>
      <c r="D183" s="50">
        <f>VLOOKUP($A183,'Data shares'!$C:$FM,114)</f>
        <v>26.46</v>
      </c>
      <c r="E183" s="50">
        <f>VLOOKUP($A183,'Data shares'!$C:$FM,106)</f>
        <v>39.770000000000003</v>
      </c>
      <c r="F183" s="50">
        <f>VLOOKUP($A183,'Data shares'!$C:$FM,108)</f>
        <v>-12.5</v>
      </c>
      <c r="G183" s="50">
        <f t="shared" si="5"/>
        <v>0.68569273321599189</v>
      </c>
    </row>
    <row r="184" spans="1:7" x14ac:dyDescent="0.25">
      <c r="A184" s="49" t="str">
        <f>'Data shares'!C179</f>
        <v>PNBHOUSING</v>
      </c>
      <c r="B184" s="50">
        <f>VLOOKUP($A184,'Data shares'!$C:$FM,102)</f>
        <v>28.99</v>
      </c>
      <c r="C184" s="50">
        <f>VLOOKUP($A184,'Data shares'!$C:$FM,110)</f>
        <v>29.67</v>
      </c>
      <c r="D184" s="50">
        <f>VLOOKUP($A184,'Data shares'!$C:$FM,114)</f>
        <v>27.79</v>
      </c>
      <c r="E184" s="50">
        <f>VLOOKUP($A184,'Data shares'!$C:$FM,106)</f>
        <v>45.99</v>
      </c>
      <c r="F184" s="50">
        <f>VLOOKUP($A184,'Data shares'!$C:$FM,108)</f>
        <v>-17</v>
      </c>
      <c r="G184" s="50">
        <f t="shared" si="5"/>
        <v>0.63035442487497273</v>
      </c>
    </row>
    <row r="185" spans="1:7" x14ac:dyDescent="0.25">
      <c r="A185" s="49" t="str">
        <f>'Data shares'!C180</f>
        <v>POLICYBZR</v>
      </c>
      <c r="B185" s="50">
        <f>VLOOKUP($A185,'Data shares'!$C:$FM,102)</f>
        <v>36.340000000000003</v>
      </c>
      <c r="C185" s="50">
        <f>VLOOKUP($A185,'Data shares'!$C:$FM,110)</f>
        <v>36.51</v>
      </c>
      <c r="D185" s="50">
        <f>VLOOKUP($A185,'Data shares'!$C:$FM,114)</f>
        <v>36.130000000000003</v>
      </c>
      <c r="E185" s="50">
        <f>VLOOKUP($A185,'Data shares'!$C:$FM,106)</f>
        <v>51.03</v>
      </c>
      <c r="F185" s="50">
        <f>VLOOKUP($A185,'Data shares'!$C:$FM,108)</f>
        <v>-14.69</v>
      </c>
      <c r="G185" s="50">
        <f t="shared" si="5"/>
        <v>0.71213011953752703</v>
      </c>
    </row>
    <row r="186" spans="1:7" x14ac:dyDescent="0.25">
      <c r="A186" s="49" t="str">
        <f>'Data shares'!C181</f>
        <v>POLYCAB</v>
      </c>
      <c r="B186" s="50">
        <f>VLOOKUP($A186,'Data shares'!$C:$FM,102)</f>
        <v>26.42</v>
      </c>
      <c r="C186" s="50">
        <f>VLOOKUP($A186,'Data shares'!$C:$FM,110)</f>
        <v>26.27</v>
      </c>
      <c r="D186" s="50">
        <f>VLOOKUP($A186,'Data shares'!$C:$FM,114)</f>
        <v>26.68</v>
      </c>
      <c r="E186" s="50">
        <f>VLOOKUP($A186,'Data shares'!$C:$FM,106)</f>
        <v>44.92</v>
      </c>
      <c r="F186" s="50">
        <f>VLOOKUP($A186,'Data shares'!$C:$FM,108)</f>
        <v>-18.5</v>
      </c>
      <c r="G186" s="50">
        <f t="shared" si="5"/>
        <v>0.58815672306322353</v>
      </c>
    </row>
    <row r="187" spans="1:7" x14ac:dyDescent="0.25">
      <c r="A187" s="49" t="str">
        <f>'Data shares'!C182</f>
        <v>POONAWALLA</v>
      </c>
      <c r="B187" s="50">
        <f>VLOOKUP($A187,'Data shares'!$C:$FM,102)</f>
        <v>36.119999999999997</v>
      </c>
      <c r="C187" s="50">
        <f>VLOOKUP($A187,'Data shares'!$C:$FM,110)</f>
        <v>35.93</v>
      </c>
      <c r="D187" s="50">
        <f>VLOOKUP($A187,'Data shares'!$C:$FM,114)</f>
        <v>36.6</v>
      </c>
      <c r="E187" s="50">
        <f>VLOOKUP($A187,'Data shares'!$C:$FM,106)</f>
        <v>44.89</v>
      </c>
      <c r="F187" s="50">
        <f>VLOOKUP($A187,'Data shares'!$C:$FM,108)</f>
        <v>-8.77</v>
      </c>
      <c r="G187" s="50">
        <f t="shared" si="5"/>
        <v>0.80463354867453774</v>
      </c>
    </row>
    <row r="188" spans="1:7" x14ac:dyDescent="0.25">
      <c r="A188" s="49" t="str">
        <f>'Data shares'!C183</f>
        <v>POWERGRID</v>
      </c>
      <c r="B188" s="50">
        <f>VLOOKUP($A188,'Data shares'!$C:$FM,102)</f>
        <v>20.73</v>
      </c>
      <c r="C188" s="50">
        <f>VLOOKUP($A188,'Data shares'!$C:$FM,110)</f>
        <v>20.72</v>
      </c>
      <c r="D188" s="50">
        <f>VLOOKUP($A188,'Data shares'!$C:$FM,114)</f>
        <v>20.73</v>
      </c>
      <c r="E188" s="50">
        <f>VLOOKUP($A188,'Data shares'!$C:$FM,106)</f>
        <v>31.46</v>
      </c>
      <c r="F188" s="50">
        <f>VLOOKUP($A188,'Data shares'!$C:$FM,108)</f>
        <v>-10.73</v>
      </c>
      <c r="G188" s="50">
        <f t="shared" si="5"/>
        <v>0.65893197711379525</v>
      </c>
    </row>
    <row r="189" spans="1:7" x14ac:dyDescent="0.25">
      <c r="A189" s="49" t="str">
        <f>'Data shares'!C231</f>
        <v>ZYDUSLIFE</v>
      </c>
      <c r="B189" s="50">
        <f>VLOOKUP($A189,'Data shares'!$C:$FM,102)</f>
        <v>27.64</v>
      </c>
      <c r="C189" s="50">
        <f>VLOOKUP($A189,'Data shares'!$C:$FM,110)</f>
        <v>27.66</v>
      </c>
      <c r="D189" s="50">
        <f>VLOOKUP($A189,'Data shares'!$C:$FM,114)</f>
        <v>27.62</v>
      </c>
      <c r="E189" s="50">
        <f>VLOOKUP($A189,'Data shares'!$C:$FM,106)</f>
        <v>30.55</v>
      </c>
      <c r="F189" s="50">
        <f>VLOOKUP($A189,'Data shares'!$C:$FM,108)</f>
        <v>-2.91</v>
      </c>
      <c r="G189" s="50">
        <f t="shared" si="5"/>
        <v>0.90474631751227497</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5" activePane="bottomLeft" state="frozen"/>
      <selection pane="bottomLeft" activeCell="K15" sqref="K15"/>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684</v>
      </c>
      <c r="B5" s="49">
        <v>72384900</v>
      </c>
      <c r="C5" s="49">
        <v>6093500</v>
      </c>
      <c r="D5" s="49">
        <v>128335464</v>
      </c>
      <c r="E5" s="50">
        <f>VLOOKUP($A5,'Data shares'!$C:$FA,154)*100</f>
        <v>8.58</v>
      </c>
      <c r="F5" s="173">
        <f>C5/B5</f>
        <v>8.4181921920179481E-2</v>
      </c>
    </row>
    <row r="6" spans="1:6" x14ac:dyDescent="0.25">
      <c r="A6" s="99" t="s">
        <v>553</v>
      </c>
      <c r="B6" s="49">
        <v>10595418</v>
      </c>
      <c r="C6" s="49">
        <v>3498000</v>
      </c>
      <c r="D6" s="49">
        <v>57287573</v>
      </c>
      <c r="E6" s="50">
        <f>VLOOKUP($A6,'Data shares'!$C:$FA,154)*100</f>
        <v>34.19</v>
      </c>
      <c r="F6" s="173">
        <f>C6/B6</f>
        <v>0.33014270885773456</v>
      </c>
    </row>
    <row r="7" spans="1:6" x14ac:dyDescent="0.25">
      <c r="A7" s="99" t="s">
        <v>544</v>
      </c>
      <c r="B7" s="49">
        <v>162442174</v>
      </c>
      <c r="C7" s="49">
        <v>67552100</v>
      </c>
      <c r="D7" s="49">
        <v>948263976</v>
      </c>
      <c r="E7" s="50">
        <f>VLOOKUP($A7,'Data shares'!$C:$FA,154)*100</f>
        <v>42.059999999999995</v>
      </c>
      <c r="F7" s="173">
        <f>C7/B7</f>
        <v>0.4158532130947718</v>
      </c>
    </row>
    <row r="8" spans="1:6" x14ac:dyDescent="0.25">
      <c r="A8" s="99" t="s">
        <v>499</v>
      </c>
      <c r="B8" s="49">
        <v>121580965</v>
      </c>
      <c r="C8" s="49">
        <v>62792600</v>
      </c>
      <c r="D8" s="49">
        <v>291659008</v>
      </c>
      <c r="E8" s="50">
        <f>VLOOKUP($A8,'Data shares'!$C:$FA,154)*100</f>
        <v>52.71</v>
      </c>
      <c r="F8" s="173">
        <f>C8/B8</f>
        <v>0.51646735983712577</v>
      </c>
    </row>
    <row r="9" spans="1:6" x14ac:dyDescent="0.25">
      <c r="A9" s="99" t="s">
        <v>580</v>
      </c>
      <c r="B9" s="49">
        <v>72215231</v>
      </c>
      <c r="C9" s="49">
        <v>22218975</v>
      </c>
      <c r="D9" s="49">
        <v>76179695</v>
      </c>
      <c r="E9" s="50">
        <f>VLOOKUP($A9,'Data shares'!$C:$FA,154)*100</f>
        <v>30.91</v>
      </c>
      <c r="F9" s="173">
        <f>C9/B9</f>
        <v>0.30767712977335765</v>
      </c>
    </row>
    <row r="10" spans="1:6" x14ac:dyDescent="0.25">
      <c r="A10" s="99" t="s">
        <v>159</v>
      </c>
      <c r="B10" s="49">
        <v>60081955</v>
      </c>
      <c r="C10" s="49">
        <v>27254400</v>
      </c>
      <c r="D10" s="49">
        <v>213821216</v>
      </c>
      <c r="E10" s="50">
        <f>VLOOKUP($A10,'Data shares'!$C:$FA,154)*100</f>
        <v>45.839999999999996</v>
      </c>
      <c r="F10" s="173">
        <f>C10/B10</f>
        <v>0.45362039234575507</v>
      </c>
    </row>
    <row r="11" spans="1:6" x14ac:dyDescent="0.25">
      <c r="A11" s="99" t="s">
        <v>607</v>
      </c>
      <c r="B11" s="49">
        <v>123755903</v>
      </c>
      <c r="C11" s="49">
        <v>25257600</v>
      </c>
      <c r="D11" s="49">
        <v>90791585</v>
      </c>
      <c r="E11" s="50">
        <f>VLOOKUP($A11,'Data shares'!$C:$FA,154)*100</f>
        <v>20.580000000000002</v>
      </c>
      <c r="F11" s="173">
        <f>C11/B11</f>
        <v>0.20409208278331581</v>
      </c>
    </row>
    <row r="12" spans="1:6" x14ac:dyDescent="0.25">
      <c r="A12" s="99" t="s">
        <v>160</v>
      </c>
      <c r="B12" s="49">
        <v>147352572</v>
      </c>
      <c r="C12" s="49">
        <v>27359525</v>
      </c>
      <c r="D12" s="49">
        <v>32997182</v>
      </c>
      <c r="E12" s="50">
        <f>VLOOKUP($A12,'Data shares'!$C:$FA,154)*100</f>
        <v>18.7</v>
      </c>
      <c r="F12" s="173">
        <f>C12/B12</f>
        <v>0.18567388833905119</v>
      </c>
    </row>
    <row r="13" spans="1:6" x14ac:dyDescent="0.25">
      <c r="A13" s="99" t="s">
        <v>497</v>
      </c>
      <c r="B13" s="49">
        <v>10730378</v>
      </c>
      <c r="C13" s="49">
        <v>1290375</v>
      </c>
      <c r="D13" s="49">
        <v>2502122210</v>
      </c>
      <c r="E13" s="50">
        <f>VLOOKUP($A13,'Data shares'!$C:$FA,154)*100</f>
        <v>12.09</v>
      </c>
      <c r="F13" s="173">
        <f>C13/B13</f>
        <v>0.12025438432830605</v>
      </c>
    </row>
    <row r="14" spans="1:6" x14ac:dyDescent="0.25">
      <c r="A14" s="99" t="s">
        <v>683</v>
      </c>
      <c r="B14" s="49">
        <v>4078053</v>
      </c>
      <c r="C14" s="49">
        <v>829700</v>
      </c>
      <c r="D14" s="49">
        <v>162442174</v>
      </c>
      <c r="E14" s="50">
        <f>VLOOKUP($A14,'Data shares'!$C:$FA,154)*100</f>
        <v>21</v>
      </c>
      <c r="F14" s="173">
        <f>C14/B14</f>
        <v>0.20345493302808962</v>
      </c>
    </row>
    <row r="15" spans="1:6" x14ac:dyDescent="0.25">
      <c r="A15" s="99" t="s">
        <v>164</v>
      </c>
      <c r="B15" s="49">
        <v>159683698</v>
      </c>
      <c r="C15" s="49">
        <v>40753650</v>
      </c>
      <c r="D15" s="49">
        <v>8159946</v>
      </c>
      <c r="E15" s="50">
        <f>VLOOKUP($A15,'Data shares'!$C:$FA,154)*100</f>
        <v>26.11</v>
      </c>
      <c r="F15" s="173">
        <f>C15/B15</f>
        <v>0.25521484353399682</v>
      </c>
    </row>
    <row r="16" spans="1:6" x14ac:dyDescent="0.25">
      <c r="A16" s="99" t="s">
        <v>610</v>
      </c>
      <c r="B16" s="49">
        <v>11638502</v>
      </c>
      <c r="C16" s="49">
        <v>3250250</v>
      </c>
      <c r="D16" s="49">
        <v>268798007</v>
      </c>
      <c r="E16" s="50">
        <f>VLOOKUP($A16,'Data shares'!$C:$FA,154)*100</f>
        <v>28.67</v>
      </c>
      <c r="F16" s="173">
        <f>C16/B16</f>
        <v>0.27926703969290895</v>
      </c>
    </row>
    <row r="17" spans="1:6" x14ac:dyDescent="0.25">
      <c r="A17" s="99" t="s">
        <v>599</v>
      </c>
      <c r="B17" s="49">
        <v>39789217</v>
      </c>
      <c r="C17" s="49">
        <v>7420700</v>
      </c>
      <c r="D17" s="49">
        <v>121306033</v>
      </c>
      <c r="E17" s="50">
        <f>VLOOKUP($A17,'Data shares'!$C:$FA,154)*100</f>
        <v>18.87</v>
      </c>
      <c r="F17" s="173">
        <f>C17/B17</f>
        <v>0.1865002771982168</v>
      </c>
    </row>
    <row r="18" spans="1:6" x14ac:dyDescent="0.25">
      <c r="A18" s="99" t="s">
        <v>165</v>
      </c>
      <c r="B18" s="49">
        <v>20320323</v>
      </c>
      <c r="C18" s="49">
        <v>2796875</v>
      </c>
      <c r="D18" s="49">
        <v>268960013</v>
      </c>
      <c r="E18" s="50">
        <f>VLOOKUP($A18,'Data shares'!$C:$FA,154)*100</f>
        <v>13.83</v>
      </c>
      <c r="F18" s="173">
        <f>C18/B18</f>
        <v>0.13763929835170435</v>
      </c>
    </row>
    <row r="19" spans="1:6" x14ac:dyDescent="0.25">
      <c r="A19" s="99" t="s">
        <v>167</v>
      </c>
      <c r="B19" s="49">
        <v>564878806</v>
      </c>
      <c r="C19" s="49">
        <v>102395000</v>
      </c>
      <c r="D19" s="49">
        <v>109606743</v>
      </c>
      <c r="E19" s="50">
        <f>VLOOKUP($A19,'Data shares'!$C:$FA,154)*100</f>
        <v>18.360000000000003</v>
      </c>
      <c r="F19" s="173">
        <f>C19/B19</f>
        <v>0.18126897117113649</v>
      </c>
    </row>
    <row r="20" spans="1:6" x14ac:dyDescent="0.25">
      <c r="A20" s="99" t="s">
        <v>169</v>
      </c>
      <c r="B20" s="49">
        <v>90791585</v>
      </c>
      <c r="C20" s="49">
        <v>18489500</v>
      </c>
      <c r="D20" s="49">
        <v>689383367</v>
      </c>
      <c r="E20" s="50">
        <f>VLOOKUP($A20,'Data shares'!$C:$FA,154)*100</f>
        <v>20.560000000000002</v>
      </c>
      <c r="F20" s="173">
        <f>C20/B20</f>
        <v>0.20364772792544594</v>
      </c>
    </row>
    <row r="21" spans="1:6" x14ac:dyDescent="0.25">
      <c r="A21" s="99" t="s">
        <v>503</v>
      </c>
      <c r="B21" s="49">
        <v>24660712</v>
      </c>
      <c r="C21" s="49">
        <v>7338900</v>
      </c>
      <c r="D21" s="49">
        <v>1324758679</v>
      </c>
      <c r="E21" s="50">
        <f>VLOOKUP($A21,'Data shares'!$C:$FA,154)*100</f>
        <v>30.209999999999997</v>
      </c>
      <c r="F21" s="173">
        <f>C21/B21</f>
        <v>0.29759481396968585</v>
      </c>
    </row>
    <row r="22" spans="1:6" x14ac:dyDescent="0.25">
      <c r="A22" s="99" t="s">
        <v>590</v>
      </c>
      <c r="B22" s="49">
        <v>55429320</v>
      </c>
      <c r="C22" s="49">
        <v>5068000</v>
      </c>
      <c r="D22" s="49">
        <v>113255281</v>
      </c>
      <c r="E22" s="50">
        <f>VLOOKUP($A22,'Data shares'!$C:$FA,154)*100</f>
        <v>9.2100000000000009</v>
      </c>
      <c r="F22" s="173">
        <f>C22/B22</f>
        <v>9.1431754890732922E-2</v>
      </c>
    </row>
    <row r="23" spans="1:6" x14ac:dyDescent="0.25">
      <c r="A23" s="99" t="s">
        <v>495</v>
      </c>
      <c r="B23" s="49">
        <v>114846423</v>
      </c>
      <c r="C23" s="49">
        <v>24060000</v>
      </c>
      <c r="D23" s="49">
        <v>131950203</v>
      </c>
      <c r="E23" s="50">
        <f>VLOOKUP($A23,'Data shares'!$C:$FA,154)*100</f>
        <v>21.37</v>
      </c>
      <c r="F23" s="173">
        <f>C23/B23</f>
        <v>0.20949716474843974</v>
      </c>
    </row>
    <row r="24" spans="1:6" x14ac:dyDescent="0.25">
      <c r="A24" s="99" t="s">
        <v>171</v>
      </c>
      <c r="B24" s="49">
        <v>55970580</v>
      </c>
      <c r="C24" s="49">
        <v>21272900</v>
      </c>
      <c r="D24" s="49">
        <v>16566722</v>
      </c>
      <c r="E24" s="50">
        <f>VLOOKUP($A24,'Data shares'!$C:$FA,154)*100</f>
        <v>38.450000000000003</v>
      </c>
      <c r="F24" s="173">
        <f>C24/B24</f>
        <v>0.38007288829238506</v>
      </c>
    </row>
    <row r="25" spans="1:6" x14ac:dyDescent="0.25">
      <c r="A25" s="99" t="s">
        <v>173</v>
      </c>
      <c r="B25" s="49">
        <v>549885930</v>
      </c>
      <c r="C25" s="49">
        <v>117892500</v>
      </c>
      <c r="D25" s="49">
        <v>2702310</v>
      </c>
      <c r="E25" s="50">
        <f>VLOOKUP($A25,'Data shares'!$C:$FA,154)*100</f>
        <v>21.63</v>
      </c>
      <c r="F25" s="173">
        <f>C25/B25</f>
        <v>0.21439446541212648</v>
      </c>
    </row>
    <row r="26" spans="1:6" x14ac:dyDescent="0.25">
      <c r="A26" s="99" t="s">
        <v>174</v>
      </c>
      <c r="B26" s="49">
        <v>25086000</v>
      </c>
      <c r="C26" s="49">
        <v>3551175</v>
      </c>
      <c r="D26" s="49">
        <v>103932806</v>
      </c>
      <c r="E26" s="50">
        <f>VLOOKUP($A26,'Data shares'!$C:$FA,154)*100</f>
        <v>14.34</v>
      </c>
      <c r="F26" s="173">
        <f>C26/B26</f>
        <v>0.14156003348481225</v>
      </c>
    </row>
    <row r="27" spans="1:6" x14ac:dyDescent="0.25">
      <c r="A27" s="99" t="s">
        <v>176</v>
      </c>
      <c r="B27" s="49">
        <v>125347779</v>
      </c>
      <c r="C27" s="49">
        <v>21376000</v>
      </c>
      <c r="D27" s="49">
        <v>372635498</v>
      </c>
      <c r="E27" s="50">
        <f>VLOOKUP($A27,'Data shares'!$C:$FA,154)*100</f>
        <v>17.22</v>
      </c>
      <c r="F27" s="173">
        <f>C27/B27</f>
        <v>0.1705335361386818</v>
      </c>
    </row>
    <row r="28" spans="1:6" x14ac:dyDescent="0.25">
      <c r="A28" s="99" t="s">
        <v>177</v>
      </c>
      <c r="B28" s="49">
        <v>562142812</v>
      </c>
      <c r="C28" s="49">
        <v>118907250</v>
      </c>
      <c r="D28" s="49">
        <v>18382289</v>
      </c>
      <c r="E28" s="50">
        <f>VLOOKUP($A28,'Data shares'!$C:$FA,154)*100</f>
        <v>21.5</v>
      </c>
      <c r="F28" s="173">
        <f>C28/B28</f>
        <v>0.21152498522030377</v>
      </c>
    </row>
    <row r="29" spans="1:6" x14ac:dyDescent="0.25">
      <c r="A29" s="99" t="s">
        <v>179</v>
      </c>
      <c r="B29" s="49">
        <v>193371109</v>
      </c>
      <c r="C29" s="49">
        <v>106236000</v>
      </c>
      <c r="D29" s="49">
        <v>294716519</v>
      </c>
      <c r="E29" s="50">
        <f>VLOOKUP($A29,'Data shares'!$C:$FA,154)*100</f>
        <v>55.489999999999995</v>
      </c>
      <c r="F29" s="173">
        <f>C29/B29</f>
        <v>0.54938920580943662</v>
      </c>
    </row>
    <row r="30" spans="1:6" x14ac:dyDescent="0.25">
      <c r="A30" s="99" t="s">
        <v>180</v>
      </c>
      <c r="B30" s="49">
        <v>372635498</v>
      </c>
      <c r="C30" s="49">
        <v>149865300</v>
      </c>
      <c r="D30" s="49">
        <v>712939229</v>
      </c>
      <c r="E30" s="50">
        <f>VLOOKUP($A30,'Data shares'!$C:$FA,154)*100</f>
        <v>40.67</v>
      </c>
      <c r="F30" s="173">
        <f>C30/B30</f>
        <v>0.40217666004541519</v>
      </c>
    </row>
    <row r="31" spans="1:6" x14ac:dyDescent="0.25">
      <c r="A31" s="99" t="s">
        <v>603</v>
      </c>
      <c r="B31" s="49">
        <v>242361229</v>
      </c>
      <c r="C31" s="49">
        <v>83548400</v>
      </c>
      <c r="D31" s="49">
        <v>16356551</v>
      </c>
      <c r="E31" s="50">
        <f>VLOOKUP($A31,'Data shares'!$C:$FA,154)*100</f>
        <v>35.32</v>
      </c>
      <c r="F31" s="173">
        <f>C31/B31</f>
        <v>0.34472675495468791</v>
      </c>
    </row>
    <row r="32" spans="1:6" x14ac:dyDescent="0.25">
      <c r="A32" s="99" t="s">
        <v>673</v>
      </c>
      <c r="B32" s="49">
        <v>18382289</v>
      </c>
      <c r="C32" s="49">
        <v>5591625</v>
      </c>
      <c r="D32" s="49">
        <v>4859756</v>
      </c>
      <c r="E32" s="50">
        <f>VLOOKUP($A32,'Data shares'!$C:$FA,154)*100</f>
        <v>31.3</v>
      </c>
      <c r="F32" s="173">
        <f>C32/B32</f>
        <v>0.3041854580786974</v>
      </c>
    </row>
    <row r="33" spans="1:6" x14ac:dyDescent="0.25">
      <c r="A33" s="99" t="s">
        <v>185</v>
      </c>
      <c r="B33" s="49">
        <v>714371379</v>
      </c>
      <c r="C33" s="49">
        <v>189778650</v>
      </c>
      <c r="D33" s="49">
        <v>55429320</v>
      </c>
      <c r="E33" s="50">
        <f>VLOOKUP($A33,'Data shares'!$C:$FA,154)*100</f>
        <v>27.1</v>
      </c>
      <c r="F33" s="173">
        <f>C33/B33</f>
        <v>0.26565824944674893</v>
      </c>
    </row>
    <row r="34" spans="1:6" x14ac:dyDescent="0.25">
      <c r="A34" s="99" t="s">
        <v>187</v>
      </c>
      <c r="B34" s="49">
        <v>53477001</v>
      </c>
      <c r="C34" s="49">
        <v>14313500</v>
      </c>
      <c r="D34" s="49">
        <v>36328758</v>
      </c>
      <c r="E34" s="50">
        <f>VLOOKUP($A34,'Data shares'!$C:$FA,154)*100</f>
        <v>27.089999999999996</v>
      </c>
      <c r="F34" s="173">
        <f>C34/B34</f>
        <v>0.26765711861815139</v>
      </c>
    </row>
    <row r="35" spans="1:6" x14ac:dyDescent="0.25">
      <c r="A35" s="99" t="s">
        <v>189</v>
      </c>
      <c r="B35" s="49">
        <v>579085354</v>
      </c>
      <c r="C35" s="49">
        <v>51591650</v>
      </c>
      <c r="D35" s="49">
        <v>256482590</v>
      </c>
      <c r="E35" s="50">
        <f>VLOOKUP($A35,'Data shares'!$C:$FA,154)*100</f>
        <v>8.98</v>
      </c>
      <c r="F35" s="173">
        <f>C35/B35</f>
        <v>8.9091616017627689E-2</v>
      </c>
    </row>
    <row r="36" spans="1:6" x14ac:dyDescent="0.25">
      <c r="A36" s="99" t="s">
        <v>190</v>
      </c>
      <c r="B36" s="49">
        <v>256482590</v>
      </c>
      <c r="C36" s="49">
        <v>75807375</v>
      </c>
      <c r="D36" s="49">
        <v>70482876</v>
      </c>
      <c r="E36" s="50">
        <f>VLOOKUP($A36,'Data shares'!$C:$FA,154)*100</f>
        <v>30.020000000000003</v>
      </c>
      <c r="F36" s="173">
        <f>C36/B36</f>
        <v>0.29556538320983111</v>
      </c>
    </row>
    <row r="37" spans="1:6" x14ac:dyDescent="0.25">
      <c r="A37" s="99" t="s">
        <v>191</v>
      </c>
      <c r="B37" s="49">
        <v>121306033</v>
      </c>
      <c r="C37" s="49">
        <v>48342500</v>
      </c>
      <c r="D37" s="49">
        <v>100095000</v>
      </c>
      <c r="E37" s="50">
        <f>VLOOKUP($A37,'Data shares'!$C:$FA,154)*100</f>
        <v>41.46</v>
      </c>
      <c r="F37" s="173">
        <f>C37/B37</f>
        <v>0.39851686519169249</v>
      </c>
    </row>
    <row r="38" spans="1:6" x14ac:dyDescent="0.25">
      <c r="A38" s="99" t="s">
        <v>681</v>
      </c>
      <c r="B38" s="49">
        <v>26123462</v>
      </c>
      <c r="C38" s="49">
        <v>1549275</v>
      </c>
      <c r="D38" s="49">
        <v>119554853</v>
      </c>
      <c r="E38" s="50">
        <f>VLOOKUP($A38,'Data shares'!$C:$FA,154)*100</f>
        <v>5.9700000000000006</v>
      </c>
      <c r="F38" s="173">
        <f>C38/B38</f>
        <v>5.9305883730112037E-2</v>
      </c>
    </row>
    <row r="39" spans="1:6" x14ac:dyDescent="0.25">
      <c r="A39" s="99" t="s">
        <v>192</v>
      </c>
      <c r="B39" s="49">
        <v>1737683</v>
      </c>
      <c r="C39" s="49">
        <v>417050</v>
      </c>
      <c r="D39" s="49">
        <v>89501464</v>
      </c>
      <c r="E39" s="50">
        <f>VLOOKUP($A39,'Data shares'!$C:$FA,154)*100</f>
        <v>24.349999999999998</v>
      </c>
      <c r="F39" s="173">
        <f>C39/B39</f>
        <v>0.24000349891205702</v>
      </c>
    </row>
    <row r="40" spans="1:6" x14ac:dyDescent="0.25">
      <c r="A40" s="99" t="s">
        <v>194</v>
      </c>
      <c r="B40" s="49">
        <v>408027660</v>
      </c>
      <c r="C40" s="49">
        <v>50072175</v>
      </c>
      <c r="D40" s="49">
        <v>66878856</v>
      </c>
      <c r="E40" s="50">
        <f>VLOOKUP($A40,'Data shares'!$C:$FA,154)*100</f>
        <v>12.34</v>
      </c>
      <c r="F40" s="173">
        <f>C40/B40</f>
        <v>0.12271759958626334</v>
      </c>
    </row>
    <row r="41" spans="1:6" x14ac:dyDescent="0.25">
      <c r="A41" s="99" t="s">
        <v>195</v>
      </c>
      <c r="B41" s="49">
        <v>23823080</v>
      </c>
      <c r="C41" s="49">
        <v>3338125</v>
      </c>
      <c r="D41" s="49">
        <v>89427016</v>
      </c>
      <c r="E41" s="50">
        <f>VLOOKUP($A41,'Data shares'!$C:$FA,154)*100</f>
        <v>14.16</v>
      </c>
      <c r="F41" s="173">
        <f>C41/B41</f>
        <v>0.14012147043959053</v>
      </c>
    </row>
    <row r="42" spans="1:6" x14ac:dyDescent="0.25">
      <c r="A42" s="99" t="s">
        <v>585</v>
      </c>
      <c r="B42" s="49">
        <v>63536556</v>
      </c>
      <c r="C42" s="49">
        <v>16987125</v>
      </c>
      <c r="D42" s="49">
        <v>41876170</v>
      </c>
      <c r="E42" s="50">
        <f>VLOOKUP($A42,'Data shares'!$C:$FA,154)*100</f>
        <v>27.49</v>
      </c>
      <c r="F42" s="173">
        <f>C42/B42</f>
        <v>0.26735986445346516</v>
      </c>
    </row>
    <row r="43" spans="1:6" x14ac:dyDescent="0.25">
      <c r="A43" s="99" t="s">
        <v>612</v>
      </c>
      <c r="B43" s="49">
        <v>9885969</v>
      </c>
      <c r="C43" s="49">
        <v>3187500</v>
      </c>
      <c r="D43" s="49">
        <v>263606423</v>
      </c>
      <c r="E43" s="50">
        <f>VLOOKUP($A43,'Data shares'!$C:$FA,154)*100</f>
        <v>32.85</v>
      </c>
      <c r="F43" s="173">
        <f>C43/B43</f>
        <v>0.32242666348640181</v>
      </c>
    </row>
    <row r="44" spans="1:6" x14ac:dyDescent="0.25">
      <c r="A44" s="99" t="s">
        <v>196</v>
      </c>
      <c r="B44" s="49">
        <v>672420574</v>
      </c>
      <c r="C44" s="49">
        <v>344958750</v>
      </c>
      <c r="D44" s="49">
        <v>75417775</v>
      </c>
      <c r="E44" s="50">
        <f>VLOOKUP($A44,'Data shares'!$C:$FA,154)*100</f>
        <v>52.31</v>
      </c>
      <c r="F44" s="173">
        <f>C44/B44</f>
        <v>0.51301040351570204</v>
      </c>
    </row>
    <row r="45" spans="1:6" x14ac:dyDescent="0.25">
      <c r="A45" s="99" t="s">
        <v>598</v>
      </c>
      <c r="B45" s="49">
        <v>35530000</v>
      </c>
      <c r="C45" s="49">
        <v>16863925</v>
      </c>
      <c r="D45" s="49">
        <v>18620728</v>
      </c>
      <c r="E45" s="50">
        <f>VLOOKUP($A45,'Data shares'!$C:$FA,154)*100</f>
        <v>48.66</v>
      </c>
      <c r="F45" s="173">
        <f>C45/B45</f>
        <v>0.47463903743315505</v>
      </c>
    </row>
    <row r="46" spans="1:6" x14ac:dyDescent="0.25">
      <c r="A46" s="99" t="s">
        <v>602</v>
      </c>
      <c r="B46" s="49">
        <v>126959974</v>
      </c>
      <c r="C46" s="49">
        <v>21260625</v>
      </c>
      <c r="D46" s="49">
        <v>76642895</v>
      </c>
      <c r="E46" s="50">
        <f>VLOOKUP($A46,'Data shares'!$C:$FA,154)*100</f>
        <v>16.98</v>
      </c>
      <c r="F46" s="173">
        <f>C46/B46</f>
        <v>0.16745927342423683</v>
      </c>
    </row>
    <row r="47" spans="1:6" x14ac:dyDescent="0.25">
      <c r="A47" s="99" t="s">
        <v>613</v>
      </c>
      <c r="B47" s="49">
        <v>128243866</v>
      </c>
      <c r="C47" s="49">
        <v>20563200</v>
      </c>
      <c r="D47" s="49">
        <v>50321935</v>
      </c>
      <c r="E47" s="50">
        <f>VLOOKUP($A47,'Data shares'!$C:$FA,154)*100</f>
        <v>16.09</v>
      </c>
      <c r="F47" s="173">
        <f>C47/B47</f>
        <v>0.16034451113630652</v>
      </c>
    </row>
    <row r="48" spans="1:6" x14ac:dyDescent="0.25">
      <c r="A48" s="99" t="s">
        <v>198</v>
      </c>
      <c r="B48" s="49">
        <v>84229462</v>
      </c>
      <c r="C48" s="49">
        <v>16061250</v>
      </c>
      <c r="D48" s="49">
        <v>632343512</v>
      </c>
      <c r="E48" s="50"/>
      <c r="F48" s="173">
        <f>C48/B48</f>
        <v>0.19068446620257409</v>
      </c>
    </row>
    <row r="49" spans="1:6" x14ac:dyDescent="0.25">
      <c r="A49" s="99" t="s">
        <v>199</v>
      </c>
      <c r="B49" s="49">
        <v>114117893</v>
      </c>
      <c r="C49" s="49">
        <v>14137125</v>
      </c>
      <c r="D49" s="49">
        <v>840388804</v>
      </c>
      <c r="E49" s="50">
        <f>VLOOKUP($A49,'Data shares'!$C:$FA,154)*100</f>
        <v>12.540000000000001</v>
      </c>
      <c r="F49" s="173">
        <f>C49/B49</f>
        <v>0.12388175621153467</v>
      </c>
    </row>
    <row r="50" spans="1:6" x14ac:dyDescent="0.25">
      <c r="A50" s="99" t="s">
        <v>200</v>
      </c>
      <c r="B50" s="49">
        <v>454398477</v>
      </c>
      <c r="C50" s="49">
        <v>112426650</v>
      </c>
      <c r="D50" s="49">
        <v>16128051291</v>
      </c>
      <c r="E50" s="50">
        <f>VLOOKUP($A50,'Data shares'!$C:$FA,154)*100</f>
        <v>24.95</v>
      </c>
      <c r="F50" s="173">
        <f>C50/B50</f>
        <v>0.2474186329634199</v>
      </c>
    </row>
    <row r="51" spans="1:6" x14ac:dyDescent="0.25">
      <c r="A51" s="99" t="s">
        <v>470</v>
      </c>
      <c r="B51" s="49">
        <v>66878856</v>
      </c>
      <c r="C51" s="49">
        <v>18292500</v>
      </c>
      <c r="D51" s="49">
        <v>22754935</v>
      </c>
      <c r="E51" s="50">
        <f>VLOOKUP($A51,'Data shares'!$C:$FA,154)*100</f>
        <v>28.689999999999998</v>
      </c>
      <c r="F51" s="173">
        <f>C51/B51</f>
        <v>0.27351693934477589</v>
      </c>
    </row>
    <row r="52" spans="1:6" x14ac:dyDescent="0.25">
      <c r="A52" s="99" t="s">
        <v>201</v>
      </c>
      <c r="B52" s="49">
        <v>26654592</v>
      </c>
      <c r="C52" s="49">
        <v>7587675</v>
      </c>
      <c r="D52" s="49">
        <v>4762380</v>
      </c>
      <c r="E52" s="50">
        <f>VLOOKUP($A52,'Data shares'!$C:$FA,154)*100</f>
        <v>28.810000000000002</v>
      </c>
      <c r="F52" s="173">
        <f>C52/B52</f>
        <v>0.28466670958610057</v>
      </c>
    </row>
    <row r="53" spans="1:6" x14ac:dyDescent="0.25">
      <c r="A53" s="99" t="s">
        <v>202</v>
      </c>
      <c r="B53" s="49">
        <v>68852343</v>
      </c>
      <c r="C53" s="49">
        <v>25311250</v>
      </c>
      <c r="D53" s="49">
        <v>883911758</v>
      </c>
      <c r="E53" s="50">
        <f>VLOOKUP($A53,'Data shares'!$C:$FA,154)*100</f>
        <v>37.39</v>
      </c>
      <c r="F53" s="173">
        <f>C53/B53</f>
        <v>0.36761639324314643</v>
      </c>
    </row>
    <row r="54" spans="1:6" x14ac:dyDescent="0.25">
      <c r="A54" s="99" t="s">
        <v>523</v>
      </c>
      <c r="B54" s="49">
        <v>128761832</v>
      </c>
      <c r="C54" s="49">
        <v>43493400</v>
      </c>
      <c r="D54" s="49">
        <v>63768380</v>
      </c>
      <c r="E54" s="50">
        <f>VLOOKUP($A54,'Data shares'!$C:$FA,154)*100</f>
        <v>34.46</v>
      </c>
      <c r="F54" s="173">
        <f>C54/B54</f>
        <v>0.33778177371691948</v>
      </c>
    </row>
    <row r="55" spans="1:6" x14ac:dyDescent="0.25">
      <c r="A55" s="99" t="s">
        <v>203</v>
      </c>
      <c r="B55" s="49">
        <v>27165600</v>
      </c>
      <c r="C55" s="49">
        <v>3679200</v>
      </c>
      <c r="D55" s="49">
        <v>32126257</v>
      </c>
      <c r="E55" s="50">
        <f>VLOOKUP($A55,'Data shares'!$C:$FA,154)*100</f>
        <v>13.66</v>
      </c>
      <c r="F55" s="173">
        <f>C55/B55</f>
        <v>0.13543599257884972</v>
      </c>
    </row>
    <row r="56" spans="1:6" x14ac:dyDescent="0.25">
      <c r="A56" s="99" t="s">
        <v>573</v>
      </c>
      <c r="B56" s="49">
        <v>16859165</v>
      </c>
      <c r="C56" s="49">
        <v>3578500</v>
      </c>
      <c r="D56" s="49">
        <v>84229462</v>
      </c>
      <c r="E56" s="50">
        <f>VLOOKUP($A56,'Data shares'!$C:$FA,154)*100</f>
        <v>21.42</v>
      </c>
      <c r="F56" s="173">
        <f>C56/B56</f>
        <v>0.21225843628673188</v>
      </c>
    </row>
    <row r="57" spans="1:6" x14ac:dyDescent="0.25">
      <c r="A57" s="99" t="s">
        <v>204</v>
      </c>
      <c r="B57" s="49">
        <v>119554853</v>
      </c>
      <c r="C57" s="49">
        <v>24393750</v>
      </c>
      <c r="D57" s="49">
        <v>35881800</v>
      </c>
      <c r="E57" s="50">
        <f>VLOOKUP($A57,'Data shares'!$C:$FA,154)*100</f>
        <v>21</v>
      </c>
      <c r="F57" s="173">
        <f>C57/B57</f>
        <v>0.2040381413877026</v>
      </c>
    </row>
    <row r="58" spans="1:6" x14ac:dyDescent="0.25">
      <c r="A58" s="99" t="s">
        <v>524</v>
      </c>
      <c r="B58" s="49">
        <v>16566722</v>
      </c>
      <c r="C58" s="49">
        <v>2903875</v>
      </c>
      <c r="D58" s="49">
        <v>1159424540</v>
      </c>
      <c r="E58" s="50"/>
      <c r="F58" s="173">
        <f>C58/B58</f>
        <v>0.1752836197770446</v>
      </c>
    </row>
    <row r="59" spans="1:6" x14ac:dyDescent="0.25">
      <c r="A59" s="99" t="s">
        <v>601</v>
      </c>
      <c r="B59" s="49">
        <v>149116295</v>
      </c>
      <c r="C59" s="49">
        <v>17973650</v>
      </c>
      <c r="D59" s="49">
        <v>905143907</v>
      </c>
      <c r="E59" s="50">
        <f>VLOOKUP($A59,'Data shares'!$C:$FA,154)*100</f>
        <v>12.7</v>
      </c>
      <c r="F59" s="173">
        <f>C59/B59</f>
        <v>0.1205344459503906</v>
      </c>
    </row>
    <row r="60" spans="1:6" x14ac:dyDescent="0.25">
      <c r="A60" s="99" t="s">
        <v>205</v>
      </c>
      <c r="B60" s="49">
        <v>25542698</v>
      </c>
      <c r="C60" s="49">
        <v>3508600</v>
      </c>
      <c r="D60" s="49">
        <v>67819703</v>
      </c>
      <c r="E60" s="50">
        <f>VLOOKUP($A60,'Data shares'!$C:$FA,154)*100</f>
        <v>13.83</v>
      </c>
      <c r="F60" s="173">
        <f>C60/B60</f>
        <v>0.13736215336375193</v>
      </c>
    </row>
    <row r="61" spans="1:6" x14ac:dyDescent="0.25">
      <c r="A61" s="99" t="s">
        <v>512</v>
      </c>
      <c r="B61" s="49">
        <v>8159946</v>
      </c>
      <c r="C61" s="49">
        <v>2099100</v>
      </c>
      <c r="D61" s="49">
        <v>130936945</v>
      </c>
      <c r="E61" s="50">
        <f>VLOOKUP($A61,'Data shares'!$C:$FA,154)*100</f>
        <v>26.340000000000003</v>
      </c>
      <c r="F61" s="173">
        <f>C61/B61</f>
        <v>0.25724434941113583</v>
      </c>
    </row>
    <row r="62" spans="1:6" x14ac:dyDescent="0.25">
      <c r="A62" s="99" t="s">
        <v>207</v>
      </c>
      <c r="B62" s="49">
        <v>128335464</v>
      </c>
      <c r="C62" s="49">
        <v>48170100</v>
      </c>
      <c r="D62" s="49">
        <v>191910891</v>
      </c>
      <c r="E62" s="50">
        <f>VLOOKUP($A62,'Data shares'!$C:$FA,154)*100</f>
        <v>38.369999999999997</v>
      </c>
      <c r="F62" s="173">
        <f>C62/B62</f>
        <v>0.37534519686623802</v>
      </c>
    </row>
    <row r="63" spans="1:6" x14ac:dyDescent="0.25">
      <c r="A63" s="99" t="s">
        <v>584</v>
      </c>
      <c r="B63" s="49">
        <v>32997182</v>
      </c>
      <c r="C63" s="49">
        <v>6815850</v>
      </c>
      <c r="D63" s="49">
        <v>114117893</v>
      </c>
      <c r="E63" s="50">
        <f>VLOOKUP($A63,'Data shares'!$C:$FA,154)*100</f>
        <v>21.07</v>
      </c>
      <c r="F63" s="173">
        <f>C63/B63</f>
        <v>0.20655854793903311</v>
      </c>
    </row>
    <row r="64" spans="1:6" x14ac:dyDescent="0.25">
      <c r="A64" s="99" t="s">
        <v>208</v>
      </c>
      <c r="B64" s="49">
        <v>121939493</v>
      </c>
      <c r="C64" s="49">
        <v>14836250</v>
      </c>
      <c r="D64" s="49">
        <v>309154116</v>
      </c>
      <c r="E64" s="50">
        <f>VLOOKUP($A64,'Data shares'!$C:$FA,154)*100</f>
        <v>12.49</v>
      </c>
      <c r="F64" s="173">
        <f>C64/B64</f>
        <v>0.12166894936983214</v>
      </c>
    </row>
    <row r="65" spans="1:6" x14ac:dyDescent="0.25">
      <c r="A65" s="99" t="s">
        <v>209</v>
      </c>
      <c r="B65" s="49">
        <v>27919827</v>
      </c>
      <c r="C65" s="49">
        <v>4216625</v>
      </c>
      <c r="D65" s="49">
        <v>121580965</v>
      </c>
      <c r="E65" s="50">
        <f>VLOOKUP($A65,'Data shares'!$C:$FA,154)*100</f>
        <v>15.22</v>
      </c>
      <c r="F65" s="173">
        <f>C65/B65</f>
        <v>0.15102618651612706</v>
      </c>
    </row>
    <row r="66" spans="1:6" x14ac:dyDescent="0.25">
      <c r="A66" s="99" t="s">
        <v>669</v>
      </c>
      <c r="B66" s="49">
        <v>1814577127</v>
      </c>
      <c r="C66" s="49">
        <v>225217025</v>
      </c>
      <c r="D66" s="49">
        <v>149116295</v>
      </c>
      <c r="E66" s="50">
        <f>VLOOKUP($A66,'Data shares'!$C:$FA,154)*100</f>
        <v>12.61</v>
      </c>
      <c r="F66" s="173">
        <f>C66/B66</f>
        <v>0.12411543254286815</v>
      </c>
    </row>
    <row r="67" spans="1:6" x14ac:dyDescent="0.25">
      <c r="A67" s="99" t="s">
        <v>211</v>
      </c>
      <c r="B67" s="49">
        <v>91809066</v>
      </c>
      <c r="C67" s="49">
        <v>30877200</v>
      </c>
      <c r="D67" s="49">
        <v>12418320</v>
      </c>
      <c r="E67" s="50">
        <f>VLOOKUP($A67,'Data shares'!$C:$FA,154)*100</f>
        <v>34.22</v>
      </c>
      <c r="F67" s="173">
        <f>C67/B67</f>
        <v>0.33631972685573341</v>
      </c>
    </row>
    <row r="68" spans="1:6" x14ac:dyDescent="0.25">
      <c r="A68" s="99" t="s">
        <v>212</v>
      </c>
      <c r="B68" s="49">
        <v>486316409</v>
      </c>
      <c r="C68" s="49">
        <v>109610000</v>
      </c>
      <c r="D68" s="49">
        <v>579085354</v>
      </c>
      <c r="E68" s="50">
        <f>VLOOKUP($A68,'Data shares'!$C:$FA,154)*100</f>
        <v>23.22</v>
      </c>
      <c r="F68" s="173">
        <f>C68/B68</f>
        <v>0.2253882410124475</v>
      </c>
    </row>
    <row r="69" spans="1:6" x14ac:dyDescent="0.25">
      <c r="A69" s="99" t="s">
        <v>679</v>
      </c>
      <c r="B69" s="49">
        <v>103932806</v>
      </c>
      <c r="C69" s="49">
        <v>10533800</v>
      </c>
      <c r="D69" s="49">
        <v>171573821</v>
      </c>
      <c r="E69" s="50">
        <f>VLOOKUP($A69,'Data shares'!$C:$FA,154)*100</f>
        <v>10.199999999999999</v>
      </c>
      <c r="F69" s="173">
        <f>C69/B69</f>
        <v>0.10135202161288707</v>
      </c>
    </row>
    <row r="70" spans="1:6" x14ac:dyDescent="0.25">
      <c r="A70" s="99" t="s">
        <v>213</v>
      </c>
      <c r="B70" s="49">
        <v>628365076</v>
      </c>
      <c r="C70" s="49">
        <v>141290100</v>
      </c>
      <c r="D70" s="49">
        <v>422796029</v>
      </c>
      <c r="E70" s="50">
        <f>VLOOKUP($A70,'Data shares'!$C:$FA,154)*100</f>
        <v>22.73</v>
      </c>
      <c r="F70" s="173">
        <f>C70/B70</f>
        <v>0.22485352129913724</v>
      </c>
    </row>
    <row r="71" spans="1:6" x14ac:dyDescent="0.25">
      <c r="A71" s="99" t="s">
        <v>214</v>
      </c>
      <c r="B71" s="49">
        <v>30111043</v>
      </c>
      <c r="C71" s="49">
        <v>8458875</v>
      </c>
      <c r="D71" s="49">
        <v>39789217</v>
      </c>
      <c r="E71" s="50">
        <f>VLOOKUP($A71,'Data shares'!$C:$FA,154)*100</f>
        <v>28.499999999999996</v>
      </c>
      <c r="F71" s="173">
        <f>C71/B71</f>
        <v>0.28092268341551635</v>
      </c>
    </row>
    <row r="72" spans="1:6" x14ac:dyDescent="0.25">
      <c r="A72" s="99" t="s">
        <v>632</v>
      </c>
      <c r="B72" s="49">
        <v>712939229</v>
      </c>
      <c r="C72" s="49">
        <v>255724425</v>
      </c>
      <c r="D72" s="49">
        <v>5409447</v>
      </c>
      <c r="E72" s="50">
        <f>VLOOKUP($A72,'Data shares'!$C:$FA,154)*100</f>
        <v>36.159999999999997</v>
      </c>
      <c r="F72" s="173">
        <f>C72/B72</f>
        <v>0.35869035479880995</v>
      </c>
    </row>
    <row r="73" spans="1:6" x14ac:dyDescent="0.25">
      <c r="A73" s="99" t="s">
        <v>217</v>
      </c>
      <c r="B73" s="49">
        <v>96028079</v>
      </c>
      <c r="C73" s="49">
        <v>10226500</v>
      </c>
      <c r="D73" s="49">
        <v>65482129</v>
      </c>
      <c r="E73" s="50">
        <f>VLOOKUP($A73,'Data shares'!$C:$FA,154)*100</f>
        <v>10.7</v>
      </c>
      <c r="F73" s="173">
        <f>C73/B73</f>
        <v>0.10649489301978018</v>
      </c>
    </row>
    <row r="74" spans="1:6" x14ac:dyDescent="0.25">
      <c r="A74" s="99" t="s">
        <v>218</v>
      </c>
      <c r="B74" s="49">
        <v>32126257</v>
      </c>
      <c r="C74" s="49">
        <v>8711725</v>
      </c>
      <c r="D74" s="49">
        <v>21354101</v>
      </c>
      <c r="E74" s="50">
        <f>VLOOKUP($A74,'Data shares'!$C:$FA,154)*100</f>
        <v>27.689999999999998</v>
      </c>
      <c r="F74" s="173">
        <f>C74/B74</f>
        <v>0.27117149065949386</v>
      </c>
    </row>
    <row r="75" spans="1:6" x14ac:dyDescent="0.25">
      <c r="A75" s="99" t="s">
        <v>492</v>
      </c>
      <c r="B75" s="49">
        <v>29668038</v>
      </c>
      <c r="C75" s="49">
        <v>14786625</v>
      </c>
      <c r="D75" s="49">
        <v>27165600</v>
      </c>
      <c r="E75" s="50">
        <f>VLOOKUP($A75,'Data shares'!$C:$FA,154)*100</f>
        <v>50.23</v>
      </c>
      <c r="F75" s="173">
        <f>C75/B75</f>
        <v>0.49840252328111484</v>
      </c>
    </row>
    <row r="76" spans="1:6" x14ac:dyDescent="0.25">
      <c r="A76" s="99" t="s">
        <v>219</v>
      </c>
      <c r="B76" s="49">
        <v>77020742</v>
      </c>
      <c r="C76" s="49">
        <v>13810000</v>
      </c>
      <c r="D76" s="49">
        <v>9885969</v>
      </c>
      <c r="E76" s="50">
        <f>VLOOKUP($A76,'Data shares'!$C:$FA,154)*100</f>
        <v>17.97</v>
      </c>
      <c r="F76" s="173">
        <f>C76/B76</f>
        <v>0.17930234948918047</v>
      </c>
    </row>
    <row r="77" spans="1:6" x14ac:dyDescent="0.25">
      <c r="A77" s="99" t="s">
        <v>513</v>
      </c>
      <c r="B77" s="49">
        <v>37934515</v>
      </c>
      <c r="C77" s="49">
        <v>13320450</v>
      </c>
      <c r="D77" s="49">
        <v>242361229</v>
      </c>
      <c r="E77" s="50">
        <f>VLOOKUP($A77,'Data shares'!$C:$FA,154)*100</f>
        <v>35.61</v>
      </c>
      <c r="F77" s="173">
        <f>C77/B77</f>
        <v>0.35114327941190232</v>
      </c>
    </row>
    <row r="78" spans="1:6" x14ac:dyDescent="0.25">
      <c r="A78" s="99" t="s">
        <v>220</v>
      </c>
      <c r="B78" s="49">
        <v>50833981</v>
      </c>
      <c r="C78" s="49">
        <v>10200000</v>
      </c>
      <c r="D78" s="49">
        <v>204305778</v>
      </c>
      <c r="E78" s="50">
        <f>VLOOKUP($A78,'Data shares'!$C:$FA,154)*100</f>
        <v>20.47</v>
      </c>
      <c r="F78" s="173">
        <f>C78/B78</f>
        <v>0.20065318118602593</v>
      </c>
    </row>
    <row r="79" spans="1:6" x14ac:dyDescent="0.25">
      <c r="A79" s="99" t="s">
        <v>222</v>
      </c>
      <c r="B79" s="49">
        <v>211721976</v>
      </c>
      <c r="C79" s="49">
        <v>26039300</v>
      </c>
      <c r="D79" s="49">
        <v>148272870</v>
      </c>
      <c r="E79" s="50">
        <f>VLOOKUP($A79,'Data shares'!$C:$FA,154)*100</f>
        <v>12.41</v>
      </c>
      <c r="F79" s="173">
        <f>C79/B79</f>
        <v>0.12298817766560048</v>
      </c>
    </row>
    <row r="80" spans="1:6" x14ac:dyDescent="0.25">
      <c r="A80" s="99" t="s">
        <v>475</v>
      </c>
      <c r="B80" s="49">
        <v>20322651</v>
      </c>
      <c r="C80" s="49">
        <v>3543900</v>
      </c>
      <c r="D80" s="49">
        <v>564878806</v>
      </c>
      <c r="E80" s="50">
        <f>VLOOKUP($A80,'Data shares'!$C:$FA,154)*100</f>
        <v>17.86</v>
      </c>
      <c r="F80" s="173">
        <f>C80/B80</f>
        <v>0.17438177725927587</v>
      </c>
    </row>
    <row r="81" spans="1:6" x14ac:dyDescent="0.25">
      <c r="A81" s="99" t="s">
        <v>224</v>
      </c>
      <c r="B81" s="49">
        <v>1324758679</v>
      </c>
      <c r="C81" s="49">
        <v>121963600</v>
      </c>
      <c r="D81" s="49">
        <v>72384900</v>
      </c>
      <c r="E81" s="50"/>
      <c r="F81" s="173">
        <f>C81/B81</f>
        <v>9.2064767669282052E-2</v>
      </c>
    </row>
    <row r="82" spans="1:6" x14ac:dyDescent="0.25">
      <c r="A82" s="99" t="s">
        <v>225</v>
      </c>
      <c r="B82" s="49">
        <v>213821216</v>
      </c>
      <c r="C82" s="49">
        <v>33799700</v>
      </c>
      <c r="D82" s="49">
        <v>356413800</v>
      </c>
      <c r="E82" s="50">
        <f>VLOOKUP($A82,'Data shares'!$C:$FA,154)*100</f>
        <v>16.150000000000002</v>
      </c>
      <c r="F82" s="173">
        <f>C82/B82</f>
        <v>0.15807458507765665</v>
      </c>
    </row>
    <row r="83" spans="1:6" x14ac:dyDescent="0.25">
      <c r="A83" s="99" t="s">
        <v>226</v>
      </c>
      <c r="B83" s="49">
        <v>26104531</v>
      </c>
      <c r="C83" s="49">
        <v>8314350</v>
      </c>
      <c r="D83" s="49">
        <v>189248684</v>
      </c>
      <c r="E83" s="50">
        <f>VLOOKUP($A83,'Data shares'!$C:$FA,154)*100</f>
        <v>32.409999999999997</v>
      </c>
      <c r="F83" s="173">
        <f>C83/B83</f>
        <v>0.31850217879800252</v>
      </c>
    </row>
    <row r="84" spans="1:6" x14ac:dyDescent="0.25">
      <c r="A84" s="99" t="s">
        <v>577</v>
      </c>
      <c r="B84" s="49">
        <v>189248684</v>
      </c>
      <c r="C84" s="49">
        <v>116867550</v>
      </c>
      <c r="D84" s="49">
        <v>273572068</v>
      </c>
      <c r="E84" s="50">
        <f>VLOOKUP($A84,'Data shares'!$C:$FA,154)*100</f>
        <v>62.55</v>
      </c>
      <c r="F84" s="173">
        <f>C84/B84</f>
        <v>0.61753428097814411</v>
      </c>
    </row>
    <row r="85" spans="1:6" x14ac:dyDescent="0.25">
      <c r="A85" s="99" t="s">
        <v>228</v>
      </c>
      <c r="B85" s="49">
        <v>291659008</v>
      </c>
      <c r="C85" s="49">
        <v>52904600</v>
      </c>
      <c r="D85" s="49">
        <v>78039794</v>
      </c>
      <c r="E85" s="50">
        <f>VLOOKUP($A85,'Data shares'!$C:$FA,154)*100</f>
        <v>18.55</v>
      </c>
      <c r="F85" s="173">
        <f>C85/B85</f>
        <v>0.18139196304199184</v>
      </c>
    </row>
    <row r="86" spans="1:6" x14ac:dyDescent="0.25">
      <c r="A86" s="99" t="s">
        <v>229</v>
      </c>
      <c r="B86" s="49">
        <v>191910891</v>
      </c>
      <c r="C86" s="49">
        <v>63526275</v>
      </c>
      <c r="D86" s="49">
        <v>121575211</v>
      </c>
      <c r="E86" s="50">
        <f>VLOOKUP($A86,'Data shares'!$C:$FA,154)*100</f>
        <v>33.26</v>
      </c>
      <c r="F86" s="173">
        <f>C86/B86</f>
        <v>0.33101964494552838</v>
      </c>
    </row>
    <row r="87" spans="1:6" x14ac:dyDescent="0.25">
      <c r="A87" s="99" t="s">
        <v>230</v>
      </c>
      <c r="B87" s="49">
        <v>179035680</v>
      </c>
      <c r="C87" s="49">
        <v>21751500</v>
      </c>
      <c r="D87" s="49">
        <v>55985194</v>
      </c>
      <c r="E87" s="50">
        <f>VLOOKUP($A87,'Data shares'!$C:$FA,154)*100</f>
        <v>12.29</v>
      </c>
      <c r="F87" s="173">
        <f>C87/B87</f>
        <v>0.12149254271550788</v>
      </c>
    </row>
    <row r="88" spans="1:6" x14ac:dyDescent="0.25">
      <c r="A88" s="99" t="s">
        <v>670</v>
      </c>
      <c r="B88" s="49">
        <v>309154116</v>
      </c>
      <c r="C88" s="49">
        <v>41092625</v>
      </c>
      <c r="D88" s="49">
        <v>68852343</v>
      </c>
      <c r="E88" s="50">
        <f>VLOOKUP($A88,'Data shares'!$C:$FA,154)*100</f>
        <v>13.52</v>
      </c>
      <c r="F88" s="173">
        <f>C88/B88</f>
        <v>0.13291954683210494</v>
      </c>
    </row>
    <row r="89" spans="1:6" x14ac:dyDescent="0.25">
      <c r="A89" s="99" t="s">
        <v>609</v>
      </c>
      <c r="B89" s="49">
        <v>100095000</v>
      </c>
      <c r="C89" s="49">
        <v>40848000</v>
      </c>
      <c r="D89" s="49">
        <v>46126252</v>
      </c>
      <c r="E89" s="50">
        <f>VLOOKUP($A89,'Data shares'!$C:$FA,154)*100</f>
        <v>42.059999999999995</v>
      </c>
      <c r="F89" s="173">
        <f>C89/B89</f>
        <v>0.40809231230331183</v>
      </c>
    </row>
    <row r="90" spans="1:6" x14ac:dyDescent="0.25">
      <c r="A90" s="99" t="s">
        <v>232</v>
      </c>
      <c r="B90" s="49">
        <v>1159424540</v>
      </c>
      <c r="C90" s="49">
        <v>106267700</v>
      </c>
      <c r="D90" s="49">
        <v>654977669</v>
      </c>
      <c r="E90" s="50">
        <f>VLOOKUP($A90,'Data shares'!$C:$FA,154)*100</f>
        <v>9.33</v>
      </c>
      <c r="F90" s="173">
        <f>C90/B90</f>
        <v>9.1655555263648297E-2</v>
      </c>
    </row>
    <row r="91" spans="1:6" x14ac:dyDescent="0.25">
      <c r="A91" s="99" t="s">
        <v>472</v>
      </c>
      <c r="B91" s="49">
        <v>48034132</v>
      </c>
      <c r="C91" s="49">
        <v>5482425</v>
      </c>
      <c r="D91" s="49">
        <v>21400003</v>
      </c>
      <c r="E91" s="50">
        <f>VLOOKUP($A91,'Data shares'!$C:$FA,154)*100</f>
        <v>11.450000000000001</v>
      </c>
      <c r="F91" s="173">
        <f>C91/B91</f>
        <v>0.1141360272732731</v>
      </c>
    </row>
    <row r="92" spans="1:6" x14ac:dyDescent="0.25">
      <c r="A92" s="99" t="s">
        <v>233</v>
      </c>
      <c r="B92" s="49">
        <v>78039794</v>
      </c>
      <c r="C92" s="49">
        <v>15732400</v>
      </c>
      <c r="D92" s="49">
        <v>123755903</v>
      </c>
      <c r="E92" s="50">
        <f>VLOOKUP($A92,'Data shares'!$C:$FA,154)*100</f>
        <v>20.23</v>
      </c>
      <c r="F92" s="173">
        <f>C92/B92</f>
        <v>0.20159458647469009</v>
      </c>
    </row>
    <row r="93" spans="1:6" x14ac:dyDescent="0.25">
      <c r="A93" s="99" t="s">
        <v>234</v>
      </c>
      <c r="B93" s="49">
        <v>16128051291</v>
      </c>
      <c r="C93" s="49">
        <v>6345407550</v>
      </c>
      <c r="D93" s="49">
        <v>114846423</v>
      </c>
      <c r="E93" s="50">
        <f>VLOOKUP($A93,'Data shares'!$C:$FA,154)*100</f>
        <v>39.57</v>
      </c>
      <c r="F93" s="173">
        <f>C93/B93</f>
        <v>0.39343919705544045</v>
      </c>
    </row>
    <row r="94" spans="1:6" x14ac:dyDescent="0.25">
      <c r="A94" s="99" t="s">
        <v>235</v>
      </c>
      <c r="B94" s="49">
        <v>1464421396</v>
      </c>
      <c r="C94" s="49">
        <v>480713975</v>
      </c>
      <c r="D94" s="49">
        <v>4078053</v>
      </c>
      <c r="E94" s="50">
        <f>VLOOKUP($A94,'Data shares'!$C:$FA,154)*100</f>
        <v>33.050000000000004</v>
      </c>
      <c r="F94" s="173">
        <f>C94/B94</f>
        <v>0.32826205374562828</v>
      </c>
    </row>
    <row r="95" spans="1:6" x14ac:dyDescent="0.25">
      <c r="A95" s="99" t="s">
        <v>514</v>
      </c>
      <c r="B95" s="49">
        <v>177849950</v>
      </c>
      <c r="C95" s="49">
        <v>77568750</v>
      </c>
      <c r="D95" s="49">
        <v>23485458</v>
      </c>
      <c r="E95" s="50">
        <f>VLOOKUP($A95,'Data shares'!$C:$FA,154)*100</f>
        <v>44.54</v>
      </c>
      <c r="F95" s="173">
        <f>C95/B95</f>
        <v>0.43614715663400522</v>
      </c>
    </row>
    <row r="96" spans="1:6" x14ac:dyDescent="0.25">
      <c r="A96" s="99" t="s">
        <v>236</v>
      </c>
      <c r="B96" s="49">
        <v>154000160</v>
      </c>
      <c r="C96" s="49">
        <v>25228500</v>
      </c>
      <c r="D96" s="49">
        <v>31601465</v>
      </c>
      <c r="E96" s="50">
        <f>VLOOKUP($A96,'Data shares'!$C:$FA,154)*100</f>
        <v>17.03</v>
      </c>
      <c r="F96" s="173">
        <f>C96/B96</f>
        <v>0.16382125836752379</v>
      </c>
    </row>
    <row r="97" spans="1:6" x14ac:dyDescent="0.25">
      <c r="A97" s="99" t="s">
        <v>668</v>
      </c>
      <c r="B97" s="49">
        <v>63768380</v>
      </c>
      <c r="C97" s="49">
        <v>16503300</v>
      </c>
      <c r="D97" s="49">
        <v>25542698</v>
      </c>
      <c r="E97" s="50">
        <f>VLOOKUP($A97,'Data shares'!$C:$FA,154)*100</f>
        <v>26.3</v>
      </c>
      <c r="F97" s="173">
        <f>C97/B97</f>
        <v>0.25880067832991838</v>
      </c>
    </row>
    <row r="98" spans="1:6" x14ac:dyDescent="0.25">
      <c r="A98" s="99" t="s">
        <v>501</v>
      </c>
      <c r="B98" s="49">
        <v>176174897</v>
      </c>
      <c r="C98" s="49">
        <v>34013000</v>
      </c>
      <c r="D98" s="49">
        <v>31728204</v>
      </c>
      <c r="E98" s="50">
        <f>VLOOKUP($A98,'Data shares'!$C:$FA,154)*100</f>
        <v>19.439999999999998</v>
      </c>
      <c r="F98" s="173">
        <f>C98/B98</f>
        <v>0.19306382793003704</v>
      </c>
    </row>
    <row r="99" spans="1:6" x14ac:dyDescent="0.25">
      <c r="A99" s="99" t="s">
        <v>579</v>
      </c>
      <c r="B99" s="49">
        <v>70482876</v>
      </c>
      <c r="C99" s="49">
        <v>8903000</v>
      </c>
      <c r="D99" s="49">
        <v>158681547</v>
      </c>
      <c r="E99" s="50">
        <f>VLOOKUP($A99,'Data shares'!$C:$FA,154)*100</f>
        <v>12.7</v>
      </c>
      <c r="F99" s="173">
        <f>C99/B99</f>
        <v>0.12631436889720563</v>
      </c>
    </row>
    <row r="100" spans="1:6" x14ac:dyDescent="0.25">
      <c r="A100" s="99" t="s">
        <v>238</v>
      </c>
      <c r="B100" s="49">
        <v>39206614</v>
      </c>
      <c r="C100" s="49">
        <v>8942550</v>
      </c>
      <c r="D100" s="49">
        <v>672420574</v>
      </c>
      <c r="E100" s="50">
        <f>VLOOKUP($A100,'Data shares'!$C:$FA,154)*100</f>
        <v>23.119999999999997</v>
      </c>
      <c r="F100" s="173">
        <f>C100/B100</f>
        <v>0.22808779151395223</v>
      </c>
    </row>
    <row r="101" spans="1:6" x14ac:dyDescent="0.25">
      <c r="A101" s="99" t="s">
        <v>239</v>
      </c>
      <c r="B101" s="49">
        <v>125014099</v>
      </c>
      <c r="C101" s="49">
        <v>62006700</v>
      </c>
      <c r="D101" s="49">
        <v>17806118</v>
      </c>
      <c r="E101" s="50">
        <f>VLOOKUP($A101,'Data shares'!$C:$FA,154)*100</f>
        <v>50.27</v>
      </c>
      <c r="F101" s="173">
        <f>C101/B101</f>
        <v>0.49599765543244845</v>
      </c>
    </row>
    <row r="102" spans="1:6" x14ac:dyDescent="0.25">
      <c r="A102" s="99" t="s">
        <v>473</v>
      </c>
      <c r="B102" s="49">
        <v>263606423</v>
      </c>
      <c r="C102" s="49">
        <v>80792500</v>
      </c>
      <c r="D102" s="49">
        <v>23447901</v>
      </c>
      <c r="E102" s="50">
        <f>VLOOKUP($A102,'Data shares'!$C:$FA,154)*100</f>
        <v>30.9</v>
      </c>
      <c r="F102" s="173">
        <f>C102/B102</f>
        <v>0.30648911767980708</v>
      </c>
    </row>
    <row r="103" spans="1:6" x14ac:dyDescent="0.25">
      <c r="A103" s="99" t="s">
        <v>240</v>
      </c>
      <c r="B103" s="49">
        <v>632343512</v>
      </c>
      <c r="C103" s="49">
        <v>84694800</v>
      </c>
      <c r="D103" s="49">
        <v>37934515</v>
      </c>
      <c r="E103" s="50">
        <f>VLOOKUP($A103,'Data shares'!$C:$FA,154)*100</f>
        <v>13.569999999999999</v>
      </c>
      <c r="F103" s="173">
        <f>C103/B103</f>
        <v>0.13393795997388205</v>
      </c>
    </row>
    <row r="104" spans="1:6" x14ac:dyDescent="0.25">
      <c r="A104" s="99" t="s">
        <v>671</v>
      </c>
      <c r="B104" s="49">
        <v>136849838</v>
      </c>
      <c r="C104" s="49">
        <v>32399344</v>
      </c>
      <c r="D104" s="49">
        <v>96028079</v>
      </c>
      <c r="E104" s="50">
        <f>VLOOKUP($A104,'Data shares'!$C:$FA,154)*100</f>
        <v>25.47</v>
      </c>
      <c r="F104" s="173">
        <f>C104/B104</f>
        <v>0.23675105848499434</v>
      </c>
    </row>
    <row r="105" spans="1:6" x14ac:dyDescent="0.25">
      <c r="A105" s="99" t="s">
        <v>241</v>
      </c>
      <c r="B105" s="49">
        <v>1369807723</v>
      </c>
      <c r="C105" s="49">
        <v>126091875</v>
      </c>
      <c r="D105" s="49">
        <v>340087358</v>
      </c>
      <c r="E105" s="50">
        <f>VLOOKUP($A105,'Data shares'!$C:$FA,154)*100</f>
        <v>9.33</v>
      </c>
      <c r="F105" s="173">
        <f>C105/B105</f>
        <v>9.2050784123079446E-2</v>
      </c>
    </row>
    <row r="106" spans="1:6" x14ac:dyDescent="0.25">
      <c r="A106" s="99" t="s">
        <v>595</v>
      </c>
      <c r="B106" s="49">
        <v>840388804</v>
      </c>
      <c r="C106" s="49">
        <v>99762875</v>
      </c>
      <c r="D106" s="49">
        <v>280560500</v>
      </c>
      <c r="E106" s="50">
        <f>VLOOKUP($A106,'Data shares'!$C:$FA,154)*100</f>
        <v>11.91</v>
      </c>
      <c r="F106" s="173">
        <f>C106/B106</f>
        <v>0.11871038086794883</v>
      </c>
    </row>
    <row r="107" spans="1:6" x14ac:dyDescent="0.25">
      <c r="A107" s="99" t="s">
        <v>490</v>
      </c>
      <c r="B107" s="49">
        <v>60165566</v>
      </c>
      <c r="C107" s="49">
        <v>21355250</v>
      </c>
      <c r="D107" s="49">
        <v>64423956</v>
      </c>
      <c r="E107" s="50">
        <f>VLOOKUP($A107,'Data shares'!$C:$FA,154)*100</f>
        <v>35.85</v>
      </c>
      <c r="F107" s="173">
        <f>C107/B107</f>
        <v>0.35494139621324261</v>
      </c>
    </row>
    <row r="108" spans="1:6" x14ac:dyDescent="0.25">
      <c r="A108" s="99" t="s">
        <v>666</v>
      </c>
      <c r="B108" s="49">
        <v>158681547</v>
      </c>
      <c r="C108" s="49">
        <v>58039350</v>
      </c>
      <c r="D108" s="49">
        <v>63025888</v>
      </c>
      <c r="E108" s="50">
        <f>VLOOKUP($A108,'Data shares'!$C:$FA,154)*100</f>
        <v>37.79</v>
      </c>
      <c r="F108" s="173">
        <f>C108/B108</f>
        <v>0.36575992040208682</v>
      </c>
    </row>
    <row r="109" spans="1:6" x14ac:dyDescent="0.25">
      <c r="A109" s="99" t="s">
        <v>593</v>
      </c>
      <c r="B109" s="49">
        <v>356413800</v>
      </c>
      <c r="C109" s="49">
        <v>71179000</v>
      </c>
      <c r="D109" s="49">
        <v>72215231</v>
      </c>
      <c r="E109" s="50"/>
      <c r="F109" s="173">
        <f>C109/B109</f>
        <v>0.19970887771461149</v>
      </c>
    </row>
    <row r="110" spans="1:6" x14ac:dyDescent="0.25">
      <c r="A110" s="99" t="s">
        <v>242</v>
      </c>
      <c r="B110" s="49">
        <v>2502122210</v>
      </c>
      <c r="C110" s="49">
        <v>148275200</v>
      </c>
      <c r="D110" s="49">
        <v>168467595</v>
      </c>
      <c r="E110" s="50">
        <f>VLOOKUP($A110,'Data shares'!$C:$FA,154)*100</f>
        <v>6</v>
      </c>
      <c r="F110" s="173">
        <f>C110/B110</f>
        <v>5.9259775324883114E-2</v>
      </c>
    </row>
    <row r="111" spans="1:6" x14ac:dyDescent="0.25">
      <c r="A111" s="99" t="s">
        <v>243</v>
      </c>
      <c r="B111" s="49">
        <v>75417775</v>
      </c>
      <c r="C111" s="49">
        <v>14894375</v>
      </c>
      <c r="D111" s="49">
        <v>218440087</v>
      </c>
      <c r="E111" s="50">
        <f>VLOOKUP($A111,'Data shares'!$C:$FA,154)*100</f>
        <v>19.86</v>
      </c>
      <c r="F111" s="173">
        <f>C111/B111</f>
        <v>0.1974915727757813</v>
      </c>
    </row>
    <row r="112" spans="1:6" x14ac:dyDescent="0.25">
      <c r="A112" s="99" t="s">
        <v>571</v>
      </c>
      <c r="B112" s="49">
        <v>671850851</v>
      </c>
      <c r="C112" s="49">
        <v>179720950</v>
      </c>
      <c r="D112" s="49">
        <v>142687689</v>
      </c>
      <c r="E112" s="50">
        <f>VLOOKUP($A112,'Data shares'!$C:$FA,154)*100</f>
        <v>27.1</v>
      </c>
      <c r="F112" s="173">
        <f>C112/B112</f>
        <v>0.26750126122858775</v>
      </c>
    </row>
    <row r="113" spans="1:6" x14ac:dyDescent="0.25">
      <c r="A113" s="99" t="s">
        <v>582</v>
      </c>
      <c r="B113" s="49">
        <v>64423956</v>
      </c>
      <c r="C113" s="49">
        <v>5450200</v>
      </c>
      <c r="D113" s="49">
        <v>26654592</v>
      </c>
      <c r="E113" s="50">
        <f>VLOOKUP($A113,'Data shares'!$C:$FA,154)*100</f>
        <v>8.6</v>
      </c>
      <c r="F113" s="173">
        <f>C113/B113</f>
        <v>8.4598965018540626E-2</v>
      </c>
    </row>
    <row r="114" spans="1:6" x14ac:dyDescent="0.25">
      <c r="A114" s="99" t="s">
        <v>581</v>
      </c>
      <c r="B114" s="49">
        <v>106935382</v>
      </c>
      <c r="C114" s="49">
        <v>49371000</v>
      </c>
      <c r="D114" s="49">
        <v>32698512</v>
      </c>
      <c r="E114" s="50">
        <f>VLOOKUP($A114,'Data shares'!$C:$FA,154)*100</f>
        <v>46.56</v>
      </c>
      <c r="F114" s="173">
        <f>C114/B114</f>
        <v>0.46169003258435082</v>
      </c>
    </row>
    <row r="115" spans="1:6" x14ac:dyDescent="0.25">
      <c r="A115" s="99" t="s">
        <v>244</v>
      </c>
      <c r="B115" s="49">
        <v>268798007</v>
      </c>
      <c r="C115" s="49">
        <v>43918875</v>
      </c>
      <c r="D115" s="49">
        <v>106935382</v>
      </c>
      <c r="E115" s="50">
        <f>VLOOKUP($A115,'Data shares'!$C:$FA,154)*100</f>
        <v>16.46</v>
      </c>
      <c r="F115" s="173">
        <f>C115/B115</f>
        <v>0.16338988331859172</v>
      </c>
    </row>
    <row r="116" spans="1:6" x14ac:dyDescent="0.25">
      <c r="A116" s="99" t="s">
        <v>245</v>
      </c>
      <c r="B116" s="49">
        <v>76179695</v>
      </c>
      <c r="C116" s="49">
        <v>21803750</v>
      </c>
      <c r="D116" s="49">
        <v>37816323</v>
      </c>
      <c r="E116" s="50">
        <f>VLOOKUP($A116,'Data shares'!$C:$FA,154)*100</f>
        <v>28.84</v>
      </c>
      <c r="F116" s="173">
        <f>C116/B116</f>
        <v>0.28621471902716333</v>
      </c>
    </row>
    <row r="117" spans="1:6" x14ac:dyDescent="0.25">
      <c r="A117" s="99" t="s">
        <v>583</v>
      </c>
      <c r="B117" s="49">
        <v>76642895</v>
      </c>
      <c r="C117" s="49">
        <v>24125100</v>
      </c>
      <c r="D117" s="49">
        <v>549885930</v>
      </c>
      <c r="E117" s="50">
        <f>VLOOKUP($A117,'Data shares'!$C:$FA,154)*100</f>
        <v>31.919999999999998</v>
      </c>
      <c r="F117" s="173">
        <f>C117/B117</f>
        <v>0.31477281749338931</v>
      </c>
    </row>
    <row r="118" spans="1:6" x14ac:dyDescent="0.25">
      <c r="A118" s="99" t="s">
        <v>678</v>
      </c>
      <c r="B118" s="49">
        <v>5409447</v>
      </c>
      <c r="C118" s="49">
        <v>1493100</v>
      </c>
      <c r="D118" s="49">
        <v>176174897</v>
      </c>
      <c r="E118" s="50">
        <f>VLOOKUP($A118,'Data shares'!$C:$FA,154)*100</f>
        <v>28.65</v>
      </c>
      <c r="F118" s="173">
        <f>C118/B118</f>
        <v>0.27601712337693668</v>
      </c>
    </row>
    <row r="119" spans="1:6" x14ac:dyDescent="0.25">
      <c r="A119" s="99" t="s">
        <v>611</v>
      </c>
      <c r="B119" s="49">
        <v>12418320</v>
      </c>
      <c r="C119" s="49">
        <v>1131375</v>
      </c>
      <c r="D119" s="49">
        <v>11118199</v>
      </c>
      <c r="E119" s="50">
        <f>VLOOKUP($A119,'Data shares'!$C:$FA,154)*100</f>
        <v>9.5200000000000014</v>
      </c>
      <c r="F119" s="173">
        <f>C119/B119</f>
        <v>9.1105318593819457E-2</v>
      </c>
    </row>
    <row r="120" spans="1:6" x14ac:dyDescent="0.25">
      <c r="A120" s="99" t="s">
        <v>685</v>
      </c>
      <c r="B120" s="49">
        <v>23088182</v>
      </c>
      <c r="C120" s="49">
        <v>2942550</v>
      </c>
      <c r="D120" s="49">
        <v>454398477</v>
      </c>
      <c r="E120" s="50">
        <f>VLOOKUP($A120,'Data shares'!$C:$FA,154)*100</f>
        <v>12.83</v>
      </c>
      <c r="F120" s="173">
        <f>C120/B120</f>
        <v>0.1274483196641468</v>
      </c>
    </row>
    <row r="121" spans="1:6" x14ac:dyDescent="0.25">
      <c r="A121" s="99" t="s">
        <v>246</v>
      </c>
      <c r="B121" s="49">
        <v>294716519</v>
      </c>
      <c r="C121" s="49">
        <v>42224800</v>
      </c>
      <c r="D121" s="49">
        <v>134884086</v>
      </c>
      <c r="E121" s="50">
        <f>VLOOKUP($A121,'Data shares'!$C:$FA,154)*100</f>
        <v>14.549999999999999</v>
      </c>
      <c r="F121" s="173">
        <f>C121/B121</f>
        <v>0.14327259341713383</v>
      </c>
    </row>
    <row r="122" spans="1:6" x14ac:dyDescent="0.25">
      <c r="A122" s="99" t="s">
        <v>578</v>
      </c>
      <c r="B122" s="49">
        <v>32698512</v>
      </c>
      <c r="C122" s="49">
        <v>7771600</v>
      </c>
      <c r="D122" s="49">
        <v>22129978</v>
      </c>
      <c r="E122" s="50">
        <f>VLOOKUP($A122,'Data shares'!$C:$FA,154)*100</f>
        <v>24.529999999999998</v>
      </c>
      <c r="F122" s="173">
        <f>C122/B122</f>
        <v>0.23767442383922546</v>
      </c>
    </row>
    <row r="123" spans="1:6" x14ac:dyDescent="0.25">
      <c r="A123" s="99" t="s">
        <v>535</v>
      </c>
      <c r="B123" s="49">
        <v>78058155</v>
      </c>
      <c r="C123" s="49">
        <v>28315200</v>
      </c>
      <c r="D123" s="49">
        <v>1667987352</v>
      </c>
      <c r="E123" s="50">
        <f>VLOOKUP($A123,'Data shares'!$C:$FA,154)*100</f>
        <v>37.24</v>
      </c>
      <c r="F123" s="173">
        <f>C123/B123</f>
        <v>0.36274493036634031</v>
      </c>
    </row>
    <row r="124" spans="1:6" x14ac:dyDescent="0.25">
      <c r="A124" s="99" t="s">
        <v>248</v>
      </c>
      <c r="B124" s="49">
        <v>60244101</v>
      </c>
      <c r="C124" s="49">
        <v>42056000</v>
      </c>
      <c r="D124" s="49">
        <v>1814577127</v>
      </c>
      <c r="E124" s="50">
        <f>VLOOKUP($A124,'Data shares'!$C:$FA,154)*100</f>
        <v>72.05</v>
      </c>
      <c r="F124" s="173">
        <f>C124/B124</f>
        <v>0.69809324567728215</v>
      </c>
    </row>
    <row r="125" spans="1:6" x14ac:dyDescent="0.25">
      <c r="A125" s="99" t="s">
        <v>608</v>
      </c>
      <c r="B125" s="49">
        <v>44274984</v>
      </c>
      <c r="C125" s="49">
        <v>8883700</v>
      </c>
      <c r="D125" s="49">
        <v>125014099</v>
      </c>
      <c r="E125" s="50">
        <f>VLOOKUP($A125,'Data shares'!$C:$FA,154)*100</f>
        <v>20.29</v>
      </c>
      <c r="F125" s="173">
        <f>C125/B125</f>
        <v>0.20064829385370303</v>
      </c>
    </row>
    <row r="126" spans="1:6" x14ac:dyDescent="0.25">
      <c r="A126" s="99" t="s">
        <v>589</v>
      </c>
      <c r="B126" s="49">
        <v>55985194</v>
      </c>
      <c r="C126" s="49">
        <v>11038950</v>
      </c>
      <c r="D126" s="49">
        <v>16125398</v>
      </c>
      <c r="E126" s="50">
        <f>VLOOKUP($A126,'Data shares'!$C:$FA,154)*100</f>
        <v>19.86</v>
      </c>
      <c r="F126" s="173">
        <f>C126/B126</f>
        <v>0.19717623913208196</v>
      </c>
    </row>
    <row r="127" spans="1:6" x14ac:dyDescent="0.25">
      <c r="A127" s="99" t="s">
        <v>249</v>
      </c>
      <c r="B127" s="49">
        <v>271909552</v>
      </c>
      <c r="C127" s="49">
        <v>20565300</v>
      </c>
      <c r="D127" s="49">
        <v>486316409</v>
      </c>
      <c r="E127" s="50">
        <f>VLOOKUP($A127,'Data shares'!$C:$FA,154)*100</f>
        <v>7.64</v>
      </c>
      <c r="F127" s="173">
        <f>C127/B127</f>
        <v>7.5632870742253291E-2</v>
      </c>
    </row>
    <row r="128" spans="1:6" x14ac:dyDescent="0.25">
      <c r="A128" s="99" t="s">
        <v>565</v>
      </c>
      <c r="B128" s="49">
        <v>168467595</v>
      </c>
      <c r="C128" s="49">
        <v>80012584</v>
      </c>
      <c r="D128" s="49">
        <v>1369807723</v>
      </c>
      <c r="E128" s="50">
        <f>VLOOKUP($A128,'Data shares'!$C:$FA,154)*100</f>
        <v>49.74</v>
      </c>
      <c r="F128" s="173">
        <f>C128/B128</f>
        <v>0.47494346909861213</v>
      </c>
    </row>
    <row r="129" spans="1:6" x14ac:dyDescent="0.25">
      <c r="A129" s="99" t="s">
        <v>561</v>
      </c>
      <c r="B129" s="49">
        <v>18620728</v>
      </c>
      <c r="C129" s="49">
        <v>2847150</v>
      </c>
      <c r="D129" s="49">
        <v>1274066</v>
      </c>
      <c r="E129" s="50">
        <f>VLOOKUP($A129,'Data shares'!$C:$FA,154)*100</f>
        <v>15.35</v>
      </c>
      <c r="F129" s="173">
        <f>C129/B129</f>
        <v>0.15290218513475951</v>
      </c>
    </row>
    <row r="130" spans="1:6" x14ac:dyDescent="0.25">
      <c r="A130" s="99" t="s">
        <v>250</v>
      </c>
      <c r="B130" s="49">
        <v>48471506</v>
      </c>
      <c r="C130" s="49">
        <v>13519250</v>
      </c>
      <c r="D130" s="49">
        <v>127258876</v>
      </c>
      <c r="E130" s="50">
        <f>VLOOKUP($A130,'Data shares'!$C:$FA,154)*100</f>
        <v>28.01</v>
      </c>
      <c r="F130" s="173">
        <f>C130/B130</f>
        <v>0.27891128449774183</v>
      </c>
    </row>
    <row r="131" spans="1:6" x14ac:dyDescent="0.25">
      <c r="A131" s="99" t="s">
        <v>251</v>
      </c>
      <c r="B131" s="49">
        <v>190580808</v>
      </c>
      <c r="C131" s="49">
        <v>28489000</v>
      </c>
      <c r="D131" s="49">
        <v>105777701</v>
      </c>
      <c r="E131" s="50">
        <f>VLOOKUP($A131,'Data shares'!$C:$FA,154)*100</f>
        <v>15.09</v>
      </c>
      <c r="F131" s="173">
        <f>C131/B131</f>
        <v>0.14948514647917749</v>
      </c>
    </row>
    <row r="132" spans="1:6" x14ac:dyDescent="0.25">
      <c r="A132" s="99" t="s">
        <v>253</v>
      </c>
      <c r="B132" s="49">
        <v>109606743</v>
      </c>
      <c r="C132" s="49">
        <v>35127000</v>
      </c>
      <c r="D132" s="49">
        <v>21630854</v>
      </c>
      <c r="E132" s="50">
        <f>VLOOKUP($A132,'Data shares'!$C:$FA,154)*100</f>
        <v>32.75</v>
      </c>
      <c r="F132" s="173">
        <f>C132/B132</f>
        <v>0.32048210756522527</v>
      </c>
    </row>
    <row r="133" spans="1:6" x14ac:dyDescent="0.25">
      <c r="A133" s="99" t="s">
        <v>674</v>
      </c>
      <c r="B133" s="49">
        <v>22523583</v>
      </c>
      <c r="C133" s="49">
        <v>2063250</v>
      </c>
      <c r="D133" s="49">
        <v>91593795</v>
      </c>
      <c r="E133" s="50">
        <f>VLOOKUP($A133,'Data shares'!$C:$FA,154)*100</f>
        <v>9.33</v>
      </c>
      <c r="F133" s="173">
        <f>C133/B133</f>
        <v>9.160398680796035E-2</v>
      </c>
    </row>
    <row r="134" spans="1:6" x14ac:dyDescent="0.25">
      <c r="A134" s="99" t="s">
        <v>254</v>
      </c>
      <c r="B134" s="49">
        <v>105777701</v>
      </c>
      <c r="C134" s="49">
        <v>22791600</v>
      </c>
      <c r="D134" s="49">
        <v>80673469</v>
      </c>
      <c r="E134" s="50">
        <f>VLOOKUP($A134,'Data shares'!$C:$FA,154)*100</f>
        <v>21.85</v>
      </c>
      <c r="F134" s="173">
        <f>C134/B134</f>
        <v>0.21546696311730201</v>
      </c>
    </row>
    <row r="135" spans="1:6" x14ac:dyDescent="0.25">
      <c r="A135" s="99" t="s">
        <v>255</v>
      </c>
      <c r="B135" s="49">
        <v>26231219</v>
      </c>
      <c r="C135" s="49">
        <v>4263050</v>
      </c>
      <c r="D135" s="49">
        <v>193371109</v>
      </c>
      <c r="E135" s="50">
        <f>VLOOKUP($A135,'Data shares'!$C:$FA,154)*100</f>
        <v>16.600000000000001</v>
      </c>
      <c r="F135" s="173">
        <f>C135/B135</f>
        <v>0.1625181811032114</v>
      </c>
    </row>
    <row r="136" spans="1:6" x14ac:dyDescent="0.25">
      <c r="A136" s="99" t="s">
        <v>604</v>
      </c>
      <c r="B136" s="49">
        <v>148272870</v>
      </c>
      <c r="C136" s="49">
        <v>11679675</v>
      </c>
      <c r="D136" s="49">
        <v>12994611</v>
      </c>
      <c r="E136" s="50">
        <f>VLOOKUP($A136,'Data shares'!$C:$FA,154)*100</f>
        <v>7.99</v>
      </c>
      <c r="F136" s="173">
        <f>C136/B136</f>
        <v>7.877149069819718E-2</v>
      </c>
    </row>
    <row r="137" spans="1:6" x14ac:dyDescent="0.25">
      <c r="A137" s="99" t="s">
        <v>675</v>
      </c>
      <c r="B137" s="49">
        <v>12239606</v>
      </c>
      <c r="C137" s="49">
        <v>4629100</v>
      </c>
      <c r="D137" s="49">
        <v>37374767</v>
      </c>
      <c r="E137" s="50">
        <f>VLOOKUP($A137,'Data shares'!$C:$FA,154)*100</f>
        <v>38.229999999999997</v>
      </c>
      <c r="F137" s="173">
        <f>C137/B137</f>
        <v>0.37820661874246608</v>
      </c>
    </row>
    <row r="138" spans="1:6" x14ac:dyDescent="0.25">
      <c r="A138" s="99" t="s">
        <v>517</v>
      </c>
      <c r="B138" s="49">
        <v>10180563</v>
      </c>
      <c r="C138" s="49">
        <v>3621625</v>
      </c>
      <c r="D138" s="49">
        <v>628365076</v>
      </c>
      <c r="E138" s="50">
        <f>VLOOKUP($A138,'Data shares'!$C:$FA,154)*100</f>
        <v>36.44</v>
      </c>
      <c r="F138" s="173">
        <f>C138/B138</f>
        <v>0.35573916688104579</v>
      </c>
    </row>
    <row r="139" spans="1:6" x14ac:dyDescent="0.25">
      <c r="A139" s="99" t="s">
        <v>257</v>
      </c>
      <c r="B139" s="49">
        <v>67819703</v>
      </c>
      <c r="C139" s="49">
        <v>5825600</v>
      </c>
      <c r="D139" s="49">
        <v>16859165</v>
      </c>
      <c r="E139" s="50">
        <f>VLOOKUP($A139,'Data shares'!$C:$FA,154)*100</f>
        <v>8.68</v>
      </c>
      <c r="F139" s="173">
        <f>C139/B139</f>
        <v>8.5898341371385828E-2</v>
      </c>
    </row>
    <row r="140" spans="1:6" x14ac:dyDescent="0.25">
      <c r="A140" s="99" t="s">
        <v>559</v>
      </c>
      <c r="B140" s="49">
        <v>883911758</v>
      </c>
      <c r="C140" s="49">
        <v>186793950</v>
      </c>
      <c r="D140" s="49">
        <v>50833981</v>
      </c>
      <c r="E140" s="50">
        <f>VLOOKUP($A140,'Data shares'!$C:$FA,154)*100</f>
        <v>21.25</v>
      </c>
      <c r="F140" s="173">
        <f>C140/B140</f>
        <v>0.211326468178965</v>
      </c>
    </row>
    <row r="141" spans="1:6" x14ac:dyDescent="0.25">
      <c r="A141" s="99" t="s">
        <v>487</v>
      </c>
      <c r="B141" s="49">
        <v>22754935</v>
      </c>
      <c r="C141" s="49">
        <v>4670325</v>
      </c>
      <c r="D141" s="49">
        <v>26123462</v>
      </c>
      <c r="E141" s="50">
        <f>VLOOKUP($A141,'Data shares'!$C:$FA,154)*100</f>
        <v>20.62</v>
      </c>
      <c r="F141" s="173">
        <f>C141/B141</f>
        <v>0.20524448872299569</v>
      </c>
    </row>
    <row r="142" spans="1:6" x14ac:dyDescent="0.25">
      <c r="A142" s="99" t="s">
        <v>262</v>
      </c>
      <c r="B142" s="49">
        <v>21400003</v>
      </c>
      <c r="C142" s="49">
        <v>4840550</v>
      </c>
      <c r="D142" s="49">
        <v>48471506</v>
      </c>
      <c r="E142" s="50">
        <f>VLOOKUP($A142,'Data shares'!$C:$FA,154)*100</f>
        <v>23.01</v>
      </c>
      <c r="F142" s="173">
        <f>C142/B142</f>
        <v>0.22619389352422054</v>
      </c>
    </row>
    <row r="143" spans="1:6" x14ac:dyDescent="0.25">
      <c r="A143" s="99" t="s">
        <v>263</v>
      </c>
      <c r="B143" s="49">
        <v>178967755</v>
      </c>
      <c r="C143" s="49">
        <v>89583750</v>
      </c>
      <c r="D143" s="49">
        <v>16266067</v>
      </c>
      <c r="E143" s="50">
        <f>VLOOKUP($A143,'Data shares'!$C:$FA,154)*100</f>
        <v>50.72</v>
      </c>
      <c r="F143" s="173">
        <f>C143/B143</f>
        <v>0.50055804745385557</v>
      </c>
    </row>
    <row r="144" spans="1:6" x14ac:dyDescent="0.25">
      <c r="A144" s="99" t="s">
        <v>264</v>
      </c>
      <c r="B144" s="49">
        <v>80673469</v>
      </c>
      <c r="C144" s="49">
        <v>11813250</v>
      </c>
      <c r="D144" s="49">
        <v>12239606</v>
      </c>
      <c r="E144" s="50">
        <f>VLOOKUP($A144,'Data shares'!$C:$FA,154)*100</f>
        <v>14.75</v>
      </c>
      <c r="F144" s="173">
        <f>C144/B144</f>
        <v>0.14643289976782825</v>
      </c>
    </row>
    <row r="145" spans="1:6" x14ac:dyDescent="0.25">
      <c r="A145" s="99" t="s">
        <v>550</v>
      </c>
      <c r="B145" s="49">
        <v>206526272</v>
      </c>
      <c r="C145" s="49">
        <v>61815000</v>
      </c>
      <c r="D145" s="49">
        <v>77020742</v>
      </c>
      <c r="E145" s="50">
        <f>VLOOKUP($A145,'Data shares'!$C:$FA,154)*100</f>
        <v>30.91</v>
      </c>
      <c r="F145" s="173">
        <f>C145/B145</f>
        <v>0.29930816743740962</v>
      </c>
    </row>
    <row r="146" spans="1:6" x14ac:dyDescent="0.25">
      <c r="A146" s="99" t="s">
        <v>592</v>
      </c>
      <c r="B146" s="49">
        <v>97811871</v>
      </c>
      <c r="C146" s="49">
        <v>18052200</v>
      </c>
      <c r="D146" s="49">
        <v>22523583</v>
      </c>
      <c r="E146" s="50">
        <f>VLOOKUP($A146,'Data shares'!$C:$FA,154)*100</f>
        <v>18.64</v>
      </c>
      <c r="F146" s="173">
        <f>C146/B146</f>
        <v>0.18456042007416462</v>
      </c>
    </row>
    <row r="147" spans="1:6" x14ac:dyDescent="0.25">
      <c r="A147" s="99" t="s">
        <v>265</v>
      </c>
      <c r="B147" s="49">
        <v>71801274</v>
      </c>
      <c r="C147" s="49">
        <v>12968500</v>
      </c>
      <c r="D147" s="49">
        <v>271909552</v>
      </c>
      <c r="E147" s="50">
        <f>VLOOKUP($A147,'Data shares'!$C:$FA,154)*100</f>
        <v>18.25</v>
      </c>
      <c r="F147" s="173">
        <f>C147/B147</f>
        <v>0.18061657234661324</v>
      </c>
    </row>
    <row r="148" spans="1:6" x14ac:dyDescent="0.25">
      <c r="A148" s="99" t="s">
        <v>586</v>
      </c>
      <c r="B148" s="49">
        <v>654977669</v>
      </c>
      <c r="C148" s="49">
        <v>61369600</v>
      </c>
      <c r="D148" s="49">
        <v>26104531</v>
      </c>
      <c r="E148" s="50">
        <f>VLOOKUP($A148,'Data shares'!$C:$FA,154)*100</f>
        <v>9.5500000000000007</v>
      </c>
      <c r="F148" s="173">
        <f>C148/B148</f>
        <v>9.3697240233697188E-2</v>
      </c>
    </row>
    <row r="149" spans="1:6" x14ac:dyDescent="0.25">
      <c r="A149" s="99" t="s">
        <v>267</v>
      </c>
      <c r="B149" s="49">
        <v>689383367</v>
      </c>
      <c r="C149" s="49">
        <v>362340000</v>
      </c>
      <c r="D149" s="49">
        <v>154000160</v>
      </c>
      <c r="E149" s="50">
        <f>VLOOKUP($A149,'Data shares'!$C:$FA,154)*100</f>
        <v>53.790000000000006</v>
      </c>
      <c r="F149" s="173">
        <f>C149/B149</f>
        <v>0.52560014840044722</v>
      </c>
    </row>
    <row r="150" spans="1:6" x14ac:dyDescent="0.25">
      <c r="A150" s="99" t="s">
        <v>268</v>
      </c>
      <c r="B150" s="49">
        <v>948263976</v>
      </c>
      <c r="C150" s="49">
        <v>122571000</v>
      </c>
      <c r="D150" s="49">
        <v>206526272</v>
      </c>
      <c r="E150" s="50">
        <f>VLOOKUP($A150,'Data shares'!$C:$FA,154)*100</f>
        <v>13.089999999999998</v>
      </c>
      <c r="F150" s="173">
        <f>C150/B150</f>
        <v>0.12925831108446537</v>
      </c>
    </row>
    <row r="151" spans="1:6" x14ac:dyDescent="0.25">
      <c r="A151" s="99" t="s">
        <v>614</v>
      </c>
      <c r="B151" s="49">
        <v>273572068</v>
      </c>
      <c r="C151" s="49">
        <v>52109375</v>
      </c>
      <c r="D151" s="49">
        <v>24660712</v>
      </c>
      <c r="E151" s="50">
        <f>VLOOKUP($A151,'Data shares'!$C:$FA,154)*100</f>
        <v>19.21</v>
      </c>
      <c r="F151" s="173">
        <f>C151/B151</f>
        <v>0.19047768794875652</v>
      </c>
    </row>
    <row r="152" spans="1:6" x14ac:dyDescent="0.25">
      <c r="A152" s="99" t="s">
        <v>528</v>
      </c>
      <c r="B152" s="49">
        <v>23485458</v>
      </c>
      <c r="C152" s="49">
        <v>6265350</v>
      </c>
      <c r="D152" s="49">
        <v>16037381</v>
      </c>
      <c r="E152" s="50">
        <f>VLOOKUP($A152,'Data shares'!$C:$FA,154)*100</f>
        <v>27.33</v>
      </c>
      <c r="F152" s="173">
        <f>C152/B152</f>
        <v>0.26677572138469685</v>
      </c>
    </row>
    <row r="153" spans="1:6" x14ac:dyDescent="0.25">
      <c r="A153" s="99" t="s">
        <v>518</v>
      </c>
      <c r="B153" s="49">
        <v>4762380</v>
      </c>
      <c r="C153" s="49">
        <v>1332900</v>
      </c>
      <c r="D153" s="49">
        <v>121939493</v>
      </c>
      <c r="E153" s="50">
        <f>VLOOKUP($A153,'Data shares'!$C:$FA,154)*100</f>
        <v>28.17</v>
      </c>
      <c r="F153" s="173">
        <f>C153/B153</f>
        <v>0.27988106786942663</v>
      </c>
    </row>
    <row r="154" spans="1:6" x14ac:dyDescent="0.25">
      <c r="A154" s="99" t="s">
        <v>588</v>
      </c>
      <c r="B154" s="49">
        <v>141008560</v>
      </c>
      <c r="C154" s="49">
        <v>12455800</v>
      </c>
      <c r="D154" s="49">
        <v>177849950</v>
      </c>
      <c r="E154" s="50">
        <f>VLOOKUP($A154,'Data shares'!$C:$FA,154)*100</f>
        <v>8.89</v>
      </c>
      <c r="F154" s="173">
        <f>C154/B154</f>
        <v>8.8333644425558272E-2</v>
      </c>
    </row>
    <row r="155" spans="1:6" x14ac:dyDescent="0.25">
      <c r="A155" s="99" t="s">
        <v>269</v>
      </c>
      <c r="B155" s="49">
        <v>1034282422</v>
      </c>
      <c r="C155" s="49">
        <v>109939500</v>
      </c>
      <c r="D155" s="49">
        <v>71801274</v>
      </c>
      <c r="E155" s="50">
        <f>VLOOKUP($A155,'Data shares'!$C:$FA,154)*100</f>
        <v>10.72</v>
      </c>
      <c r="F155" s="173">
        <f>C155/B155</f>
        <v>0.10629543503930883</v>
      </c>
    </row>
    <row r="156" spans="1:6" x14ac:dyDescent="0.25">
      <c r="A156" s="99" t="s">
        <v>270</v>
      </c>
      <c r="B156" s="49">
        <v>1274066</v>
      </c>
      <c r="C156" s="49">
        <v>283875</v>
      </c>
      <c r="D156" s="49">
        <v>126959974</v>
      </c>
      <c r="E156" s="50">
        <f>VLOOKUP($A156,'Data shares'!$C:$FA,154)*100</f>
        <v>23.06</v>
      </c>
      <c r="F156" s="173">
        <f>C156/B156</f>
        <v>0.22281027827443789</v>
      </c>
    </row>
    <row r="157" spans="1:6" x14ac:dyDescent="0.25">
      <c r="A157" s="99" t="s">
        <v>667</v>
      </c>
      <c r="B157" s="49">
        <v>22129978</v>
      </c>
      <c r="C157" s="49">
        <v>10902900</v>
      </c>
      <c r="D157" s="49">
        <v>147352572</v>
      </c>
      <c r="E157" s="50">
        <f>VLOOKUP($A157,'Data shares'!$C:$FA,154)*100</f>
        <v>49.669999999999995</v>
      </c>
      <c r="F157" s="173">
        <f>C157/B157</f>
        <v>0.49267559145336703</v>
      </c>
    </row>
    <row r="158" spans="1:6" x14ac:dyDescent="0.25">
      <c r="A158" s="99" t="s">
        <v>576</v>
      </c>
      <c r="B158" s="49">
        <v>127569096</v>
      </c>
      <c r="C158" s="49">
        <v>29216050</v>
      </c>
      <c r="D158" s="49">
        <v>179035680</v>
      </c>
      <c r="E158" s="50">
        <f>VLOOKUP($A158,'Data shares'!$C:$FA,154)*100</f>
        <v>23.35</v>
      </c>
      <c r="F158" s="173">
        <f>C158/B158</f>
        <v>0.22902137677608062</v>
      </c>
    </row>
    <row r="159" spans="1:6" x14ac:dyDescent="0.25">
      <c r="A159" s="99" t="s">
        <v>529</v>
      </c>
      <c r="B159" s="49">
        <v>21354101</v>
      </c>
      <c r="C159" s="49">
        <v>4797800</v>
      </c>
      <c r="D159" s="49">
        <v>53477001</v>
      </c>
      <c r="E159" s="50">
        <f>VLOOKUP($A159,'Data shares'!$C:$FA,154)*100</f>
        <v>22.770000000000003</v>
      </c>
      <c r="F159" s="173">
        <f>C159/B159</f>
        <v>0.22467815432735846</v>
      </c>
    </row>
    <row r="160" spans="1:6" x14ac:dyDescent="0.25">
      <c r="A160" s="99" t="s">
        <v>272</v>
      </c>
      <c r="B160" s="49">
        <v>150000017</v>
      </c>
      <c r="C160" s="49">
        <v>52471800</v>
      </c>
      <c r="D160" s="49">
        <v>23823080</v>
      </c>
      <c r="E160" s="50">
        <f>VLOOKUP($A160,'Data shares'!$C:$FA,154)*100</f>
        <v>35.980000000000004</v>
      </c>
      <c r="F160" s="173">
        <f>C160/B160</f>
        <v>0.34981196035464451</v>
      </c>
    </row>
    <row r="161" spans="1:6" x14ac:dyDescent="0.25">
      <c r="A161" s="99" t="s">
        <v>273</v>
      </c>
      <c r="B161" s="49">
        <v>290447407</v>
      </c>
      <c r="C161" s="49">
        <v>69864600</v>
      </c>
      <c r="D161" s="49">
        <v>290447407</v>
      </c>
      <c r="E161" s="50">
        <f>VLOOKUP($A161,'Data shares'!$C:$FA,154)*100</f>
        <v>25.330000000000002</v>
      </c>
      <c r="F161" s="173">
        <f>C161/B161</f>
        <v>0.24054131080605584</v>
      </c>
    </row>
    <row r="162" spans="1:6" x14ac:dyDescent="0.25">
      <c r="A162" s="99" t="s">
        <v>682</v>
      </c>
      <c r="B162" s="49">
        <v>28664814</v>
      </c>
      <c r="C162" s="49">
        <v>7953400</v>
      </c>
      <c r="D162" s="49">
        <v>97811871</v>
      </c>
      <c r="E162" s="50">
        <f>VLOOKUP($A162,'Data shares'!$C:$FA,154)*100</f>
        <v>28.01</v>
      </c>
      <c r="F162" s="173">
        <f>C162/B162</f>
        <v>0.27746211784245312</v>
      </c>
    </row>
    <row r="163" spans="1:6" x14ac:dyDescent="0.25">
      <c r="A163" s="99" t="s">
        <v>646</v>
      </c>
      <c r="B163" s="49">
        <v>37710874</v>
      </c>
      <c r="C163" s="49">
        <v>4455850</v>
      </c>
      <c r="D163" s="49">
        <v>20320323</v>
      </c>
      <c r="E163" s="50">
        <f>VLOOKUP($A163,'Data shares'!$C:$FA,154)*100</f>
        <v>11.88</v>
      </c>
      <c r="F163" s="173">
        <f>C163/B163</f>
        <v>0.11815822672261588</v>
      </c>
    </row>
    <row r="164" spans="1:6" x14ac:dyDescent="0.25">
      <c r="A164" s="99" t="s">
        <v>274</v>
      </c>
      <c r="B164" s="49">
        <v>31030515</v>
      </c>
      <c r="C164" s="49">
        <v>3874500</v>
      </c>
      <c r="D164" s="49">
        <v>48034132</v>
      </c>
      <c r="E164" s="50"/>
      <c r="F164" s="173">
        <f>C164/B164</f>
        <v>0.12486096347418017</v>
      </c>
    </row>
    <row r="165" spans="1:6" x14ac:dyDescent="0.25">
      <c r="A165" s="99" t="s">
        <v>483</v>
      </c>
      <c r="B165" s="49">
        <v>16356551</v>
      </c>
      <c r="C165" s="49">
        <v>1918175</v>
      </c>
      <c r="D165" s="49">
        <v>408027660</v>
      </c>
      <c r="E165" s="50">
        <f>VLOOKUP($A165,'Data shares'!$C:$FA,154)*100</f>
        <v>11.78</v>
      </c>
      <c r="F165" s="173">
        <f>C165/B165</f>
        <v>0.11727258393288414</v>
      </c>
    </row>
    <row r="166" spans="1:6" x14ac:dyDescent="0.25">
      <c r="A166" s="99" t="s">
        <v>275</v>
      </c>
      <c r="B166" s="49">
        <v>687763516</v>
      </c>
      <c r="C166" s="49">
        <v>404432000</v>
      </c>
      <c r="D166" s="49">
        <v>11638502</v>
      </c>
      <c r="E166" s="50">
        <f>VLOOKUP($A166,'Data shares'!$C:$FA,154)*100</f>
        <v>59.8</v>
      </c>
      <c r="F166" s="173">
        <f>C166/B166</f>
        <v>0.58803933414810561</v>
      </c>
    </row>
    <row r="167" spans="1:6" x14ac:dyDescent="0.25">
      <c r="A167" s="99" t="s">
        <v>672</v>
      </c>
      <c r="B167" s="49">
        <v>37374767</v>
      </c>
      <c r="C167" s="49">
        <v>11051950</v>
      </c>
      <c r="D167" s="49">
        <v>39206614</v>
      </c>
      <c r="E167" s="50">
        <f>VLOOKUP($A167,'Data shares'!$C:$FA,154)*100</f>
        <v>29.75</v>
      </c>
      <c r="F167" s="173">
        <f>C167/B167</f>
        <v>0.2957061912921089</v>
      </c>
    </row>
    <row r="168" spans="1:6" x14ac:dyDescent="0.25">
      <c r="A168" s="99" t="s">
        <v>574</v>
      </c>
      <c r="B168" s="49">
        <v>91593795</v>
      </c>
      <c r="C168" s="49">
        <v>8453550</v>
      </c>
      <c r="D168" s="49">
        <v>1737683</v>
      </c>
      <c r="E168" s="50">
        <f>VLOOKUP($A168,'Data shares'!$C:$FA,154)*100</f>
        <v>9.2899999999999991</v>
      </c>
      <c r="F168" s="173">
        <f>C168/B168</f>
        <v>9.2293915761433407E-2</v>
      </c>
    </row>
    <row r="169" spans="1:6" x14ac:dyDescent="0.25">
      <c r="A169" s="99" t="s">
        <v>519</v>
      </c>
      <c r="B169" s="49">
        <v>11118199</v>
      </c>
      <c r="C169" s="49">
        <v>2614500</v>
      </c>
      <c r="D169" s="49">
        <v>125347779</v>
      </c>
      <c r="E169" s="50">
        <f>VLOOKUP($A169,'Data shares'!$C:$FA,154)*100</f>
        <v>24.060000000000002</v>
      </c>
      <c r="F169" s="173">
        <f>C169/B169</f>
        <v>0.23515499227887537</v>
      </c>
    </row>
    <row r="170" spans="1:6" x14ac:dyDescent="0.25">
      <c r="A170" s="99" t="s">
        <v>597</v>
      </c>
      <c r="B170" s="49">
        <v>57287573</v>
      </c>
      <c r="C170" s="49">
        <v>15029700</v>
      </c>
      <c r="D170" s="49">
        <v>60165566</v>
      </c>
      <c r="E170" s="50">
        <f>VLOOKUP($A170,'Data shares'!$C:$FA,154)*100</f>
        <v>27.16</v>
      </c>
      <c r="F170" s="173">
        <f>C170/B170</f>
        <v>0.262355327917278</v>
      </c>
    </row>
    <row r="171" spans="1:6" x14ac:dyDescent="0.25">
      <c r="A171" s="99" t="s">
        <v>276</v>
      </c>
      <c r="B171" s="49">
        <v>905143907</v>
      </c>
      <c r="C171" s="49">
        <v>86957300</v>
      </c>
      <c r="D171" s="49">
        <v>28664814</v>
      </c>
      <c r="E171" s="50">
        <f>VLOOKUP($A171,'Data shares'!$C:$FA,154)*100</f>
        <v>9.77</v>
      </c>
      <c r="F171" s="173">
        <f>C171/B171</f>
        <v>9.6070137938850428E-2</v>
      </c>
    </row>
    <row r="172" spans="1:6" x14ac:dyDescent="0.25">
      <c r="A172" s="99" t="s">
        <v>680</v>
      </c>
      <c r="B172" s="49">
        <v>171573821</v>
      </c>
      <c r="C172" s="49">
        <v>20682500</v>
      </c>
      <c r="D172" s="49">
        <v>60081955</v>
      </c>
      <c r="E172" s="50">
        <f>VLOOKUP($A172,'Data shares'!$C:$FA,154)*100</f>
        <v>12.19</v>
      </c>
      <c r="F172" s="173">
        <f>C172/B172</f>
        <v>0.12054577953358048</v>
      </c>
    </row>
    <row r="173" spans="1:6" x14ac:dyDescent="0.25">
      <c r="A173" s="99" t="s">
        <v>606</v>
      </c>
      <c r="B173" s="49">
        <v>33646046</v>
      </c>
      <c r="C173" s="49">
        <v>6525900</v>
      </c>
      <c r="D173" s="49">
        <v>385388951</v>
      </c>
      <c r="E173" s="50">
        <f>VLOOKUP($A173,'Data shares'!$C:$FA,154)*100</f>
        <v>19.64</v>
      </c>
      <c r="F173" s="173">
        <f>C173/B173</f>
        <v>0.1939574118159382</v>
      </c>
    </row>
    <row r="174" spans="1:6" x14ac:dyDescent="0.25">
      <c r="A174" s="99" t="s">
        <v>279</v>
      </c>
      <c r="B174" s="49">
        <v>121575211</v>
      </c>
      <c r="C174" s="49">
        <v>87509350</v>
      </c>
      <c r="D174" s="49">
        <v>211721976</v>
      </c>
      <c r="E174" s="50">
        <f>VLOOKUP($A174,'Data shares'!$C:$FA,154)*100</f>
        <v>73.709999999999994</v>
      </c>
      <c r="F174" s="173">
        <f>C174/B174</f>
        <v>0.71979599525432858</v>
      </c>
    </row>
    <row r="175" spans="1:6" x14ac:dyDescent="0.25">
      <c r="A175" s="99" t="s">
        <v>280</v>
      </c>
      <c r="B175" s="49">
        <v>249446067</v>
      </c>
      <c r="C175" s="49">
        <v>112670475</v>
      </c>
      <c r="D175" s="49">
        <v>24011656</v>
      </c>
      <c r="E175" s="50">
        <f>VLOOKUP($A175,'Data shares'!$C:$FA,154)*100</f>
        <v>45.879999999999995</v>
      </c>
      <c r="F175" s="173">
        <f>C175/B175</f>
        <v>0.45168270782958464</v>
      </c>
    </row>
    <row r="176" spans="1:6" x14ac:dyDescent="0.25">
      <c r="A176" s="99" t="s">
        <v>281</v>
      </c>
      <c r="B176" s="49">
        <v>1323414074</v>
      </c>
      <c r="C176" s="49">
        <v>185685000</v>
      </c>
      <c r="D176" s="49">
        <v>714371379</v>
      </c>
      <c r="E176" s="50">
        <f>VLOOKUP($A176,'Data shares'!$C:$FA,154)*100</f>
        <v>14.299999999999999</v>
      </c>
      <c r="F176" s="173">
        <f>C176/B176</f>
        <v>0.14030756030784058</v>
      </c>
    </row>
    <row r="177" spans="1:6" x14ac:dyDescent="0.25">
      <c r="A177" s="99" t="s">
        <v>677</v>
      </c>
      <c r="B177" s="49">
        <v>113255281</v>
      </c>
      <c r="C177" s="49">
        <v>17924500</v>
      </c>
      <c r="D177" s="49">
        <v>21452008</v>
      </c>
      <c r="E177" s="50">
        <f>VLOOKUP($A177,'Data shares'!$C:$FA,154)*100</f>
        <v>15.9</v>
      </c>
      <c r="F177" s="173">
        <f>C177/B177</f>
        <v>0.15826635051128432</v>
      </c>
    </row>
    <row r="178" spans="1:6" x14ac:dyDescent="0.25">
      <c r="A178" s="99" t="s">
        <v>282</v>
      </c>
      <c r="B178" s="49">
        <v>289148547</v>
      </c>
      <c r="C178" s="49">
        <v>195054700</v>
      </c>
      <c r="D178" s="49">
        <v>47184665</v>
      </c>
      <c r="E178" s="50">
        <f>VLOOKUP($A178,'Data shares'!$C:$FA,154)*100</f>
        <v>68.459999999999994</v>
      </c>
      <c r="F178" s="173">
        <f>C178/B178</f>
        <v>0.6745830197791034</v>
      </c>
    </row>
    <row r="179" spans="1:6" x14ac:dyDescent="0.25">
      <c r="A179" s="99" t="s">
        <v>536</v>
      </c>
      <c r="B179" s="49">
        <v>59744408</v>
      </c>
      <c r="C179" s="49">
        <v>20913600</v>
      </c>
      <c r="D179" s="49">
        <v>59744408</v>
      </c>
      <c r="E179" s="50">
        <f>VLOOKUP($A179,'Data shares'!$C:$FA,154)*100</f>
        <v>35.449999999999996</v>
      </c>
      <c r="F179" s="173">
        <f>C179/B179</f>
        <v>0.35005117131631802</v>
      </c>
    </row>
    <row r="180" spans="1:6" x14ac:dyDescent="0.25">
      <c r="A180" s="99" t="s">
        <v>462</v>
      </c>
      <c r="B180" s="49">
        <v>89427016</v>
      </c>
      <c r="C180" s="49">
        <v>8037750</v>
      </c>
      <c r="D180" s="49">
        <v>83488668</v>
      </c>
      <c r="E180" s="50">
        <f>VLOOKUP($A180,'Data shares'!$C:$FA,154)*100</f>
        <v>9.11</v>
      </c>
      <c r="F180" s="173">
        <f>C180/B180</f>
        <v>8.9880556900165387E-2</v>
      </c>
    </row>
    <row r="181" spans="1:6" x14ac:dyDescent="0.25">
      <c r="A181" s="99" t="s">
        <v>283</v>
      </c>
      <c r="B181" s="49">
        <v>753011455</v>
      </c>
      <c r="C181" s="49">
        <v>171901500</v>
      </c>
      <c r="D181" s="49">
        <v>32988281</v>
      </c>
      <c r="E181" s="50">
        <f>VLOOKUP($A181,'Data shares'!$C:$FA,154)*100</f>
        <v>23.119999999999997</v>
      </c>
      <c r="F181" s="173">
        <f>C181/B181</f>
        <v>0.22828537183408451</v>
      </c>
    </row>
    <row r="182" spans="1:6" x14ac:dyDescent="0.25">
      <c r="A182" s="99" t="s">
        <v>284</v>
      </c>
      <c r="B182" s="49">
        <v>2702310</v>
      </c>
      <c r="C182" s="49">
        <v>272500</v>
      </c>
      <c r="D182" s="49">
        <v>127569096</v>
      </c>
      <c r="E182" s="50">
        <f>VLOOKUP($A182,'Data shares'!$C:$FA,154)*100</f>
        <v>10.639999999999999</v>
      </c>
      <c r="F182" s="173">
        <f>C182/B182</f>
        <v>0.10083965200143581</v>
      </c>
    </row>
    <row r="183" spans="1:6" x14ac:dyDescent="0.25">
      <c r="A183" s="99" t="s">
        <v>562</v>
      </c>
      <c r="B183" s="49">
        <v>280560500</v>
      </c>
      <c r="C183" s="49">
        <v>46251150</v>
      </c>
      <c r="D183" s="49">
        <v>55970580</v>
      </c>
      <c r="E183" s="50">
        <f>VLOOKUP($A183,'Data shares'!$C:$FA,154)*100</f>
        <v>16.669999999999998</v>
      </c>
      <c r="F183" s="173">
        <f>C183/B183</f>
        <v>0.16485267883397697</v>
      </c>
    </row>
    <row r="184" spans="1:6" x14ac:dyDescent="0.25">
      <c r="A184" s="99" t="s">
        <v>285</v>
      </c>
      <c r="B184" s="49">
        <v>17806118</v>
      </c>
      <c r="C184" s="49">
        <v>2780375</v>
      </c>
      <c r="D184" s="49">
        <v>44274984</v>
      </c>
      <c r="E184" s="50">
        <f>VLOOKUP($A184,'Data shares'!$C:$FA,154)*100</f>
        <v>15.73</v>
      </c>
      <c r="F184" s="173">
        <f>C184/B184</f>
        <v>0.15614717368490988</v>
      </c>
    </row>
    <row r="185" spans="1:6" x14ac:dyDescent="0.25">
      <c r="A185" s="99" t="s">
        <v>600</v>
      </c>
      <c r="B185" s="49">
        <v>142687689</v>
      </c>
      <c r="C185" s="49">
        <v>29962500</v>
      </c>
      <c r="D185" s="49">
        <v>10730378</v>
      </c>
      <c r="E185" s="50">
        <f>VLOOKUP($A185,'Data shares'!$C:$FA,154)*100</f>
        <v>21.19</v>
      </c>
      <c r="F185" s="173">
        <f>C185/B185</f>
        <v>0.20998658125299094</v>
      </c>
    </row>
    <row r="186" spans="1:6" x14ac:dyDescent="0.25">
      <c r="A186" s="99" t="s">
        <v>647</v>
      </c>
      <c r="B186" s="49">
        <v>4859756</v>
      </c>
      <c r="C186" s="49">
        <v>1003275</v>
      </c>
      <c r="D186" s="49">
        <v>10180563</v>
      </c>
      <c r="E186" s="50">
        <f>VLOOKUP($A186,'Data shares'!$C:$FA,154)*100</f>
        <v>20.76</v>
      </c>
      <c r="F186" s="173">
        <f>C186/B186</f>
        <v>0.20644554994119046</v>
      </c>
    </row>
    <row r="187" spans="1:6" x14ac:dyDescent="0.25">
      <c r="A187" s="99" t="s">
        <v>615</v>
      </c>
      <c r="B187" s="49">
        <v>89501464</v>
      </c>
      <c r="C187" s="49">
        <v>24062850</v>
      </c>
      <c r="D187" s="49">
        <v>150000017</v>
      </c>
      <c r="E187" s="50">
        <f>VLOOKUP($A187,'Data shares'!$C:$FA,154)*100</f>
        <v>26.97</v>
      </c>
      <c r="F187" s="173">
        <f>C187/B187</f>
        <v>0.26885426142303104</v>
      </c>
    </row>
    <row r="188" spans="1:6" x14ac:dyDescent="0.25">
      <c r="A188" s="99" t="s">
        <v>286</v>
      </c>
      <c r="B188" s="49">
        <v>29488465</v>
      </c>
      <c r="C188" s="49">
        <v>5218800</v>
      </c>
      <c r="D188" s="49">
        <v>33646046</v>
      </c>
      <c r="E188" s="50">
        <f>VLOOKUP($A188,'Data shares'!$C:$FA,154)*100</f>
        <v>18.09</v>
      </c>
      <c r="F188" s="173">
        <f>C188/B188</f>
        <v>0.17697767584714905</v>
      </c>
    </row>
    <row r="189" spans="1:6" x14ac:dyDescent="0.25">
      <c r="A189" s="99" t="s">
        <v>288</v>
      </c>
      <c r="B189" s="49">
        <v>218440087</v>
      </c>
      <c r="C189" s="49">
        <v>24113950</v>
      </c>
      <c r="D189" s="49">
        <v>29488465</v>
      </c>
      <c r="E189" s="50">
        <f>VLOOKUP($A189,'Data shares'!$C:$FA,154)*100</f>
        <v>11.12</v>
      </c>
      <c r="F189" s="173">
        <f>C189/B189</f>
        <v>0.11039159675851988</v>
      </c>
    </row>
    <row r="190" spans="1:6" x14ac:dyDescent="0.25">
      <c r="A190" s="99" t="s">
        <v>575</v>
      </c>
      <c r="B190" s="49">
        <v>12994611</v>
      </c>
      <c r="C190" s="49">
        <v>1548050</v>
      </c>
      <c r="D190" s="49">
        <v>671850851</v>
      </c>
      <c r="E190" s="50">
        <f>VLOOKUP($A190,'Data shares'!$C:$FA,154)*100</f>
        <v>12.42</v>
      </c>
      <c r="F190" s="173">
        <f>C190/B190</f>
        <v>0.11913015326122497</v>
      </c>
    </row>
    <row r="191" spans="1:6" x14ac:dyDescent="0.25">
      <c r="A191" s="99" t="s">
        <v>520</v>
      </c>
      <c r="B191" s="49">
        <v>37816323</v>
      </c>
      <c r="C191" s="49">
        <v>10949000</v>
      </c>
      <c r="D191" s="49">
        <v>6987041</v>
      </c>
      <c r="E191" s="50"/>
      <c r="F191" s="173">
        <f>C191/B191</f>
        <v>0.28953105779216026</v>
      </c>
    </row>
    <row r="192" spans="1:6" x14ac:dyDescent="0.25">
      <c r="A192" s="99" t="s">
        <v>290</v>
      </c>
      <c r="B192" s="49">
        <v>31601465</v>
      </c>
      <c r="C192" s="49">
        <v>13557050</v>
      </c>
      <c r="D192" s="49">
        <v>112299677</v>
      </c>
      <c r="E192" s="50">
        <f>VLOOKUP($A192,'Data shares'!$C:$FA,154)*100</f>
        <v>43.71</v>
      </c>
      <c r="F192" s="173">
        <f>C192/B192</f>
        <v>0.42900068082286691</v>
      </c>
    </row>
    <row r="193" spans="1:6" x14ac:dyDescent="0.25">
      <c r="A193" s="99" t="s">
        <v>291</v>
      </c>
      <c r="B193" s="49">
        <v>130936945</v>
      </c>
      <c r="C193" s="49">
        <v>17384950</v>
      </c>
      <c r="D193" s="49">
        <v>26231219</v>
      </c>
      <c r="E193" s="50">
        <f>VLOOKUP($A193,'Data shares'!$C:$FA,154)*100</f>
        <v>13.350000000000001</v>
      </c>
      <c r="F193" s="173">
        <f>C193/B193</f>
        <v>0.13277345061013909</v>
      </c>
    </row>
    <row r="194" spans="1:6" x14ac:dyDescent="0.25">
      <c r="A194" s="99" t="s">
        <v>605</v>
      </c>
      <c r="B194" s="49">
        <v>6987041</v>
      </c>
      <c r="C194" s="49">
        <v>2299800</v>
      </c>
      <c r="D194" s="49">
        <v>30111043</v>
      </c>
      <c r="E194" s="50">
        <f>VLOOKUP($A194,'Data shares'!$C:$FA,154)*100</f>
        <v>33.14</v>
      </c>
      <c r="F194" s="173">
        <f>C194/B194</f>
        <v>0.32915221193062988</v>
      </c>
    </row>
    <row r="195" spans="1:6" x14ac:dyDescent="0.25">
      <c r="A195" s="99" t="s">
        <v>292</v>
      </c>
      <c r="B195" s="49">
        <v>422796029</v>
      </c>
      <c r="C195" s="49">
        <v>115197600</v>
      </c>
      <c r="D195" s="49">
        <v>249446067</v>
      </c>
      <c r="E195" s="50">
        <f>VLOOKUP($A195,'Data shares'!$C:$FA,154)*100</f>
        <v>27.76</v>
      </c>
      <c r="F195" s="173">
        <f>C195/B195</f>
        <v>0.27246613520109481</v>
      </c>
    </row>
    <row r="196" spans="1:6" x14ac:dyDescent="0.25">
      <c r="A196" s="99" t="s">
        <v>293</v>
      </c>
      <c r="B196" s="49">
        <v>339616396</v>
      </c>
      <c r="C196" s="49">
        <v>99857150</v>
      </c>
      <c r="D196" s="49">
        <v>23088182</v>
      </c>
      <c r="E196" s="50"/>
      <c r="F196" s="173">
        <f>C196/B196</f>
        <v>0.29402923762255578</v>
      </c>
    </row>
    <row r="197" spans="1:6" x14ac:dyDescent="0.25">
      <c r="A197" s="99" t="s">
        <v>294</v>
      </c>
      <c r="B197" s="49">
        <v>1667987352</v>
      </c>
      <c r="C197" s="49">
        <v>303319500</v>
      </c>
      <c r="D197" s="49">
        <v>159683698</v>
      </c>
      <c r="E197" s="50">
        <f>VLOOKUP($A197,'Data shares'!$C:$FA,154)*100</f>
        <v>18.7</v>
      </c>
      <c r="F197" s="173">
        <f>C197/B197</f>
        <v>0.18184760192354266</v>
      </c>
    </row>
    <row r="198" spans="1:6" x14ac:dyDescent="0.25">
      <c r="A198" s="99" t="s">
        <v>665</v>
      </c>
      <c r="B198" s="49">
        <v>36328758</v>
      </c>
      <c r="C198" s="49">
        <v>13570400</v>
      </c>
      <c r="D198" s="49">
        <v>29668038</v>
      </c>
      <c r="E198" s="50">
        <f>VLOOKUP($A198,'Data shares'!$C:$FA,154)*100</f>
        <v>37.79</v>
      </c>
      <c r="F198" s="173">
        <f>C198/B198</f>
        <v>0.37354428687047325</v>
      </c>
    </row>
    <row r="199" spans="1:6" x14ac:dyDescent="0.25">
      <c r="A199" s="99" t="s">
        <v>295</v>
      </c>
      <c r="B199" s="49">
        <v>204305778</v>
      </c>
      <c r="C199" s="49">
        <v>48643000</v>
      </c>
      <c r="D199" s="49">
        <v>190580808</v>
      </c>
      <c r="E199" s="50">
        <f>VLOOKUP($A199,'Data shares'!$C:$FA,154)*100</f>
        <v>24.349999999999998</v>
      </c>
      <c r="F199" s="173">
        <f>C199/B199</f>
        <v>0.23808920372286291</v>
      </c>
    </row>
    <row r="200" spans="1:6" x14ac:dyDescent="0.25">
      <c r="A200" s="99" t="s">
        <v>296</v>
      </c>
      <c r="B200" s="49">
        <v>127258876</v>
      </c>
      <c r="C200" s="49">
        <v>23204400</v>
      </c>
      <c r="D200" s="49">
        <v>753011455</v>
      </c>
      <c r="E200" s="50">
        <f>VLOOKUP($A200,'Data shares'!$C:$FA,154)*100</f>
        <v>18.399999999999999</v>
      </c>
      <c r="F200" s="173">
        <f>C200/B200</f>
        <v>0.18234013005112507</v>
      </c>
    </row>
    <row r="201" spans="1:6" x14ac:dyDescent="0.25">
      <c r="A201" s="99" t="s">
        <v>596</v>
      </c>
      <c r="B201" s="49">
        <v>21630854</v>
      </c>
      <c r="C201" s="49">
        <v>1951600</v>
      </c>
      <c r="D201" s="49">
        <v>37710874</v>
      </c>
      <c r="E201" s="50">
        <f>VLOOKUP($A201,'Data shares'!$C:$FA,154)*100</f>
        <v>9.0399999999999991</v>
      </c>
      <c r="F201" s="173">
        <f>C201/B201</f>
        <v>9.0222975015225942E-2</v>
      </c>
    </row>
    <row r="202" spans="1:6" x14ac:dyDescent="0.25">
      <c r="A202" s="99" t="s">
        <v>664</v>
      </c>
      <c r="B202" s="49">
        <v>16037381</v>
      </c>
      <c r="C202" s="49">
        <v>8225850</v>
      </c>
      <c r="D202" s="49">
        <v>31030515</v>
      </c>
      <c r="E202" s="50">
        <f>VLOOKUP($A202,'Data shares'!$C:$FA,154)*100</f>
        <v>52.33</v>
      </c>
      <c r="F202" s="173">
        <f>C202/B202</f>
        <v>0.51291728992408425</v>
      </c>
    </row>
    <row r="203" spans="1:6" x14ac:dyDescent="0.25">
      <c r="A203" s="99" t="s">
        <v>297</v>
      </c>
      <c r="B203" s="49">
        <v>83488668</v>
      </c>
      <c r="C203" s="49">
        <v>12183325</v>
      </c>
      <c r="D203" s="49">
        <v>13335005</v>
      </c>
      <c r="E203" s="50">
        <f>VLOOKUP($A203,'Data shares'!$C:$FA,154)*100</f>
        <v>14.7</v>
      </c>
      <c r="F203" s="173">
        <f>C203/B203</f>
        <v>0.14592788808176937</v>
      </c>
    </row>
    <row r="204" spans="1:6" x14ac:dyDescent="0.25">
      <c r="A204" s="99" t="s">
        <v>298</v>
      </c>
      <c r="B204" s="49">
        <v>21452008</v>
      </c>
      <c r="C204" s="49">
        <v>2905500</v>
      </c>
      <c r="D204" s="49">
        <v>339616396</v>
      </c>
      <c r="E204" s="50">
        <f>VLOOKUP($A204,'Data shares'!$C:$FA,154)*100</f>
        <v>13.69</v>
      </c>
      <c r="F204" s="173">
        <f>C204/B204</f>
        <v>0.13544186632785146</v>
      </c>
    </row>
    <row r="205" spans="1:6" x14ac:dyDescent="0.25">
      <c r="A205" s="99" t="s">
        <v>299</v>
      </c>
      <c r="B205" s="49">
        <v>49292045</v>
      </c>
      <c r="C205" s="49">
        <v>2986875</v>
      </c>
      <c r="D205" s="49">
        <v>1464421396</v>
      </c>
      <c r="E205" s="50">
        <f>VLOOKUP($A205,'Data shares'!$C:$FA,154)*100</f>
        <v>6.08</v>
      </c>
      <c r="F205" s="173">
        <f>C205/B205</f>
        <v>6.0595477424399823E-2</v>
      </c>
    </row>
    <row r="206" spans="1:6" x14ac:dyDescent="0.25">
      <c r="A206" s="99" t="s">
        <v>482</v>
      </c>
      <c r="B206" s="49">
        <v>44787316</v>
      </c>
      <c r="C206" s="49">
        <v>9980000</v>
      </c>
      <c r="D206" s="49">
        <v>687763516</v>
      </c>
      <c r="E206" s="50">
        <f>VLOOKUP($A206,'Data shares'!$C:$FA,154)*100</f>
        <v>22.509999999999998</v>
      </c>
      <c r="F206" s="173">
        <f>C206/B206</f>
        <v>0.22283094615448712</v>
      </c>
    </row>
    <row r="207" spans="1:6" x14ac:dyDescent="0.25">
      <c r="A207" s="99" t="s">
        <v>300</v>
      </c>
      <c r="B207" s="49">
        <v>47184665</v>
      </c>
      <c r="C207" s="49">
        <v>9976400</v>
      </c>
      <c r="D207" s="49">
        <v>23922935</v>
      </c>
      <c r="E207" s="50">
        <f>VLOOKUP($A207,'Data shares'!$C:$FA,154)*100</f>
        <v>21.44</v>
      </c>
      <c r="F207" s="173">
        <f>C207/B207</f>
        <v>0.21143310013963224</v>
      </c>
    </row>
    <row r="208" spans="1:6" x14ac:dyDescent="0.25">
      <c r="A208" s="99" t="s">
        <v>302</v>
      </c>
      <c r="B208" s="49">
        <v>23922935</v>
      </c>
      <c r="C208" s="49">
        <v>2884450</v>
      </c>
      <c r="D208" s="49">
        <v>141008560</v>
      </c>
      <c r="E208" s="50">
        <f>VLOOKUP($A208,'Data shares'!$C:$FA,154)*100</f>
        <v>12.15</v>
      </c>
      <c r="F208" s="173">
        <f>C208/B208</f>
        <v>0.1205725802456931</v>
      </c>
    </row>
    <row r="209" spans="1:6" x14ac:dyDescent="0.25">
      <c r="A209" s="99" t="s">
        <v>594</v>
      </c>
      <c r="B209" s="49">
        <v>385388951</v>
      </c>
      <c r="C209" s="49">
        <v>109036425</v>
      </c>
      <c r="D209" s="49">
        <v>25086000</v>
      </c>
      <c r="E209" s="50">
        <f>VLOOKUP($A209,'Data shares'!$C:$FA,154)*100</f>
        <v>28.84</v>
      </c>
      <c r="F209" s="173">
        <f>C209/B209</f>
        <v>0.28292566436342903</v>
      </c>
    </row>
    <row r="210" spans="1:6" x14ac:dyDescent="0.25">
      <c r="A210" s="99" t="s">
        <v>594</v>
      </c>
      <c r="B210" s="49">
        <v>385388951</v>
      </c>
      <c r="C210" s="49">
        <v>156777750</v>
      </c>
      <c r="D210" s="49">
        <v>1034282422</v>
      </c>
      <c r="E210" s="50">
        <f>VLOOKUP($A210,'Data shares'!$C:$FA,154)*100</f>
        <v>28.84</v>
      </c>
      <c r="F210" s="173">
        <f>C210/B210</f>
        <v>0.40680395634902361</v>
      </c>
    </row>
    <row r="211" spans="1:6" x14ac:dyDescent="0.25">
      <c r="A211" s="99" t="s">
        <v>569</v>
      </c>
      <c r="B211" s="49">
        <v>63025888</v>
      </c>
      <c r="C211" s="49">
        <v>20716400</v>
      </c>
      <c r="D211" s="49">
        <v>178967755</v>
      </c>
      <c r="E211" s="50">
        <f>VLOOKUP($A211,'Data shares'!$C:$FA,154)*100</f>
        <v>33.31</v>
      </c>
      <c r="F211" s="173">
        <f>C211/B211</f>
        <v>0.32869667778421463</v>
      </c>
    </row>
    <row r="212" spans="1:6" x14ac:dyDescent="0.25">
      <c r="A212" s="99" t="s">
        <v>569</v>
      </c>
      <c r="B212" s="49">
        <v>63025888</v>
      </c>
      <c r="C212" s="49">
        <v>26320400</v>
      </c>
      <c r="D212" s="49">
        <v>6270823064</v>
      </c>
      <c r="E212" s="50">
        <f>VLOOKUP($A212,'Data shares'!$C:$FA,154)*100</f>
        <v>33.31</v>
      </c>
      <c r="F212" s="173">
        <f>C212/B212</f>
        <v>0.41761252138169003</v>
      </c>
    </row>
    <row r="213" spans="1:6" x14ac:dyDescent="0.25">
      <c r="A213" s="99" t="s">
        <v>676</v>
      </c>
      <c r="B213" s="49">
        <v>35881800</v>
      </c>
      <c r="C213" s="49">
        <v>2441450</v>
      </c>
      <c r="D213" s="49">
        <v>63536556</v>
      </c>
      <c r="E213" s="50">
        <f>VLOOKUP($A213,'Data shares'!$C:$FA,154)*100</f>
        <v>6.9099999999999993</v>
      </c>
      <c r="F213" s="173">
        <f>C213/B213</f>
        <v>6.804145834378432E-2</v>
      </c>
    </row>
    <row r="214" spans="1:6" x14ac:dyDescent="0.25">
      <c r="A214" s="99" t="s">
        <v>676</v>
      </c>
      <c r="B214" s="49">
        <v>35881800</v>
      </c>
      <c r="C214" s="49">
        <v>4366450</v>
      </c>
      <c r="D214" s="49">
        <v>1323414074</v>
      </c>
      <c r="E214" s="50">
        <f>VLOOKUP($A214,'Data shares'!$C:$FA,154)*100</f>
        <v>6.9099999999999993</v>
      </c>
      <c r="F214" s="173">
        <f>C214/B214</f>
        <v>0.12168982603994226</v>
      </c>
    </row>
    <row r="215" spans="1:6" x14ac:dyDescent="0.25">
      <c r="A215" s="99" t="s">
        <v>303</v>
      </c>
      <c r="B215" s="49">
        <v>112299677</v>
      </c>
      <c r="C215" s="49">
        <v>42347815</v>
      </c>
      <c r="D215" s="49">
        <v>44787316</v>
      </c>
      <c r="E215" s="50">
        <f>VLOOKUP($A215,'Data shares'!$C:$FA,154)*100</f>
        <v>38.65</v>
      </c>
      <c r="F215" s="173">
        <f>C215/B215</f>
        <v>0.37709649868360706</v>
      </c>
    </row>
    <row r="216" spans="1:6" x14ac:dyDescent="0.25">
      <c r="A216" s="99" t="s">
        <v>303</v>
      </c>
      <c r="B216" s="49">
        <v>112299677</v>
      </c>
      <c r="C216" s="49">
        <v>58138985</v>
      </c>
      <c r="D216" s="49">
        <v>35530000</v>
      </c>
      <c r="E216" s="50">
        <f>VLOOKUP($A216,'Data shares'!$C:$FA,154)*100</f>
        <v>38.65</v>
      </c>
      <c r="F216" s="173">
        <f>C216/B216</f>
        <v>0.51771284257567363</v>
      </c>
    </row>
    <row r="217" spans="1:6" x14ac:dyDescent="0.25">
      <c r="A217" s="99" t="s">
        <v>587</v>
      </c>
      <c r="B217" s="49">
        <v>268960013</v>
      </c>
      <c r="C217" s="49">
        <v>51472425</v>
      </c>
      <c r="D217" s="49">
        <v>20322651</v>
      </c>
      <c r="E217" s="50">
        <f>VLOOKUP($A217,'Data shares'!$C:$FA,154)*100</f>
        <v>19.470000000000002</v>
      </c>
      <c r="F217" s="173">
        <f>C217/B217</f>
        <v>0.19137575294510414</v>
      </c>
    </row>
    <row r="218" spans="1:6" x14ac:dyDescent="0.25">
      <c r="A218" s="99" t="s">
        <v>587</v>
      </c>
      <c r="B218" s="49">
        <v>268960013</v>
      </c>
      <c r="C218" s="49">
        <v>70608150</v>
      </c>
      <c r="D218" s="49">
        <v>128243866</v>
      </c>
      <c r="E218" s="50">
        <f>VLOOKUP($A218,'Data shares'!$C:$FA,154)*100</f>
        <v>19.470000000000002</v>
      </c>
      <c r="F218" s="173">
        <f>C218/B218</f>
        <v>0.26252285316479368</v>
      </c>
    </row>
    <row r="219" spans="1:6" x14ac:dyDescent="0.25">
      <c r="A219" s="99" t="s">
        <v>304</v>
      </c>
      <c r="B219" s="49">
        <v>340087358</v>
      </c>
      <c r="C219" s="49">
        <v>109299450</v>
      </c>
      <c r="D219" s="49">
        <v>49292045</v>
      </c>
      <c r="E219" s="50">
        <f>VLOOKUP($A219,'Data shares'!$C:$FA,154)*100</f>
        <v>32.51</v>
      </c>
      <c r="F219" s="173">
        <f>C219/B219</f>
        <v>0.32138639508028993</v>
      </c>
    </row>
    <row r="220" spans="1:6" x14ac:dyDescent="0.25">
      <c r="A220" s="99" t="s">
        <v>304</v>
      </c>
      <c r="B220" s="49">
        <v>340087358</v>
      </c>
      <c r="C220" s="49">
        <v>140760000</v>
      </c>
      <c r="D220" s="49">
        <v>78058155</v>
      </c>
      <c r="E220" s="50">
        <f>VLOOKUP($A220,'Data shares'!$C:$FA,154)*100</f>
        <v>32.51</v>
      </c>
      <c r="F220" s="173">
        <f>C220/B220</f>
        <v>0.41389365611173351</v>
      </c>
    </row>
    <row r="221" spans="1:6" x14ac:dyDescent="0.25">
      <c r="A221" s="99" t="s">
        <v>305</v>
      </c>
      <c r="B221" s="49">
        <v>46126252</v>
      </c>
      <c r="C221" s="49">
        <v>12050250</v>
      </c>
      <c r="D221" s="49">
        <v>562142812</v>
      </c>
      <c r="E221" s="50">
        <f>VLOOKUP($A221,'Data shares'!$C:$FA,154)*100</f>
        <v>26.39</v>
      </c>
      <c r="F221" s="173">
        <f>C221/B221</f>
        <v>0.26124494138392168</v>
      </c>
    </row>
    <row r="222" spans="1:6" x14ac:dyDescent="0.25">
      <c r="A222" s="99" t="s">
        <v>305</v>
      </c>
      <c r="B222" s="49">
        <v>46126252</v>
      </c>
      <c r="C222" s="49">
        <v>16713375</v>
      </c>
      <c r="D222" s="49">
        <v>570590784</v>
      </c>
      <c r="E222" s="50">
        <f>VLOOKUP($A222,'Data shares'!$C:$FA,154)*100</f>
        <v>26.39</v>
      </c>
      <c r="F222" s="173">
        <f>C222/B222</f>
        <v>0.36233975827908149</v>
      </c>
    </row>
    <row r="223" spans="1:6" x14ac:dyDescent="0.25">
      <c r="A223" s="99" t="s">
        <v>306</v>
      </c>
      <c r="B223" s="49">
        <v>570590784</v>
      </c>
      <c r="C223" s="49">
        <v>153711000</v>
      </c>
      <c r="D223" s="49">
        <v>60244101</v>
      </c>
      <c r="E223" s="50">
        <f>VLOOKUP($A223,'Data shares'!$C:$FA,154)*100</f>
        <v>27.250000000000004</v>
      </c>
      <c r="F223" s="173">
        <f>C223/B223</f>
        <v>0.26938920906230412</v>
      </c>
    </row>
    <row r="224" spans="1:6" x14ac:dyDescent="0.25">
      <c r="A224" s="99" t="s">
        <v>306</v>
      </c>
      <c r="B224" s="49">
        <v>570590784</v>
      </c>
      <c r="C224" s="49">
        <v>217095000</v>
      </c>
      <c r="D224" s="49">
        <v>289148547</v>
      </c>
      <c r="E224" s="50">
        <f>VLOOKUP($A224,'Data shares'!$C:$FA,154)*100</f>
        <v>27.250000000000004</v>
      </c>
      <c r="F224" s="173">
        <f>C224/B224</f>
        <v>0.38047407369271496</v>
      </c>
    </row>
    <row r="225" spans="1:6" x14ac:dyDescent="0.25">
      <c r="A225" s="99" t="s">
        <v>591</v>
      </c>
      <c r="B225" s="49">
        <v>6270823064</v>
      </c>
      <c r="C225" s="49">
        <v>1321750000</v>
      </c>
      <c r="D225" s="49">
        <v>10595418</v>
      </c>
      <c r="E225" s="50">
        <f>VLOOKUP($A225,'Data shares'!$C:$FA,154)*100</f>
        <v>21.279999999999998</v>
      </c>
      <c r="F225" s="173">
        <f>C225/B225</f>
        <v>0.2107777538148061</v>
      </c>
    </row>
    <row r="226" spans="1:6" x14ac:dyDescent="0.25">
      <c r="A226" s="99" t="s">
        <v>591</v>
      </c>
      <c r="B226" s="49">
        <v>6270823064</v>
      </c>
      <c r="C226" s="49">
        <v>1746918100</v>
      </c>
      <c r="D226" s="49">
        <v>91809066</v>
      </c>
      <c r="E226" s="50">
        <f>VLOOKUP($A226,'Data shares'!$C:$FA,154)*100</f>
        <v>21.279999999999998</v>
      </c>
      <c r="F226" s="173">
        <f>C226/B226</f>
        <v>0.2785787578713288</v>
      </c>
    </row>
    <row r="227" spans="1:6" x14ac:dyDescent="0.25">
      <c r="A227" s="99" t="s">
        <v>557</v>
      </c>
      <c r="B227" s="49">
        <v>50321935</v>
      </c>
      <c r="C227" s="49">
        <v>10726200</v>
      </c>
      <c r="D227" s="49">
        <v>128761832</v>
      </c>
      <c r="E227" s="50">
        <f>VLOOKUP($A227,'Data shares'!$C:$FA,154)*100</f>
        <v>21.560000000000002</v>
      </c>
      <c r="F227" s="173">
        <f>C227/B227</f>
        <v>0.21315158091595643</v>
      </c>
    </row>
    <row r="228" spans="1:6" x14ac:dyDescent="0.25">
      <c r="A228" s="99" t="s">
        <v>557</v>
      </c>
      <c r="B228" s="49">
        <v>50321935</v>
      </c>
      <c r="C228" s="49">
        <v>14832900</v>
      </c>
      <c r="D228" s="49">
        <v>27919827</v>
      </c>
      <c r="E228" s="50">
        <f>VLOOKUP($A228,'Data shares'!$C:$FA,154)*100</f>
        <v>21.560000000000002</v>
      </c>
      <c r="F228" s="173">
        <f>C228/B228</f>
        <v>0.29476012796407769</v>
      </c>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28">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topLeftCell="A14" zoomScaleNormal="100" workbookViewId="0">
      <selection activeCell="M70" sqref="M70"/>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580</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580</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580</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607</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607</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607</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610</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610</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610</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599</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599</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599</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590</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590</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590</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603</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603</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603</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585</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585</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585</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612</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612</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612</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598</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598</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598</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602</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602</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602</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613</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613</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613</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573</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573</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573</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601</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601</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601</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584</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584</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584</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632</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632</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632</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577</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577</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577</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609</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609</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609</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579</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579</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579</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595</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595</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595</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593</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593</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593</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571</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571</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571</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582</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582</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582</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581</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581</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581</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583</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583</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583</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611</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611</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611</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578</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578</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578</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608</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608</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608</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589</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589</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589</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604</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604</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604</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592</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592</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592</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586</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586</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586</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614</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614</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614</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588</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588</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588</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576</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576</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576</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574</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574</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574</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597</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597</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597</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606</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606</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606</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600</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600</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600</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615</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615</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615</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575</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575</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575</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605</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605</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605</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596</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596</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596</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594</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594</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594</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587</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587</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587</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591</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591</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591</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572</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572</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572</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90.62</v>
      </c>
      <c r="F6" s="49">
        <f>VLOOKUP($A6,'Data shares'!$C:$FA,129)</f>
        <v>13256000</v>
      </c>
      <c r="G6" s="17"/>
    </row>
    <row r="7" spans="1:7" x14ac:dyDescent="0.25">
      <c r="A7" s="101" t="s">
        <v>228</v>
      </c>
      <c r="B7" s="17">
        <v>292206563</v>
      </c>
      <c r="C7" s="17">
        <v>71903525</v>
      </c>
      <c r="D7" s="17">
        <f t="shared" ref="D7:D70" si="0">C7</f>
        <v>71903525</v>
      </c>
      <c r="E7" s="49">
        <f>VLOOKUP($A7,'Data shares'!$C:$FA,128)*100</f>
        <v>95.1</v>
      </c>
      <c r="F7" s="49">
        <f>VLOOKUP($A7,'Data shares'!$C:$FA,129)</f>
        <v>44408000</v>
      </c>
      <c r="G7" s="17"/>
    </row>
    <row r="8" spans="1:7" x14ac:dyDescent="0.25">
      <c r="A8" s="101" t="s">
        <v>200</v>
      </c>
      <c r="B8" s="17">
        <v>417418754</v>
      </c>
      <c r="C8" s="17">
        <v>109662000</v>
      </c>
      <c r="D8" s="17">
        <f t="shared" si="0"/>
        <v>109662000</v>
      </c>
      <c r="E8" s="49">
        <f>VLOOKUP($A8,'Data shares'!$C:$FA,128)*100</f>
        <v>87.78</v>
      </c>
      <c r="F8" s="49">
        <f>VLOOKUP($A8,'Data shares'!$C:$FA,129)</f>
        <v>64227600</v>
      </c>
      <c r="G8" s="17"/>
    </row>
    <row r="9" spans="1:7" x14ac:dyDescent="0.25">
      <c r="A9" s="101" t="s">
        <v>214</v>
      </c>
      <c r="B9" s="17">
        <v>30110093</v>
      </c>
      <c r="C9" s="17">
        <v>10703050</v>
      </c>
      <c r="D9" s="17">
        <f t="shared" si="0"/>
        <v>10703050</v>
      </c>
      <c r="E9" s="49">
        <f>VLOOKUP($A9,'Data shares'!$C:$FA,128)*100</f>
        <v>88.929999999999993</v>
      </c>
      <c r="F9" s="49">
        <f>VLOOKUP($A9,'Data shares'!$C:$FA,129)</f>
        <v>6586125</v>
      </c>
      <c r="G9" s="17"/>
    </row>
    <row r="10" spans="1:7" x14ac:dyDescent="0.25">
      <c r="A10" s="101" t="s">
        <v>243</v>
      </c>
      <c r="B10" s="17">
        <v>80699820</v>
      </c>
      <c r="C10" s="17">
        <v>65367500</v>
      </c>
      <c r="D10" s="17">
        <f t="shared" si="0"/>
        <v>65367500</v>
      </c>
      <c r="E10" s="49">
        <f>VLOOKUP($A10,'Data shares'!$C:$FA,128)*100</f>
        <v>68.83</v>
      </c>
      <c r="F10" s="49">
        <f>VLOOKUP($A10,'Data shares'!$C:$FA,129)</f>
        <v>10976250</v>
      </c>
      <c r="G10" s="17"/>
    </row>
    <row r="11" spans="1:7" x14ac:dyDescent="0.25">
      <c r="A11" s="101" t="s">
        <v>231</v>
      </c>
      <c r="B11" s="17">
        <v>80556813</v>
      </c>
      <c r="C11" s="17">
        <v>62967200</v>
      </c>
      <c r="D11" s="17">
        <f t="shared" si="0"/>
        <v>62967200</v>
      </c>
      <c r="E11" s="49">
        <f>VLOOKUP($A11,'Data shares'!$C:$FA,128)*100</f>
        <v>91.95</v>
      </c>
      <c r="F11" s="49">
        <f>VLOOKUP($A11,'Data shares'!$C:$FA,129)</f>
        <v>26107200</v>
      </c>
      <c r="G11" s="17"/>
    </row>
    <row r="12" spans="1:7" x14ac:dyDescent="0.25">
      <c r="A12" s="101" t="s">
        <v>195</v>
      </c>
      <c r="B12" s="17">
        <v>23823080</v>
      </c>
      <c r="C12" s="17">
        <v>2862400</v>
      </c>
      <c r="D12" s="17">
        <f t="shared" si="0"/>
        <v>2862400</v>
      </c>
      <c r="E12" s="49">
        <f>VLOOKUP($A12,'Data shares'!$C:$FA,128)*100</f>
        <v>96.399999999999991</v>
      </c>
      <c r="F12" s="49">
        <f>VLOOKUP($A12,'Data shares'!$C:$FA,129)</f>
        <v>2499375</v>
      </c>
      <c r="G12" s="17"/>
    </row>
    <row r="13" spans="1:7" x14ac:dyDescent="0.25">
      <c r="A13" s="101" t="s">
        <v>304</v>
      </c>
      <c r="B13" s="17">
        <v>223492679</v>
      </c>
      <c r="C13" s="17">
        <v>98465300</v>
      </c>
      <c r="D13" s="17">
        <f t="shared" si="0"/>
        <v>98465300</v>
      </c>
      <c r="E13" s="49">
        <f>VLOOKUP($A13,'Data shares'!$C:$FA,128)*100</f>
        <v>93.74</v>
      </c>
      <c r="F13" s="49">
        <f>VLOOKUP($A13,'Data shares'!$C:$FA,129)</f>
        <v>66985200</v>
      </c>
      <c r="G13" s="17"/>
    </row>
    <row r="14" spans="1:7" x14ac:dyDescent="0.25">
      <c r="A14" s="101" t="s">
        <v>167</v>
      </c>
      <c r="B14" s="17">
        <v>282181803</v>
      </c>
      <c r="C14" s="17">
        <v>95526000</v>
      </c>
      <c r="D14" s="17">
        <f t="shared" si="0"/>
        <v>95526000</v>
      </c>
      <c r="E14" s="49">
        <f>VLOOKUP($A14,'Data shares'!$C:$FA,128)*100</f>
        <v>96.12</v>
      </c>
      <c r="F14" s="49">
        <f>VLOOKUP($A14,'Data shares'!$C:$FA,129)</f>
        <v>74060000</v>
      </c>
      <c r="G14" s="17"/>
    </row>
    <row r="15" spans="1:7" x14ac:dyDescent="0.25">
      <c r="A15" s="101" t="s">
        <v>222</v>
      </c>
      <c r="B15" s="17">
        <v>214194964</v>
      </c>
      <c r="C15" s="17">
        <v>37437400</v>
      </c>
      <c r="D15" s="17">
        <f t="shared" si="0"/>
        <v>37437400</v>
      </c>
      <c r="E15" s="49">
        <f>VLOOKUP($A15,'Data shares'!$C:$FA,128)*100</f>
        <v>93.47999999999999</v>
      </c>
      <c r="F15" s="49">
        <f>VLOOKUP($A15,'Data shares'!$C:$FA,129)</f>
        <v>17813250</v>
      </c>
      <c r="G15" s="17"/>
    </row>
    <row r="16" spans="1:7" x14ac:dyDescent="0.25">
      <c r="A16" s="101" t="s">
        <v>290</v>
      </c>
      <c r="B16" s="17">
        <v>31601465</v>
      </c>
      <c r="C16" s="17">
        <v>13192000</v>
      </c>
      <c r="D16" s="17">
        <f t="shared" si="0"/>
        <v>13192000</v>
      </c>
      <c r="E16" s="49">
        <f>VLOOKUP($A16,'Data shares'!$C:$FA,128)*100</f>
        <v>88.38000000000001</v>
      </c>
      <c r="F16" s="49">
        <f>VLOOKUP($A16,'Data shares'!$C:$FA,129)</f>
        <v>6897800</v>
      </c>
      <c r="G16" s="17"/>
    </row>
    <row r="17" spans="1:7" x14ac:dyDescent="0.25">
      <c r="A17" s="101" t="s">
        <v>500</v>
      </c>
      <c r="B17" s="17">
        <v>24930381</v>
      </c>
      <c r="C17" s="17">
        <v>1925625</v>
      </c>
      <c r="D17" s="17">
        <f t="shared" si="0"/>
        <v>1925625</v>
      </c>
      <c r="E17" s="49">
        <f>VLOOKUP($A17,'Data shares'!$C:$FA,128)*100</f>
        <v>93.710000000000008</v>
      </c>
      <c r="F17" s="49">
        <f>VLOOKUP($A17,'Data shares'!$C:$FA,129)</f>
        <v>18128750</v>
      </c>
      <c r="G17" s="17"/>
    </row>
    <row r="18" spans="1:7" x14ac:dyDescent="0.25">
      <c r="A18" s="101" t="s">
        <v>491</v>
      </c>
      <c r="B18" s="17">
        <v>53841317</v>
      </c>
      <c r="C18" s="17">
        <v>9268750</v>
      </c>
      <c r="D18" s="17">
        <f t="shared" si="0"/>
        <v>9268750</v>
      </c>
      <c r="E18" s="49">
        <f>VLOOKUP($A18,'Data shares'!$C:$FA,128)*100</f>
        <v>96.82</v>
      </c>
      <c r="F18" s="49">
        <f>VLOOKUP($A18,'Data shares'!$C:$FA,129)</f>
        <v>11824250</v>
      </c>
      <c r="G18" s="17"/>
    </row>
    <row r="19" spans="1:7" x14ac:dyDescent="0.25">
      <c r="A19" s="101" t="s">
        <v>257</v>
      </c>
      <c r="B19" s="17">
        <v>43771086</v>
      </c>
      <c r="C19" s="17">
        <v>2865850</v>
      </c>
      <c r="D19" s="17">
        <f t="shared" si="0"/>
        <v>2865850</v>
      </c>
      <c r="E19" s="49">
        <f>VLOOKUP($A19,'Data shares'!$C:$FA,128)*100</f>
        <v>85.009999999999991</v>
      </c>
      <c r="F19" s="49">
        <f>VLOOKUP($A19,'Data shares'!$C:$FA,129)</f>
        <v>4978400</v>
      </c>
      <c r="G19" s="17"/>
    </row>
    <row r="20" spans="1:7" x14ac:dyDescent="0.25">
      <c r="A20" s="101" t="s">
        <v>259</v>
      </c>
      <c r="B20" s="17">
        <v>12838406</v>
      </c>
      <c r="C20" s="17">
        <v>3561800</v>
      </c>
      <c r="D20" s="17">
        <f t="shared" si="0"/>
        <v>3561800</v>
      </c>
      <c r="E20" s="49">
        <f>VLOOKUP($A20,'Data shares'!$C:$FA,128)*100</f>
        <v>85.14</v>
      </c>
      <c r="F20" s="49">
        <f>VLOOKUP($A20,'Data shares'!$C:$FA,129)</f>
        <v>1706600</v>
      </c>
      <c r="G20" s="17"/>
    </row>
    <row r="21" spans="1:7" x14ac:dyDescent="0.25">
      <c r="A21" s="101" t="s">
        <v>212</v>
      </c>
      <c r="B21" s="17">
        <v>393764205</v>
      </c>
      <c r="C21" s="17">
        <v>124730000</v>
      </c>
      <c r="D21" s="17">
        <f t="shared" si="0"/>
        <v>124730000</v>
      </c>
      <c r="E21" s="49">
        <f>VLOOKUP($A21,'Data shares'!$C:$FA,128)*100</f>
        <v>91.75</v>
      </c>
      <c r="F21" s="49">
        <f>VLOOKUP($A21,'Data shares'!$C:$FA,129)</f>
        <v>66135000</v>
      </c>
      <c r="G21" s="17"/>
    </row>
    <row r="22" spans="1:7" x14ac:dyDescent="0.25">
      <c r="A22" s="101" t="s">
        <v>209</v>
      </c>
      <c r="B22" s="17">
        <v>27768950</v>
      </c>
      <c r="C22" s="17">
        <v>5371100</v>
      </c>
      <c r="D22" s="17">
        <f t="shared" si="0"/>
        <v>5371100</v>
      </c>
      <c r="E22" s="49">
        <f>VLOOKUP($A22,'Data shares'!$C:$FA,128)*100</f>
        <v>93.14</v>
      </c>
      <c r="F22" s="49">
        <f>VLOOKUP($A22,'Data shares'!$C:$FA,129)</f>
        <v>2899400</v>
      </c>
      <c r="G22" s="17"/>
    </row>
    <row r="23" spans="1:7" x14ac:dyDescent="0.25">
      <c r="A23" s="101" t="s">
        <v>501</v>
      </c>
      <c r="B23" s="17">
        <v>155792872</v>
      </c>
      <c r="C23" s="17">
        <v>50166406</v>
      </c>
      <c r="D23" s="17">
        <f t="shared" si="0"/>
        <v>50166406</v>
      </c>
      <c r="E23" s="49">
        <f>VLOOKUP($A23,'Data shares'!$C:$FA,128)*100</f>
        <v>97.11999999999999</v>
      </c>
      <c r="F23" s="49">
        <f>VLOOKUP($A23,'Data shares'!$C:$FA,129)</f>
        <v>24240000</v>
      </c>
      <c r="G23" s="17"/>
    </row>
    <row r="24" spans="1:7" x14ac:dyDescent="0.25">
      <c r="A24" s="101" t="s">
        <v>276</v>
      </c>
      <c r="B24" s="17">
        <v>678857930</v>
      </c>
      <c r="C24" s="17">
        <v>84677374</v>
      </c>
      <c r="D24" s="17">
        <f t="shared" si="0"/>
        <v>84677374</v>
      </c>
      <c r="E24" s="49">
        <f>VLOOKUP($A24,'Data shares'!$C:$FA,128)*100</f>
        <v>89.11</v>
      </c>
      <c r="F24" s="49">
        <f>VLOOKUP($A24,'Data shares'!$C:$FA,129)</f>
        <v>66999700</v>
      </c>
      <c r="G24" s="17"/>
    </row>
    <row r="25" spans="1:7" x14ac:dyDescent="0.25">
      <c r="A25" s="101" t="s">
        <v>210</v>
      </c>
      <c r="B25" s="17">
        <v>14114257</v>
      </c>
      <c r="C25" s="17">
        <v>11000000</v>
      </c>
      <c r="D25" s="17">
        <f t="shared" si="0"/>
        <v>11000000</v>
      </c>
      <c r="E25" s="49">
        <f>VLOOKUP($A25,'Data shares'!$C:$FA,128)*100</f>
        <v>93.14</v>
      </c>
      <c r="F25" s="49">
        <f>VLOOKUP($A25,'Data shares'!$C:$FA,129)</f>
        <v>2899400</v>
      </c>
      <c r="G25" s="17"/>
    </row>
    <row r="26" spans="1:7" x14ac:dyDescent="0.25">
      <c r="A26" s="101" t="s">
        <v>267</v>
      </c>
      <c r="B26" s="17">
        <v>229794455</v>
      </c>
      <c r="C26" s="17">
        <v>133289800</v>
      </c>
      <c r="D26" s="17">
        <f t="shared" si="0"/>
        <v>133289800</v>
      </c>
      <c r="E26" s="49">
        <f>VLOOKUP($A26,'Data shares'!$C:$FA,128)*100</f>
        <v>87.78</v>
      </c>
      <c r="F26" s="49">
        <f>VLOOKUP($A26,'Data shares'!$C:$FA,129)</f>
        <v>210087000</v>
      </c>
      <c r="G26" s="17"/>
    </row>
    <row r="27" spans="1:7" x14ac:dyDescent="0.25">
      <c r="A27" s="101" t="s">
        <v>533</v>
      </c>
      <c r="B27" s="17">
        <v>61337685</v>
      </c>
      <c r="C27" s="17">
        <v>24741600</v>
      </c>
      <c r="D27" s="17">
        <f t="shared" si="0"/>
        <v>24741600</v>
      </c>
      <c r="E27" s="49">
        <f>VLOOKUP($A27,'Data shares'!$C:$FA,128)*100</f>
        <v>90.95</v>
      </c>
      <c r="F27" s="49">
        <f>VLOOKUP($A27,'Data shares'!$C:$FA,129)</f>
        <v>9010925</v>
      </c>
      <c r="G27" s="17"/>
    </row>
    <row r="28" spans="1:7" x14ac:dyDescent="0.25">
      <c r="A28" s="101" t="s">
        <v>502</v>
      </c>
      <c r="B28" s="17">
        <v>5165920</v>
      </c>
      <c r="C28" s="17">
        <v>1179400</v>
      </c>
      <c r="D28" s="17">
        <f t="shared" si="0"/>
        <v>1179400</v>
      </c>
      <c r="E28" s="49">
        <f>VLOOKUP($A28,'Data shares'!$C:$FA,128)*100</f>
        <v>87.59</v>
      </c>
      <c r="F28" s="49">
        <f>VLOOKUP($A28,'Data shares'!$C:$FA,129)</f>
        <v>1936625</v>
      </c>
      <c r="G28" s="17"/>
    </row>
    <row r="29" spans="1:7" x14ac:dyDescent="0.25">
      <c r="A29" s="101" t="s">
        <v>474</v>
      </c>
      <c r="B29" s="17">
        <v>7339737</v>
      </c>
      <c r="C29" s="17">
        <v>979625</v>
      </c>
      <c r="D29" s="17">
        <f t="shared" si="0"/>
        <v>979625</v>
      </c>
      <c r="E29" s="49">
        <f>VLOOKUP($A29,'Data shares'!$C:$FA,128)*100</f>
        <v>90.33</v>
      </c>
      <c r="F29" s="49">
        <f>VLOOKUP($A29,'Data shares'!$C:$FA,129)</f>
        <v>4204000</v>
      </c>
      <c r="G29" s="17"/>
    </row>
    <row r="30" spans="1:7" x14ac:dyDescent="0.25">
      <c r="A30" s="101" t="s">
        <v>158</v>
      </c>
      <c r="B30" s="17">
        <v>17078428</v>
      </c>
      <c r="C30" s="17">
        <v>3648750</v>
      </c>
      <c r="D30" s="17">
        <f t="shared" si="0"/>
        <v>3648750</v>
      </c>
      <c r="E30" s="49">
        <f>VLOOKUP($A30,'Data shares'!$C:$FA,128)*100</f>
        <v>0</v>
      </c>
      <c r="F30" s="49">
        <f>VLOOKUP($A30,'Data shares'!$C:$FA,129)</f>
        <v>0</v>
      </c>
      <c r="G30" s="17"/>
    </row>
    <row r="31" spans="1:7" x14ac:dyDescent="0.25">
      <c r="A31" s="101" t="s">
        <v>268</v>
      </c>
      <c r="B31" s="17">
        <v>948263976</v>
      </c>
      <c r="C31" s="17">
        <v>170042400</v>
      </c>
      <c r="D31" s="17">
        <f t="shared" si="0"/>
        <v>170042400</v>
      </c>
      <c r="E31" s="49">
        <f>VLOOKUP($A31,'Data shares'!$C:$FA,128)*100</f>
        <v>95.81</v>
      </c>
      <c r="F31" s="49">
        <f>VLOOKUP($A31,'Data shares'!$C:$FA,129)</f>
        <v>99030000</v>
      </c>
      <c r="G31" s="17"/>
    </row>
    <row r="32" spans="1:7" x14ac:dyDescent="0.25">
      <c r="A32" s="101" t="s">
        <v>557</v>
      </c>
      <c r="B32" s="17">
        <v>51441633</v>
      </c>
      <c r="C32" s="17">
        <v>26329600</v>
      </c>
      <c r="D32" s="17">
        <f t="shared" si="0"/>
        <v>26329600</v>
      </c>
      <c r="E32" s="49">
        <f>VLOOKUP($A32,'Data shares'!$C:$FA,128)*100</f>
        <v>94.98</v>
      </c>
      <c r="F32" s="49">
        <f>VLOOKUP($A32,'Data shares'!$C:$FA,129)</f>
        <v>7872300</v>
      </c>
      <c r="G32" s="17"/>
    </row>
    <row r="33" spans="1:7" x14ac:dyDescent="0.25">
      <c r="A33" s="101" t="s">
        <v>549</v>
      </c>
      <c r="B33" s="17">
        <v>319287188</v>
      </c>
      <c r="C33" s="17">
        <v>149780000</v>
      </c>
      <c r="D33" s="17">
        <f t="shared" si="0"/>
        <v>149780000</v>
      </c>
      <c r="E33" s="49">
        <f>VLOOKUP($A33,'Data shares'!$C:$FA,128)*100</f>
        <v>97.48</v>
      </c>
      <c r="F33" s="49">
        <f>VLOOKUP($A33,'Data shares'!$C:$FA,129)</f>
        <v>4700338950</v>
      </c>
      <c r="G33" s="17"/>
    </row>
    <row r="34" spans="1:7" x14ac:dyDescent="0.25">
      <c r="A34" s="101" t="s">
        <v>536</v>
      </c>
      <c r="B34" s="17">
        <v>57585215</v>
      </c>
      <c r="C34" s="17">
        <v>5314000</v>
      </c>
      <c r="D34" s="17">
        <f t="shared" si="0"/>
        <v>5314000</v>
      </c>
      <c r="E34" s="49">
        <f>VLOOKUP($A34,'Data shares'!$C:$FA,128)*100</f>
        <v>91.56</v>
      </c>
      <c r="F34" s="49">
        <f>VLOOKUP($A34,'Data shares'!$C:$FA,129)</f>
        <v>12990400</v>
      </c>
      <c r="G34" s="17"/>
    </row>
    <row r="35" spans="1:7" x14ac:dyDescent="0.25">
      <c r="A35" s="101" t="s">
        <v>270</v>
      </c>
      <c r="B35" s="17">
        <v>1178038</v>
      </c>
      <c r="C35" s="17">
        <v>100890</v>
      </c>
      <c r="D35" s="17">
        <f t="shared" si="0"/>
        <v>100890</v>
      </c>
      <c r="E35" s="49">
        <f>VLOOKUP($A35,'Data shares'!$C:$FA,128)*100</f>
        <v>88.72</v>
      </c>
      <c r="F35" s="49">
        <f>VLOOKUP($A35,'Data shares'!$C:$FA,129)</f>
        <v>261900</v>
      </c>
      <c r="G35" s="17"/>
    </row>
    <row r="36" spans="1:7" x14ac:dyDescent="0.25">
      <c r="A36" s="101" t="s">
        <v>258</v>
      </c>
      <c r="B36" s="17">
        <v>13335005</v>
      </c>
      <c r="C36" s="17">
        <v>5970600</v>
      </c>
      <c r="D36" s="17">
        <f t="shared" si="0"/>
        <v>5970600</v>
      </c>
      <c r="E36" s="49">
        <f>VLOOKUP($A36,'Data shares'!$C:$FA,128)*100</f>
        <v>0</v>
      </c>
      <c r="F36" s="49">
        <f>VLOOKUP($A36,'Data shares'!$C:$FA,129)</f>
        <v>0</v>
      </c>
      <c r="G36" s="17"/>
    </row>
    <row r="37" spans="1:7" x14ac:dyDescent="0.25">
      <c r="A37" s="101" t="s">
        <v>301</v>
      </c>
      <c r="B37" s="17">
        <v>14428803</v>
      </c>
      <c r="C37" s="17">
        <v>2171400</v>
      </c>
      <c r="D37" s="17">
        <f t="shared" si="0"/>
        <v>2171400</v>
      </c>
      <c r="E37" s="49">
        <f>VLOOKUP($A37,'Data shares'!$C:$FA,128)*100</f>
        <v>83.48</v>
      </c>
      <c r="F37" s="49">
        <f>VLOOKUP($A37,'Data shares'!$C:$FA,129)</f>
        <v>6473600</v>
      </c>
      <c r="G37" s="17"/>
    </row>
    <row r="38" spans="1:7" x14ac:dyDescent="0.25">
      <c r="A38" s="101" t="s">
        <v>283</v>
      </c>
      <c r="B38" s="17">
        <v>747713393</v>
      </c>
      <c r="C38" s="17">
        <v>158166000</v>
      </c>
      <c r="D38" s="17">
        <f t="shared" si="0"/>
        <v>158166000</v>
      </c>
      <c r="E38" s="49">
        <f>VLOOKUP($A38,'Data shares'!$C:$FA,128)*100</f>
        <v>92.24</v>
      </c>
      <c r="F38" s="49">
        <f>VLOOKUP($A38,'Data shares'!$C:$FA,129)</f>
        <v>94554000</v>
      </c>
      <c r="G38" s="17"/>
    </row>
    <row r="39" spans="1:7" x14ac:dyDescent="0.25">
      <c r="A39" s="101" t="s">
        <v>281</v>
      </c>
      <c r="B39" s="17">
        <v>648405756</v>
      </c>
      <c r="C39" s="17">
        <v>61815500</v>
      </c>
      <c r="D39" s="17">
        <f t="shared" si="0"/>
        <v>61815500</v>
      </c>
      <c r="E39" s="49">
        <f>VLOOKUP($A39,'Data shares'!$C:$FA,128)*100</f>
        <v>95.36</v>
      </c>
      <c r="F39" s="49">
        <f>VLOOKUP($A39,'Data shares'!$C:$FA,129)</f>
        <v>108264500</v>
      </c>
      <c r="G39" s="17"/>
    </row>
    <row r="40" spans="1:7" x14ac:dyDescent="0.25">
      <c r="A40" s="101" t="s">
        <v>198</v>
      </c>
      <c r="B40" s="17">
        <v>79546680</v>
      </c>
      <c r="C40" s="17">
        <v>13283750</v>
      </c>
      <c r="D40" s="17">
        <f t="shared" si="0"/>
        <v>13283750</v>
      </c>
      <c r="E40" s="49">
        <f>VLOOKUP($A40,'Data shares'!$C:$FA,128)*100</f>
        <v>94.67</v>
      </c>
      <c r="F40" s="49">
        <f>VLOOKUP($A40,'Data shares'!$C:$FA,129)</f>
        <v>10515000</v>
      </c>
      <c r="G40" s="17"/>
    </row>
    <row r="41" spans="1:7" x14ac:dyDescent="0.25">
      <c r="A41" s="101" t="s">
        <v>299</v>
      </c>
      <c r="B41" s="17">
        <v>44634693</v>
      </c>
      <c r="C41" s="17">
        <v>3805500</v>
      </c>
      <c r="D41" s="17">
        <f t="shared" si="0"/>
        <v>3805500</v>
      </c>
      <c r="E41" s="49">
        <f>VLOOKUP($A41,'Data shares'!$C:$FA,128)*100</f>
        <v>94.410000000000011</v>
      </c>
      <c r="F41" s="49">
        <f>VLOOKUP($A41,'Data shares'!$C:$FA,129)</f>
        <v>2300625</v>
      </c>
      <c r="G41" s="17"/>
    </row>
    <row r="42" spans="1:7" x14ac:dyDescent="0.25">
      <c r="A42" s="101" t="s">
        <v>273</v>
      </c>
      <c r="B42" s="17">
        <v>232357926</v>
      </c>
      <c r="C42" s="17">
        <v>67053000</v>
      </c>
      <c r="D42" s="17">
        <f t="shared" si="0"/>
        <v>67053000</v>
      </c>
      <c r="E42" s="49">
        <f>VLOOKUP($A42,'Data shares'!$C:$FA,128)*100</f>
        <v>88.79</v>
      </c>
      <c r="F42" s="49">
        <f>VLOOKUP($A42,'Data shares'!$C:$FA,129)</f>
        <v>40740700</v>
      </c>
      <c r="G42" s="17"/>
    </row>
    <row r="43" spans="1:7" x14ac:dyDescent="0.25">
      <c r="A43" s="101" t="s">
        <v>207</v>
      </c>
      <c r="B43" s="17">
        <v>124016568</v>
      </c>
      <c r="C43" s="17">
        <v>57530550</v>
      </c>
      <c r="D43" s="17">
        <f t="shared" si="0"/>
        <v>57530550</v>
      </c>
      <c r="E43" s="49">
        <f>VLOOKUP($A43,'Data shares'!$C:$FA,128)*100</f>
        <v>95.179999999999993</v>
      </c>
      <c r="F43" s="49">
        <f>VLOOKUP($A43,'Data shares'!$C:$FA,129)</f>
        <v>30555525</v>
      </c>
      <c r="G43" s="17"/>
    </row>
    <row r="44" spans="1:7" x14ac:dyDescent="0.25">
      <c r="A44" s="101" t="s">
        <v>191</v>
      </c>
      <c r="B44" s="17">
        <v>92946457</v>
      </c>
      <c r="C44" s="17">
        <v>36478000</v>
      </c>
      <c r="D44" s="17">
        <f t="shared" si="0"/>
        <v>36478000</v>
      </c>
      <c r="E44" s="49">
        <f>VLOOKUP($A44,'Data shares'!$C:$FA,128)*100</f>
        <v>92.78</v>
      </c>
      <c r="F44" s="49">
        <f>VLOOKUP($A44,'Data shares'!$C:$FA,129)</f>
        <v>31557500</v>
      </c>
      <c r="G44" s="17"/>
    </row>
    <row r="45" spans="1:7" x14ac:dyDescent="0.25">
      <c r="A45" s="101" t="s">
        <v>288</v>
      </c>
      <c r="B45" s="17">
        <v>218440087</v>
      </c>
      <c r="C45" s="17">
        <v>44080400</v>
      </c>
      <c r="D45" s="17">
        <f t="shared" si="0"/>
        <v>44080400</v>
      </c>
      <c r="E45" s="49">
        <f>VLOOKUP($A45,'Data shares'!$C:$FA,128)*100</f>
        <v>86.71</v>
      </c>
      <c r="F45" s="49">
        <f>VLOOKUP($A45,'Data shares'!$C:$FA,129)</f>
        <v>15968750</v>
      </c>
      <c r="G45" s="17"/>
    </row>
    <row r="46" spans="1:7" x14ac:dyDescent="0.25">
      <c r="A46" s="101" t="s">
        <v>275</v>
      </c>
      <c r="B46" s="17">
        <v>591377974</v>
      </c>
      <c r="C46" s="17">
        <v>493488000</v>
      </c>
      <c r="D46" s="17">
        <f t="shared" si="0"/>
        <v>493488000</v>
      </c>
      <c r="E46" s="49">
        <f>VLOOKUP($A46,'Data shares'!$C:$FA,128)*100</f>
        <v>92.320000000000007</v>
      </c>
      <c r="F46" s="49">
        <f>VLOOKUP($A46,'Data shares'!$C:$FA,129)</f>
        <v>208168000</v>
      </c>
      <c r="G46" s="17"/>
    </row>
    <row r="47" spans="1:7" x14ac:dyDescent="0.25">
      <c r="A47" s="101" t="s">
        <v>277</v>
      </c>
      <c r="B47" s="17">
        <v>10116165</v>
      </c>
      <c r="C47" s="17">
        <v>7378910</v>
      </c>
      <c r="D47" s="17">
        <f t="shared" si="0"/>
        <v>7378910</v>
      </c>
      <c r="E47" s="49">
        <f>VLOOKUP($A47,'Data shares'!$C:$FA,128)*100</f>
        <v>94.92</v>
      </c>
      <c r="F47" s="49">
        <f>VLOOKUP($A47,'Data shares'!$C:$FA,129)</f>
        <v>4782600</v>
      </c>
      <c r="G47" s="17"/>
    </row>
    <row r="48" spans="1:7" x14ac:dyDescent="0.25">
      <c r="A48" s="101" t="s">
        <v>196</v>
      </c>
      <c r="B48" s="17">
        <v>134484114</v>
      </c>
      <c r="C48" s="17">
        <v>73278000</v>
      </c>
      <c r="D48" s="17">
        <f t="shared" si="0"/>
        <v>73278000</v>
      </c>
      <c r="E48" s="49">
        <f>VLOOKUP($A48,'Data shares'!$C:$FA,128)*100</f>
        <v>87.02</v>
      </c>
      <c r="F48" s="49">
        <f>VLOOKUP($A48,'Data shares'!$C:$FA,129)</f>
        <v>182391750</v>
      </c>
      <c r="G48" s="17"/>
    </row>
    <row r="49" spans="1:7" x14ac:dyDescent="0.25">
      <c r="A49" s="101" t="s">
        <v>287</v>
      </c>
      <c r="B49" s="17">
        <v>40005132</v>
      </c>
      <c r="C49" s="17">
        <v>6264400</v>
      </c>
      <c r="D49" s="17">
        <f t="shared" si="0"/>
        <v>6264400</v>
      </c>
      <c r="E49" s="49">
        <f>VLOOKUP($A49,'Data shares'!$C:$FA,128)*100</f>
        <v>96.16</v>
      </c>
      <c r="F49" s="49">
        <f>VLOOKUP($A49,'Data shares'!$C:$FA,129)</f>
        <v>3310400</v>
      </c>
      <c r="G49" s="17"/>
    </row>
    <row r="50" spans="1:7" x14ac:dyDescent="0.25">
      <c r="A50" s="101" t="s">
        <v>553</v>
      </c>
      <c r="B50" s="17">
        <v>10595418</v>
      </c>
      <c r="C50" s="17">
        <v>250250</v>
      </c>
      <c r="D50" s="17">
        <f t="shared" si="0"/>
        <v>250250</v>
      </c>
      <c r="E50" s="49">
        <f>VLOOKUP($A50,'Data shares'!$C:$FA,128)*100</f>
        <v>94.179999999999993</v>
      </c>
      <c r="F50" s="49">
        <f>VLOOKUP($A50,'Data shares'!$C:$FA,129)</f>
        <v>2338875</v>
      </c>
      <c r="G50" s="17"/>
    </row>
    <row r="51" spans="1:7" x14ac:dyDescent="0.25">
      <c r="A51" s="101" t="s">
        <v>519</v>
      </c>
      <c r="B51" s="17">
        <v>9516271</v>
      </c>
      <c r="C51" s="17">
        <v>1000800</v>
      </c>
      <c r="D51" s="17">
        <f t="shared" si="0"/>
        <v>1000800</v>
      </c>
      <c r="E51" s="49">
        <f>VLOOKUP($A51,'Data shares'!$C:$FA,128)*100</f>
        <v>92.94</v>
      </c>
      <c r="F51" s="49">
        <f>VLOOKUP($A51,'Data shares'!$C:$FA,129)</f>
        <v>1629750</v>
      </c>
      <c r="G51" s="17"/>
    </row>
    <row r="52" spans="1:7" x14ac:dyDescent="0.25">
      <c r="A52" s="101" t="s">
        <v>550</v>
      </c>
      <c r="B52" s="17">
        <v>137684181</v>
      </c>
      <c r="C52" s="17">
        <v>42696000</v>
      </c>
      <c r="D52" s="17">
        <f t="shared" si="0"/>
        <v>42696000</v>
      </c>
      <c r="E52" s="49">
        <f>VLOOKUP($A52,'Data shares'!$C:$FA,128)*100</f>
        <v>87.76</v>
      </c>
      <c r="F52" s="49">
        <f>VLOOKUP($A52,'Data shares'!$C:$FA,129)</f>
        <v>42815500</v>
      </c>
      <c r="G52" s="17"/>
    </row>
    <row r="53" spans="1:7" x14ac:dyDescent="0.25">
      <c r="A53" s="101" t="s">
        <v>284</v>
      </c>
      <c r="B53" s="17">
        <v>2702190</v>
      </c>
      <c r="C53" s="17">
        <v>250575</v>
      </c>
      <c r="D53" s="17">
        <f t="shared" si="0"/>
        <v>250575</v>
      </c>
      <c r="E53" s="49">
        <f>VLOOKUP($A53,'Data shares'!$C:$FA,128)*100</f>
        <v>94.6</v>
      </c>
      <c r="F53" s="49">
        <f>VLOOKUP($A53,'Data shares'!$C:$FA,129)</f>
        <v>243875</v>
      </c>
      <c r="G53" s="17"/>
    </row>
    <row r="54" spans="1:7" x14ac:dyDescent="0.25">
      <c r="A54" s="101" t="s">
        <v>488</v>
      </c>
      <c r="B54" s="17">
        <v>5499709</v>
      </c>
      <c r="C54" s="17">
        <v>1097600</v>
      </c>
      <c r="D54" s="17">
        <f t="shared" si="0"/>
        <v>1097600</v>
      </c>
      <c r="E54" s="49">
        <f>VLOOKUP($A54,'Data shares'!$C:$FA,128)*100</f>
        <v>95.399999999999991</v>
      </c>
      <c r="F54" s="49">
        <f>VLOOKUP($A54,'Data shares'!$C:$FA,129)</f>
        <v>2440050</v>
      </c>
      <c r="G54" s="17"/>
    </row>
    <row r="55" spans="1:7" x14ac:dyDescent="0.25">
      <c r="A55" s="101" t="s">
        <v>523</v>
      </c>
      <c r="B55" s="17">
        <v>118085392</v>
      </c>
      <c r="C55" s="17">
        <v>6549400</v>
      </c>
      <c r="D55" s="17">
        <f t="shared" si="0"/>
        <v>6549400</v>
      </c>
      <c r="E55" s="49">
        <f>VLOOKUP($A55,'Data shares'!$C:$FA,128)*100</f>
        <v>98.25</v>
      </c>
      <c r="F55" s="49">
        <f>VLOOKUP($A55,'Data shares'!$C:$FA,129)</f>
        <v>36702000</v>
      </c>
      <c r="G55" s="17"/>
    </row>
    <row r="56" spans="1:7" x14ac:dyDescent="0.25">
      <c r="A56" s="101" t="s">
        <v>485</v>
      </c>
      <c r="B56" s="17">
        <v>6917069</v>
      </c>
      <c r="C56" s="17">
        <v>762075</v>
      </c>
      <c r="D56" s="17">
        <f t="shared" si="0"/>
        <v>762075</v>
      </c>
      <c r="E56" s="49">
        <f>VLOOKUP($A56,'Data shares'!$C:$FA,128)*100</f>
        <v>93.289999999999992</v>
      </c>
      <c r="F56" s="49">
        <f>VLOOKUP($A56,'Data shares'!$C:$FA,129)</f>
        <v>10717500</v>
      </c>
      <c r="G56" s="17"/>
    </row>
    <row r="57" spans="1:7" x14ac:dyDescent="0.25">
      <c r="A57" s="101" t="s">
        <v>178</v>
      </c>
      <c r="B57" s="17">
        <v>16125398</v>
      </c>
      <c r="C57" s="17">
        <v>1552600</v>
      </c>
      <c r="D57" s="17">
        <f t="shared" si="0"/>
        <v>1552600</v>
      </c>
      <c r="E57" s="49">
        <f>VLOOKUP($A57,'Data shares'!$C:$FA,128)*100</f>
        <v>0</v>
      </c>
      <c r="F57" s="49">
        <f>VLOOKUP($A57,'Data shares'!$C:$FA,129)</f>
        <v>0</v>
      </c>
      <c r="G57" s="17"/>
    </row>
    <row r="58" spans="1:7" x14ac:dyDescent="0.25">
      <c r="A58" s="101" t="s">
        <v>240</v>
      </c>
      <c r="B58" s="17">
        <v>727896180</v>
      </c>
      <c r="C58" s="17">
        <v>46526100</v>
      </c>
      <c r="D58" s="17">
        <f t="shared" si="0"/>
        <v>46526100</v>
      </c>
      <c r="E58" s="49">
        <f>VLOOKUP($A58,'Data shares'!$C:$FA,128)*100</f>
        <v>90.61</v>
      </c>
      <c r="F58" s="49">
        <f>VLOOKUP($A58,'Data shares'!$C:$FA,129)</f>
        <v>58644800</v>
      </c>
      <c r="G58" s="17"/>
    </row>
    <row r="59" spans="1:7" x14ac:dyDescent="0.25">
      <c r="A59" s="101" t="s">
        <v>202</v>
      </c>
      <c r="B59" s="17">
        <v>55081874</v>
      </c>
      <c r="C59" s="17">
        <v>10856000</v>
      </c>
      <c r="D59" s="17">
        <f t="shared" si="0"/>
        <v>10856000</v>
      </c>
      <c r="E59" s="49">
        <f>VLOOKUP($A59,'Data shares'!$C:$FA,128)*100</f>
        <v>93.710000000000008</v>
      </c>
      <c r="F59" s="49">
        <f>VLOOKUP($A59,'Data shares'!$C:$FA,129)</f>
        <v>18128750</v>
      </c>
      <c r="G59" s="17"/>
    </row>
    <row r="60" spans="1:7" x14ac:dyDescent="0.25">
      <c r="A60" s="101" t="s">
        <v>245</v>
      </c>
      <c r="B60" s="17">
        <v>15273675</v>
      </c>
      <c r="C60" s="17">
        <v>5077125</v>
      </c>
      <c r="D60" s="17">
        <f t="shared" si="0"/>
        <v>5077125</v>
      </c>
      <c r="E60" s="49">
        <f>VLOOKUP($A60,'Data shares'!$C:$FA,128)*100</f>
        <v>96.350000000000009</v>
      </c>
      <c r="F60" s="49">
        <f>VLOOKUP($A60,'Data shares'!$C:$FA,129)</f>
        <v>18372500</v>
      </c>
      <c r="G60" s="17"/>
    </row>
    <row r="61" spans="1:7" x14ac:dyDescent="0.25">
      <c r="A61" s="101" t="s">
        <v>173</v>
      </c>
      <c r="B61" s="17">
        <v>541823383</v>
      </c>
      <c r="C61" s="17">
        <v>95378400</v>
      </c>
      <c r="D61" s="17">
        <f t="shared" si="0"/>
        <v>95378400</v>
      </c>
      <c r="E61" s="49">
        <f>VLOOKUP($A61,'Data shares'!$C:$FA,128)*100</f>
        <v>96.73</v>
      </c>
      <c r="F61" s="49">
        <f>VLOOKUP($A61,'Data shares'!$C:$FA,129)</f>
        <v>86887500</v>
      </c>
      <c r="G61" s="17"/>
    </row>
    <row r="62" spans="1:7" x14ac:dyDescent="0.25">
      <c r="A62" s="101" t="s">
        <v>234</v>
      </c>
      <c r="B62" s="17">
        <v>1606294231</v>
      </c>
      <c r="C62" s="17">
        <v>1302000000</v>
      </c>
      <c r="D62" s="17">
        <f t="shared" si="0"/>
        <v>1302000000</v>
      </c>
      <c r="E62" s="49">
        <f>VLOOKUP($A62,'Data shares'!$C:$FA,128)*100</f>
        <v>97.48</v>
      </c>
      <c r="F62" s="49">
        <f>VLOOKUP($A62,'Data shares'!$C:$FA,129)</f>
        <v>4700338950</v>
      </c>
      <c r="G62" s="17"/>
    </row>
    <row r="63" spans="1:7" x14ac:dyDescent="0.25">
      <c r="A63" s="101" t="s">
        <v>235</v>
      </c>
      <c r="B63" s="17">
        <v>789260827</v>
      </c>
      <c r="C63" s="17">
        <v>462303900</v>
      </c>
      <c r="D63" s="17">
        <f t="shared" si="0"/>
        <v>462303900</v>
      </c>
      <c r="E63" s="49">
        <f>VLOOKUP($A63,'Data shares'!$C:$FA,128)*100</f>
        <v>96.38</v>
      </c>
      <c r="F63" s="49">
        <f>VLOOKUP($A63,'Data shares'!$C:$FA,129)</f>
        <v>331562700</v>
      </c>
      <c r="G63" s="17"/>
    </row>
    <row r="64" spans="1:7" x14ac:dyDescent="0.25">
      <c r="A64" s="101" t="s">
        <v>482</v>
      </c>
      <c r="B64" s="17">
        <v>44785930</v>
      </c>
      <c r="C64" s="17">
        <v>4025925</v>
      </c>
      <c r="D64" s="17">
        <f t="shared" si="0"/>
        <v>4025925</v>
      </c>
      <c r="E64" s="49">
        <f>VLOOKUP($A64,'Data shares'!$C:$FA,128)*100</f>
        <v>88.88000000000001</v>
      </c>
      <c r="F64" s="49">
        <f>VLOOKUP($A64,'Data shares'!$C:$FA,129)</f>
        <v>6291700</v>
      </c>
      <c r="G64" s="17"/>
    </row>
    <row r="65" spans="1:7" x14ac:dyDescent="0.25">
      <c r="A65" s="101" t="s">
        <v>475</v>
      </c>
      <c r="B65" s="17">
        <v>13287700</v>
      </c>
      <c r="C65" s="17">
        <v>3968400</v>
      </c>
      <c r="D65" s="17">
        <f t="shared" si="0"/>
        <v>3968400</v>
      </c>
      <c r="E65" s="49">
        <f>VLOOKUP($A65,'Data shares'!$C:$FA,128)*100</f>
        <v>92.789999999999992</v>
      </c>
      <c r="F65" s="49">
        <f>VLOOKUP($A65,'Data shares'!$C:$FA,129)</f>
        <v>2265600</v>
      </c>
      <c r="G65" s="17"/>
    </row>
    <row r="66" spans="1:7" x14ac:dyDescent="0.25">
      <c r="A66" s="101" t="s">
        <v>306</v>
      </c>
      <c r="B66" s="17">
        <v>292716179</v>
      </c>
      <c r="C66" s="17">
        <v>57797600</v>
      </c>
      <c r="D66" s="17">
        <f t="shared" si="0"/>
        <v>57797600</v>
      </c>
      <c r="E66" s="49">
        <f>VLOOKUP($A66,'Data shares'!$C:$FA,128)*100</f>
        <v>92.84</v>
      </c>
      <c r="F66" s="49">
        <f>VLOOKUP($A66,'Data shares'!$C:$FA,129)</f>
        <v>102804000</v>
      </c>
      <c r="G66" s="17"/>
    </row>
    <row r="67" spans="1:7" x14ac:dyDescent="0.25">
      <c r="A67" s="101" t="s">
        <v>262</v>
      </c>
      <c r="B67" s="17">
        <v>21376133</v>
      </c>
      <c r="C67" s="17">
        <v>5958375</v>
      </c>
      <c r="D67" s="17">
        <f t="shared" si="0"/>
        <v>5958375</v>
      </c>
      <c r="E67" s="49">
        <f>VLOOKUP($A67,'Data shares'!$C:$FA,128)*100</f>
        <v>61.539999999999992</v>
      </c>
      <c r="F67" s="49">
        <f>VLOOKUP($A67,'Data shares'!$C:$FA,129)</f>
        <v>3087975</v>
      </c>
      <c r="G67" s="17"/>
    </row>
    <row r="68" spans="1:7" x14ac:dyDescent="0.25">
      <c r="A68" s="101" t="s">
        <v>174</v>
      </c>
      <c r="B68" s="17">
        <v>26775498</v>
      </c>
      <c r="C68" s="17">
        <v>3494750</v>
      </c>
      <c r="D68" s="17">
        <f t="shared" si="0"/>
        <v>3494750</v>
      </c>
      <c r="E68" s="49">
        <f>VLOOKUP($A68,'Data shares'!$C:$FA,128)*100</f>
        <v>92.52</v>
      </c>
      <c r="F68" s="49">
        <f>VLOOKUP($A68,'Data shares'!$C:$FA,129)</f>
        <v>2407425</v>
      </c>
      <c r="G68" s="17"/>
    </row>
    <row r="69" spans="1:7" x14ac:dyDescent="0.25">
      <c r="A69" s="101" t="s">
        <v>286</v>
      </c>
      <c r="B69" s="17">
        <v>29168705</v>
      </c>
      <c r="C69" s="17">
        <v>6373125</v>
      </c>
      <c r="D69" s="17">
        <f t="shared" si="0"/>
        <v>6373125</v>
      </c>
      <c r="E69" s="49">
        <f>VLOOKUP($A69,'Data shares'!$C:$FA,128)*100</f>
        <v>96.16</v>
      </c>
      <c r="F69" s="49">
        <f>VLOOKUP($A69,'Data shares'!$C:$FA,129)</f>
        <v>3310400</v>
      </c>
      <c r="G69" s="17"/>
    </row>
    <row r="70" spans="1:7" x14ac:dyDescent="0.25">
      <c r="A70" s="101" t="s">
        <v>297</v>
      </c>
      <c r="B70" s="17">
        <v>83636848</v>
      </c>
      <c r="C70" s="17">
        <v>13455750</v>
      </c>
      <c r="D70" s="17">
        <f t="shared" si="0"/>
        <v>13455750</v>
      </c>
      <c r="E70" s="49">
        <f>VLOOKUP($A70,'Data shares'!$C:$FA,128)*100</f>
        <v>95.11</v>
      </c>
      <c r="F70" s="49">
        <f>VLOOKUP($A70,'Data shares'!$C:$FA,129)</f>
        <v>8842575</v>
      </c>
      <c r="G70" s="17"/>
    </row>
    <row r="71" spans="1:7" x14ac:dyDescent="0.25">
      <c r="A71" s="101" t="s">
        <v>302</v>
      </c>
      <c r="B71" s="17">
        <v>23058222</v>
      </c>
      <c r="C71" s="17">
        <v>3980500</v>
      </c>
      <c r="D71" s="17">
        <f t="shared" ref="D71:D134" si="1">C71</f>
        <v>3980500</v>
      </c>
      <c r="E71" s="49">
        <f>VLOOKUP($A71,'Data shares'!$C:$FA,128)*100</f>
        <v>98.18</v>
      </c>
      <c r="F71" s="49">
        <f>VLOOKUP($A71,'Data shares'!$C:$FA,129)</f>
        <v>2420550</v>
      </c>
      <c r="G71" s="17"/>
    </row>
    <row r="72" spans="1:7" x14ac:dyDescent="0.25">
      <c r="A72" s="101" t="s">
        <v>307</v>
      </c>
      <c r="B72" s="17">
        <v>184439886</v>
      </c>
      <c r="C72" s="17">
        <v>122460000</v>
      </c>
      <c r="D72" s="17">
        <f t="shared" si="1"/>
        <v>122460000</v>
      </c>
      <c r="E72" s="49">
        <f>VLOOKUP($A72,'Data shares'!$C:$FA,128)*100</f>
        <v>87.949999999999989</v>
      </c>
      <c r="F72" s="49">
        <f>VLOOKUP($A72,'Data shares'!$C:$FA,129)</f>
        <v>693841000</v>
      </c>
      <c r="G72" s="17"/>
    </row>
    <row r="73" spans="1:7" x14ac:dyDescent="0.25">
      <c r="A73" s="101" t="s">
        <v>177</v>
      </c>
      <c r="B73" s="17">
        <v>52956314</v>
      </c>
      <c r="C73" s="17">
        <v>7784625</v>
      </c>
      <c r="D73" s="17">
        <f t="shared" si="1"/>
        <v>7784625</v>
      </c>
      <c r="E73" s="49">
        <f>VLOOKUP($A73,'Data shares'!$C:$FA,128)*100</f>
        <v>97.11</v>
      </c>
      <c r="F73" s="49">
        <f>VLOOKUP($A73,'Data shares'!$C:$FA,129)</f>
        <v>81006750</v>
      </c>
      <c r="G73" s="17"/>
    </row>
    <row r="74" spans="1:7" x14ac:dyDescent="0.25">
      <c r="A74" s="101" t="s">
        <v>545</v>
      </c>
      <c r="B74" s="17">
        <v>23498849</v>
      </c>
      <c r="C74" s="17">
        <v>15745600</v>
      </c>
      <c r="D74" s="17">
        <f t="shared" si="1"/>
        <v>15745600</v>
      </c>
      <c r="E74" s="49">
        <f>VLOOKUP($A74,'Data shares'!$C:$FA,128)*100</f>
        <v>0</v>
      </c>
      <c r="F74" s="49">
        <f>VLOOKUP($A74,'Data shares'!$C:$FA,129)</f>
        <v>0</v>
      </c>
      <c r="G74" s="17"/>
    </row>
    <row r="75" spans="1:7" x14ac:dyDescent="0.25">
      <c r="A75" s="101" t="s">
        <v>185</v>
      </c>
      <c r="B75" s="17">
        <v>238123793</v>
      </c>
      <c r="C75" s="17">
        <v>59926000</v>
      </c>
      <c r="D75" s="17">
        <f t="shared" si="1"/>
        <v>59926000</v>
      </c>
      <c r="E75" s="49">
        <f>VLOOKUP($A75,'Data shares'!$C:$FA,128)*100</f>
        <v>93.44</v>
      </c>
      <c r="F75" s="49">
        <f>VLOOKUP($A75,'Data shares'!$C:$FA,129)</f>
        <v>100314300</v>
      </c>
      <c r="G75" s="17"/>
    </row>
    <row r="76" spans="1:7" x14ac:dyDescent="0.25">
      <c r="A76" s="101" t="s">
        <v>219</v>
      </c>
      <c r="B76" s="17">
        <v>75317259</v>
      </c>
      <c r="C76" s="17">
        <v>12188500</v>
      </c>
      <c r="D76" s="17">
        <f t="shared" si="1"/>
        <v>12188500</v>
      </c>
      <c r="E76" s="49">
        <f>VLOOKUP($A76,'Data shares'!$C:$FA,128)*100</f>
        <v>96.82</v>
      </c>
      <c r="F76" s="49">
        <f>VLOOKUP($A76,'Data shares'!$C:$FA,129)</f>
        <v>11824250</v>
      </c>
      <c r="G76" s="17"/>
    </row>
    <row r="77" spans="1:7" x14ac:dyDescent="0.25">
      <c r="A77" s="101" t="s">
        <v>534</v>
      </c>
      <c r="B77" s="17">
        <v>70381221</v>
      </c>
      <c r="C77" s="17">
        <v>3354100</v>
      </c>
      <c r="D77" s="17">
        <f t="shared" si="1"/>
        <v>3354100</v>
      </c>
      <c r="E77" s="49">
        <f>VLOOKUP($A77,'Data shares'!$C:$FA,128)*100</f>
        <v>96.82</v>
      </c>
      <c r="F77" s="49">
        <f>VLOOKUP($A77,'Data shares'!$C:$FA,129)</f>
        <v>11824250</v>
      </c>
      <c r="G77" s="17"/>
    </row>
    <row r="78" spans="1:7" x14ac:dyDescent="0.25">
      <c r="A78" s="101" t="s">
        <v>516</v>
      </c>
      <c r="B78" s="17">
        <v>27254349</v>
      </c>
      <c r="C78" s="17">
        <v>1133550</v>
      </c>
      <c r="D78" s="17">
        <f t="shared" si="1"/>
        <v>1133550</v>
      </c>
      <c r="E78" s="49">
        <f>VLOOKUP($A78,'Data shares'!$C:$FA,128)*100</f>
        <v>71.39</v>
      </c>
      <c r="F78" s="49">
        <f>VLOOKUP($A78,'Data shares'!$C:$FA,129)</f>
        <v>63706500</v>
      </c>
      <c r="G78" s="17"/>
    </row>
    <row r="79" spans="1:7" x14ac:dyDescent="0.25">
      <c r="A79" s="101" t="s">
        <v>271</v>
      </c>
      <c r="B79" s="17">
        <v>26746179</v>
      </c>
      <c r="C79" s="17">
        <v>5445825</v>
      </c>
      <c r="D79" s="17">
        <f t="shared" si="1"/>
        <v>5445825</v>
      </c>
      <c r="E79" s="49">
        <f>VLOOKUP($A79,'Data shares'!$C:$FA,128)*100</f>
        <v>0</v>
      </c>
      <c r="F79" s="49">
        <f>VLOOKUP($A79,'Data shares'!$C:$FA,129)</f>
        <v>0</v>
      </c>
      <c r="G79" s="17"/>
    </row>
    <row r="80" spans="1:7" x14ac:dyDescent="0.25">
      <c r="A80" s="101" t="s">
        <v>264</v>
      </c>
      <c r="B80" s="17">
        <v>15844192</v>
      </c>
      <c r="C80" s="17">
        <v>2354125</v>
      </c>
      <c r="D80" s="17">
        <f t="shared" si="1"/>
        <v>2354125</v>
      </c>
      <c r="E80" s="49">
        <f>VLOOKUP($A80,'Data shares'!$C:$FA,128)*100</f>
        <v>93.289999999999992</v>
      </c>
      <c r="F80" s="49">
        <f>VLOOKUP($A80,'Data shares'!$C:$FA,129)</f>
        <v>10717500</v>
      </c>
      <c r="G80" s="17"/>
    </row>
    <row r="81" spans="1:7" x14ac:dyDescent="0.25">
      <c r="A81" s="101" t="s">
        <v>208</v>
      </c>
      <c r="B81" s="17">
        <v>24296838</v>
      </c>
      <c r="C81" s="17">
        <v>5125750</v>
      </c>
      <c r="D81" s="17">
        <f t="shared" si="1"/>
        <v>5125750</v>
      </c>
      <c r="E81" s="49">
        <f>VLOOKUP($A81,'Data shares'!$C:$FA,128)*100</f>
        <v>91.02</v>
      </c>
      <c r="F81" s="49">
        <f>VLOOKUP($A81,'Data shares'!$C:$FA,129)</f>
        <v>10309375</v>
      </c>
      <c r="G81" s="17"/>
    </row>
    <row r="82" spans="1:7" x14ac:dyDescent="0.25">
      <c r="A82" s="101" t="s">
        <v>552</v>
      </c>
      <c r="B82" s="17">
        <v>23447901</v>
      </c>
      <c r="C82" s="17">
        <v>3785600</v>
      </c>
      <c r="D82" s="17">
        <f t="shared" si="1"/>
        <v>3785600</v>
      </c>
      <c r="E82" s="49">
        <f>VLOOKUP($A82,'Data shares'!$C:$FA,128)*100</f>
        <v>0</v>
      </c>
      <c r="F82" s="49">
        <f>VLOOKUP($A82,'Data shares'!$C:$FA,129)</f>
        <v>0</v>
      </c>
      <c r="G82" s="17"/>
    </row>
    <row r="83" spans="1:7" x14ac:dyDescent="0.25">
      <c r="A83" s="101" t="s">
        <v>204</v>
      </c>
      <c r="B83" s="17">
        <v>115362060</v>
      </c>
      <c r="C83" s="17">
        <v>19043750</v>
      </c>
      <c r="D83" s="17">
        <f t="shared" si="1"/>
        <v>19043750</v>
      </c>
      <c r="E83" s="49">
        <f>VLOOKUP($A83,'Data shares'!$C:$FA,128)*100</f>
        <v>94.52000000000001</v>
      </c>
      <c r="F83" s="49">
        <f>VLOOKUP($A83,'Data shares'!$C:$FA,129)</f>
        <v>16102500</v>
      </c>
      <c r="G83" s="17"/>
    </row>
    <row r="84" spans="1:7" x14ac:dyDescent="0.25">
      <c r="A84" s="101" t="s">
        <v>528</v>
      </c>
      <c r="B84" s="17">
        <v>23485458</v>
      </c>
      <c r="C84" s="17">
        <v>4272800</v>
      </c>
      <c r="D84" s="17">
        <f t="shared" si="1"/>
        <v>4272800</v>
      </c>
      <c r="E84" s="49">
        <f>VLOOKUP($A84,'Data shares'!$C:$FA,128)*100</f>
        <v>89.44</v>
      </c>
      <c r="F84" s="49">
        <f>VLOOKUP($A84,'Data shares'!$C:$FA,129)</f>
        <v>4431700</v>
      </c>
      <c r="G84" s="17"/>
    </row>
    <row r="85" spans="1:7" x14ac:dyDescent="0.25">
      <c r="A85" s="101" t="s">
        <v>551</v>
      </c>
      <c r="B85" s="17">
        <v>39593365</v>
      </c>
      <c r="C85" s="17">
        <v>12215000</v>
      </c>
      <c r="D85" s="17">
        <f t="shared" si="1"/>
        <v>12215000</v>
      </c>
      <c r="E85" s="49">
        <f>VLOOKUP($A85,'Data shares'!$C:$FA,128)*100</f>
        <v>94.92</v>
      </c>
      <c r="F85" s="49">
        <f>VLOOKUP($A85,'Data shares'!$C:$FA,129)</f>
        <v>4782600</v>
      </c>
      <c r="G85" s="17"/>
    </row>
    <row r="86" spans="1:7" x14ac:dyDescent="0.25">
      <c r="A86" s="101" t="s">
        <v>292</v>
      </c>
      <c r="B86" s="17">
        <v>355933451</v>
      </c>
      <c r="C86" s="17">
        <v>204117000</v>
      </c>
      <c r="D86" s="17">
        <f t="shared" si="1"/>
        <v>204117000</v>
      </c>
      <c r="E86" s="49">
        <f>VLOOKUP($A86,'Data shares'!$C:$FA,128)*100</f>
        <v>95.07</v>
      </c>
      <c r="F86" s="49">
        <f>VLOOKUP($A86,'Data shares'!$C:$FA,129)</f>
        <v>67136000</v>
      </c>
      <c r="G86" s="17"/>
    </row>
    <row r="87" spans="1:7" x14ac:dyDescent="0.25">
      <c r="A87" s="101" t="s">
        <v>239</v>
      </c>
      <c r="B87" s="17">
        <v>117569462</v>
      </c>
      <c r="C87" s="17">
        <v>39785400</v>
      </c>
      <c r="D87" s="17">
        <f t="shared" si="1"/>
        <v>39785400</v>
      </c>
      <c r="E87" s="49">
        <f>VLOOKUP($A87,'Data shares'!$C:$FA,128)*100</f>
        <v>94.87</v>
      </c>
      <c r="F87" s="49">
        <f>VLOOKUP($A87,'Data shares'!$C:$FA,129)</f>
        <v>39686500</v>
      </c>
      <c r="G87" s="17"/>
    </row>
    <row r="88" spans="1:7" x14ac:dyDescent="0.25">
      <c r="A88" s="101" t="s">
        <v>513</v>
      </c>
      <c r="B88" s="17">
        <v>16619018</v>
      </c>
      <c r="C88" s="17">
        <v>3155425</v>
      </c>
      <c r="D88" s="17">
        <f t="shared" si="1"/>
        <v>3155425</v>
      </c>
      <c r="E88" s="49">
        <f>VLOOKUP($A88,'Data shares'!$C:$FA,128)*100</f>
        <v>91.5</v>
      </c>
      <c r="F88" s="49">
        <f>VLOOKUP($A88,'Data shares'!$C:$FA,129)</f>
        <v>7582050</v>
      </c>
      <c r="G88" s="17"/>
    </row>
    <row r="89" spans="1:7" x14ac:dyDescent="0.25">
      <c r="A89" s="101" t="s">
        <v>224</v>
      </c>
      <c r="B89" s="17">
        <v>669931623</v>
      </c>
      <c r="C89" s="17">
        <v>82663350</v>
      </c>
      <c r="D89" s="17">
        <f t="shared" si="1"/>
        <v>82663350</v>
      </c>
      <c r="E89" s="49">
        <f>VLOOKUP($A89,'Data shares'!$C:$FA,128)*100</f>
        <v>98.11999999999999</v>
      </c>
      <c r="F89" s="49">
        <f>VLOOKUP($A89,'Data shares'!$C:$FA,129)</f>
        <v>93333900</v>
      </c>
      <c r="G89" s="17"/>
    </row>
    <row r="90" spans="1:7" x14ac:dyDescent="0.25">
      <c r="A90" s="101" t="s">
        <v>232</v>
      </c>
      <c r="B90" s="17">
        <v>1110506052</v>
      </c>
      <c r="C90" s="17">
        <v>174065375</v>
      </c>
      <c r="D90" s="17">
        <f t="shared" si="1"/>
        <v>174065375</v>
      </c>
      <c r="E90" s="49">
        <f>VLOOKUP($A90,'Data shares'!$C:$FA,128)*100</f>
        <v>96.08</v>
      </c>
      <c r="F90" s="49">
        <f>VLOOKUP($A90,'Data shares'!$C:$FA,129)</f>
        <v>87707900</v>
      </c>
      <c r="G90" s="17"/>
    </row>
    <row r="91" spans="1:7" x14ac:dyDescent="0.25">
      <c r="A91" s="101" t="s">
        <v>223</v>
      </c>
      <c r="B91" s="17">
        <v>362202362</v>
      </c>
      <c r="C91" s="17">
        <v>34249800</v>
      </c>
      <c r="D91" s="17">
        <f t="shared" si="1"/>
        <v>34249800</v>
      </c>
      <c r="E91" s="49">
        <f>VLOOKUP($A91,'Data shares'!$C:$FA,128)*100</f>
        <v>93.47999999999999</v>
      </c>
      <c r="F91" s="49">
        <f>VLOOKUP($A91,'Data shares'!$C:$FA,129)</f>
        <v>17813250</v>
      </c>
      <c r="G91" s="17"/>
    </row>
    <row r="92" spans="1:7" x14ac:dyDescent="0.25">
      <c r="A92" s="101" t="s">
        <v>218</v>
      </c>
      <c r="B92" s="17">
        <v>23110810</v>
      </c>
      <c r="C92" s="17">
        <v>6940375</v>
      </c>
      <c r="D92" s="17">
        <f t="shared" si="1"/>
        <v>6940375</v>
      </c>
      <c r="E92" s="49">
        <f>VLOOKUP($A92,'Data shares'!$C:$FA,128)*100</f>
        <v>95.21</v>
      </c>
      <c r="F92" s="49">
        <f>VLOOKUP($A92,'Data shares'!$C:$FA,129)</f>
        <v>5962825</v>
      </c>
      <c r="G92" s="17"/>
    </row>
    <row r="93" spans="1:7" x14ac:dyDescent="0.25">
      <c r="A93" s="101" t="s">
        <v>236</v>
      </c>
      <c r="B93" s="17">
        <v>77000080</v>
      </c>
      <c r="C93" s="17">
        <v>25785375</v>
      </c>
      <c r="D93" s="17">
        <f t="shared" si="1"/>
        <v>25785375</v>
      </c>
      <c r="E93" s="49">
        <f>VLOOKUP($A93,'Data shares'!$C:$FA,128)*100</f>
        <v>92.63</v>
      </c>
      <c r="F93" s="49">
        <f>VLOOKUP($A93,'Data shares'!$C:$FA,129)</f>
        <v>15125000</v>
      </c>
      <c r="G93" s="17"/>
    </row>
    <row r="94" spans="1:7" x14ac:dyDescent="0.25">
      <c r="A94" s="101" t="s">
        <v>246</v>
      </c>
      <c r="B94" s="17">
        <v>293666614</v>
      </c>
      <c r="C94" s="17">
        <v>30730800</v>
      </c>
      <c r="D94" s="17">
        <f t="shared" si="1"/>
        <v>30730800</v>
      </c>
      <c r="E94" s="49">
        <f>VLOOKUP($A94,'Data shares'!$C:$FA,128)*100</f>
        <v>89.98</v>
      </c>
      <c r="F94" s="49">
        <f>VLOOKUP($A94,'Data shares'!$C:$FA,129)</f>
        <v>27254000</v>
      </c>
      <c r="G94" s="17"/>
    </row>
    <row r="95" spans="1:7" x14ac:dyDescent="0.25">
      <c r="A95" s="101" t="s">
        <v>532</v>
      </c>
      <c r="B95" s="17">
        <v>32892110</v>
      </c>
      <c r="C95" s="17">
        <v>6216000</v>
      </c>
      <c r="D95" s="17">
        <f t="shared" si="1"/>
        <v>6216000</v>
      </c>
      <c r="E95" s="49">
        <f>VLOOKUP($A95,'Data shares'!$C:$FA,128)*100</f>
        <v>0</v>
      </c>
      <c r="F95" s="49">
        <f>VLOOKUP($A95,'Data shares'!$C:$FA,129)</f>
        <v>0</v>
      </c>
      <c r="G95" s="17"/>
    </row>
    <row r="96" spans="1:7" x14ac:dyDescent="0.25">
      <c r="A96" s="101" t="s">
        <v>242</v>
      </c>
      <c r="B96" s="17">
        <v>2461627231</v>
      </c>
      <c r="C96" s="17">
        <v>322832000</v>
      </c>
      <c r="D96" s="17">
        <f t="shared" si="1"/>
        <v>322832000</v>
      </c>
      <c r="E96" s="49">
        <f>VLOOKUP($A96,'Data shares'!$C:$FA,128)*100</f>
        <v>95.73</v>
      </c>
      <c r="F96" s="49">
        <f>VLOOKUP($A96,'Data shares'!$C:$FA,129)</f>
        <v>84480000</v>
      </c>
      <c r="G96" s="17"/>
    </row>
    <row r="97" spans="1:7" x14ac:dyDescent="0.25">
      <c r="A97" s="101" t="s">
        <v>165</v>
      </c>
      <c r="B97" s="17">
        <v>20321931</v>
      </c>
      <c r="C97" s="17">
        <v>3675125</v>
      </c>
      <c r="D97" s="17">
        <f t="shared" si="1"/>
        <v>3675125</v>
      </c>
      <c r="E97" s="49">
        <f>VLOOKUP($A97,'Data shares'!$C:$FA,128)*100</f>
        <v>93.17</v>
      </c>
      <c r="F97" s="49">
        <f>VLOOKUP($A97,'Data shares'!$C:$FA,129)</f>
        <v>2187500</v>
      </c>
      <c r="G97" s="17"/>
    </row>
    <row r="98" spans="1:7" x14ac:dyDescent="0.25">
      <c r="A98" s="101" t="s">
        <v>503</v>
      </c>
      <c r="B98" s="17">
        <v>17788750</v>
      </c>
      <c r="C98" s="17">
        <v>925925</v>
      </c>
      <c r="D98" s="17">
        <f t="shared" si="1"/>
        <v>925925</v>
      </c>
      <c r="E98" s="49">
        <f>VLOOKUP($A98,'Data shares'!$C:$FA,128)*100</f>
        <v>91.58</v>
      </c>
      <c r="F98" s="49">
        <f>VLOOKUP($A98,'Data shares'!$C:$FA,129)</f>
        <v>5250450</v>
      </c>
      <c r="G98" s="17"/>
    </row>
    <row r="99" spans="1:7" x14ac:dyDescent="0.25">
      <c r="A99" s="101" t="s">
        <v>192</v>
      </c>
      <c r="B99" s="17">
        <v>1737683</v>
      </c>
      <c r="C99" s="17">
        <v>235900</v>
      </c>
      <c r="D99" s="17">
        <f t="shared" si="1"/>
        <v>235900</v>
      </c>
      <c r="E99" s="49">
        <f>VLOOKUP($A99,'Data shares'!$C:$FA,128)*100</f>
        <v>91.81</v>
      </c>
      <c r="F99" s="49">
        <f>VLOOKUP($A99,'Data shares'!$C:$FA,129)</f>
        <v>307400</v>
      </c>
      <c r="G99" s="17"/>
    </row>
    <row r="100" spans="1:7" x14ac:dyDescent="0.25">
      <c r="A100" s="101" t="s">
        <v>531</v>
      </c>
      <c r="B100" s="17">
        <v>33015657</v>
      </c>
      <c r="C100" s="17">
        <v>9033700</v>
      </c>
      <c r="D100" s="17">
        <f t="shared" si="1"/>
        <v>9033700</v>
      </c>
      <c r="E100" s="49">
        <f>VLOOKUP($A100,'Data shares'!$C:$FA,128)*100</f>
        <v>0</v>
      </c>
      <c r="F100" s="49">
        <f>VLOOKUP($A100,'Data shares'!$C:$FA,129)</f>
        <v>0</v>
      </c>
      <c r="G100" s="17"/>
    </row>
    <row r="101" spans="1:7" x14ac:dyDescent="0.25">
      <c r="A101" s="101" t="s">
        <v>494</v>
      </c>
      <c r="B101" s="17">
        <v>147873568</v>
      </c>
      <c r="C101" s="17">
        <v>20386400</v>
      </c>
      <c r="D101" s="17">
        <f t="shared" si="1"/>
        <v>20386400</v>
      </c>
      <c r="E101" s="49">
        <f>VLOOKUP($A101,'Data shares'!$C:$FA,128)*100</f>
        <v>98.25</v>
      </c>
      <c r="F101" s="49">
        <f>VLOOKUP($A101,'Data shares'!$C:$FA,129)</f>
        <v>36702000</v>
      </c>
      <c r="G101" s="17"/>
    </row>
    <row r="102" spans="1:7" x14ac:dyDescent="0.25">
      <c r="A102" s="101" t="s">
        <v>473</v>
      </c>
      <c r="B102" s="17">
        <v>162372116</v>
      </c>
      <c r="C102" s="17">
        <v>43206800</v>
      </c>
      <c r="D102" s="17">
        <f t="shared" si="1"/>
        <v>43206800</v>
      </c>
      <c r="E102" s="49">
        <f>VLOOKUP($A102,'Data shares'!$C:$FA,128)*100</f>
        <v>94.08</v>
      </c>
      <c r="F102" s="49">
        <f>VLOOKUP($A102,'Data shares'!$C:$FA,129)</f>
        <v>48123600</v>
      </c>
      <c r="G102" s="17"/>
    </row>
    <row r="103" spans="1:7" x14ac:dyDescent="0.25">
      <c r="A103" s="101" t="s">
        <v>225</v>
      </c>
      <c r="B103" s="17">
        <v>187118353</v>
      </c>
      <c r="C103" s="17">
        <v>49800300</v>
      </c>
      <c r="D103" s="17">
        <f t="shared" si="1"/>
        <v>49800300</v>
      </c>
      <c r="E103" s="49">
        <f>VLOOKUP($A103,'Data shares'!$C:$FA,128)*100</f>
        <v>95.69</v>
      </c>
      <c r="F103" s="49">
        <f>VLOOKUP($A103,'Data shares'!$C:$FA,129)</f>
        <v>25553000</v>
      </c>
      <c r="G103" s="17"/>
    </row>
    <row r="104" spans="1:7" x14ac:dyDescent="0.25">
      <c r="A104" s="101" t="s">
        <v>504</v>
      </c>
      <c r="B104" s="17">
        <v>12641694</v>
      </c>
      <c r="C104" s="17">
        <v>6728400</v>
      </c>
      <c r="D104" s="17">
        <f t="shared" si="1"/>
        <v>6728400</v>
      </c>
      <c r="E104" s="49">
        <f>VLOOKUP($A104,'Data shares'!$C:$FA,128)*100</f>
        <v>96.16</v>
      </c>
      <c r="F104" s="49">
        <f>VLOOKUP($A104,'Data shares'!$C:$FA,129)</f>
        <v>3310400</v>
      </c>
      <c r="G104" s="17"/>
    </row>
    <row r="105" spans="1:7" x14ac:dyDescent="0.25">
      <c r="A105" s="101" t="s">
        <v>537</v>
      </c>
      <c r="B105" s="17">
        <v>6343591</v>
      </c>
      <c r="C105" s="17">
        <v>1262250</v>
      </c>
      <c r="D105" s="17">
        <f t="shared" si="1"/>
        <v>1262250</v>
      </c>
      <c r="E105" s="49">
        <f>VLOOKUP($A105,'Data shares'!$C:$FA,128)*100</f>
        <v>85.91</v>
      </c>
      <c r="F105" s="49">
        <f>VLOOKUP($A105,'Data shares'!$C:$FA,129)</f>
        <v>9324000</v>
      </c>
      <c r="G105" s="17"/>
    </row>
    <row r="106" spans="1:7" x14ac:dyDescent="0.25">
      <c r="A106" s="101" t="s">
        <v>256</v>
      </c>
      <c r="B106" s="17">
        <v>62880735</v>
      </c>
      <c r="C106" s="17">
        <v>20391250</v>
      </c>
      <c r="D106" s="17">
        <f t="shared" si="1"/>
        <v>20391250</v>
      </c>
      <c r="E106" s="49">
        <f>VLOOKUP($A106,'Data shares'!$C:$FA,128)*100</f>
        <v>93.16</v>
      </c>
      <c r="F106" s="49">
        <f>VLOOKUP($A106,'Data shares'!$C:$FA,129)</f>
        <v>2663850</v>
      </c>
      <c r="G106" s="17"/>
    </row>
    <row r="107" spans="1:7" x14ac:dyDescent="0.25">
      <c r="A107" s="101" t="s">
        <v>514</v>
      </c>
      <c r="B107" s="17">
        <v>179174844</v>
      </c>
      <c r="C107" s="17">
        <v>67477500</v>
      </c>
      <c r="D107" s="17">
        <f t="shared" si="1"/>
        <v>67477500</v>
      </c>
      <c r="E107" s="49">
        <f>VLOOKUP($A107,'Data shares'!$C:$FA,128)*100</f>
        <v>77.14</v>
      </c>
      <c r="F107" s="49">
        <f>VLOOKUP($A107,'Data shares'!$C:$FA,129)</f>
        <v>24738750</v>
      </c>
      <c r="G107" s="17"/>
    </row>
    <row r="108" spans="1:7" x14ac:dyDescent="0.25">
      <c r="A108" s="101" t="s">
        <v>272</v>
      </c>
      <c r="B108" s="17">
        <v>150000017</v>
      </c>
      <c r="C108" s="17">
        <v>35217000</v>
      </c>
      <c r="D108" s="17">
        <f t="shared" si="1"/>
        <v>35217000</v>
      </c>
      <c r="E108" s="49">
        <f>VLOOKUP($A108,'Data shares'!$C:$FA,128)*100</f>
        <v>92.759999999999991</v>
      </c>
      <c r="F108" s="49">
        <f>VLOOKUP($A108,'Data shares'!$C:$FA,129)</f>
        <v>32351400</v>
      </c>
      <c r="G108" s="17"/>
    </row>
    <row r="109" spans="1:7" x14ac:dyDescent="0.25">
      <c r="A109" s="101" t="s">
        <v>470</v>
      </c>
      <c r="B109" s="17">
        <v>6091932</v>
      </c>
      <c r="C109" s="17">
        <v>1893300</v>
      </c>
      <c r="D109" s="17">
        <f t="shared" si="1"/>
        <v>1893300</v>
      </c>
      <c r="E109" s="49">
        <f>VLOOKUP($A109,'Data shares'!$C:$FA,128)*100</f>
        <v>92.55</v>
      </c>
      <c r="F109" s="49">
        <f>VLOOKUP($A109,'Data shares'!$C:$FA,129)</f>
        <v>13742250</v>
      </c>
      <c r="G109" s="17"/>
    </row>
    <row r="110" spans="1:7" x14ac:dyDescent="0.25">
      <c r="A110" s="101" t="s">
        <v>176</v>
      </c>
      <c r="B110" s="17">
        <v>12437219</v>
      </c>
      <c r="C110" s="17">
        <v>1155950</v>
      </c>
      <c r="D110" s="17">
        <f t="shared" si="1"/>
        <v>1155950</v>
      </c>
      <c r="E110" s="49">
        <f>VLOOKUP($A110,'Data shares'!$C:$FA,128)*100</f>
        <v>94.24</v>
      </c>
      <c r="F110" s="49">
        <f>VLOOKUP($A110,'Data shares'!$C:$FA,129)</f>
        <v>14085500</v>
      </c>
      <c r="G110" s="17"/>
    </row>
    <row r="111" spans="1:7" x14ac:dyDescent="0.25">
      <c r="A111" s="101" t="s">
        <v>524</v>
      </c>
      <c r="B111" s="17">
        <v>16479425</v>
      </c>
      <c r="C111" s="17">
        <v>1670750</v>
      </c>
      <c r="D111" s="17">
        <f t="shared" si="1"/>
        <v>1670750</v>
      </c>
      <c r="E111" s="49">
        <f>VLOOKUP($A111,'Data shares'!$C:$FA,128)*100</f>
        <v>84.94</v>
      </c>
      <c r="F111" s="49">
        <f>VLOOKUP($A111,'Data shares'!$C:$FA,129)</f>
        <v>2570425</v>
      </c>
      <c r="G111" s="17"/>
    </row>
    <row r="112" spans="1:7" x14ac:dyDescent="0.25">
      <c r="A112" s="101" t="s">
        <v>487</v>
      </c>
      <c r="B112" s="17">
        <v>16533935</v>
      </c>
      <c r="C112" s="17">
        <v>1807050</v>
      </c>
      <c r="D112" s="17">
        <f t="shared" si="1"/>
        <v>1807050</v>
      </c>
      <c r="E112" s="49">
        <f>VLOOKUP($A112,'Data shares'!$C:$FA,128)*100</f>
        <v>88.88000000000001</v>
      </c>
      <c r="F112" s="49">
        <f>VLOOKUP($A112,'Data shares'!$C:$FA,129)</f>
        <v>3547775</v>
      </c>
      <c r="G112" s="17"/>
    </row>
    <row r="113" spans="1:7" x14ac:dyDescent="0.25">
      <c r="A113" s="101" t="s">
        <v>305</v>
      </c>
      <c r="B113" s="17">
        <v>46126252</v>
      </c>
      <c r="C113" s="17">
        <v>7513500</v>
      </c>
      <c r="D113" s="17">
        <f t="shared" si="1"/>
        <v>7513500</v>
      </c>
      <c r="E113" s="49">
        <f>VLOOKUP($A113,'Data shares'!$C:$FA,128)*100</f>
        <v>85.91</v>
      </c>
      <c r="F113" s="49">
        <f>VLOOKUP($A113,'Data shares'!$C:$FA,129)</f>
        <v>9324000</v>
      </c>
      <c r="G113" s="17"/>
    </row>
    <row r="114" spans="1:7" x14ac:dyDescent="0.25">
      <c r="A114" s="101" t="s">
        <v>238</v>
      </c>
      <c r="B114" s="17">
        <v>19428657</v>
      </c>
      <c r="C114" s="17">
        <v>5637750</v>
      </c>
      <c r="D114" s="17">
        <f t="shared" si="1"/>
        <v>5637750</v>
      </c>
      <c r="E114" s="49">
        <f>VLOOKUP($A114,'Data shares'!$C:$FA,128)*100</f>
        <v>92.78</v>
      </c>
      <c r="F114" s="49">
        <f>VLOOKUP($A114,'Data shares'!$C:$FA,129)</f>
        <v>6700650</v>
      </c>
      <c r="G114" s="17"/>
    </row>
    <row r="115" spans="1:7" x14ac:dyDescent="0.25">
      <c r="A115" s="101" t="s">
        <v>527</v>
      </c>
      <c r="B115" s="17">
        <v>7494363</v>
      </c>
      <c r="C115" s="17">
        <v>739375</v>
      </c>
      <c r="D115" s="17">
        <f t="shared" si="1"/>
        <v>739375</v>
      </c>
      <c r="E115" s="49">
        <f>VLOOKUP($A115,'Data shares'!$C:$FA,128)*100</f>
        <v>96.22</v>
      </c>
      <c r="F115" s="49">
        <f>VLOOKUP($A115,'Data shares'!$C:$FA,129)</f>
        <v>97231250</v>
      </c>
      <c r="G115" s="17"/>
    </row>
    <row r="116" spans="1:7" x14ac:dyDescent="0.25">
      <c r="A116" s="101" t="s">
        <v>489</v>
      </c>
      <c r="B116" s="17">
        <v>9087752</v>
      </c>
      <c r="C116" s="17">
        <v>1575750</v>
      </c>
      <c r="D116" s="17">
        <f t="shared" si="1"/>
        <v>1575750</v>
      </c>
      <c r="E116" s="49">
        <f>VLOOKUP($A116,'Data shares'!$C:$FA,128)*100</f>
        <v>94.45</v>
      </c>
      <c r="F116" s="49">
        <f>VLOOKUP($A116,'Data shares'!$C:$FA,129)</f>
        <v>42973522</v>
      </c>
      <c r="G116" s="17"/>
    </row>
    <row r="117" spans="1:7" x14ac:dyDescent="0.25">
      <c r="A117" s="101" t="s">
        <v>484</v>
      </c>
      <c r="B117" s="17">
        <v>3300938</v>
      </c>
      <c r="C117" s="17">
        <v>190125</v>
      </c>
      <c r="D117" s="17">
        <f t="shared" si="1"/>
        <v>190125</v>
      </c>
      <c r="E117" s="49">
        <f>VLOOKUP($A117,'Data shares'!$C:$FA,128)*100</f>
        <v>88.79</v>
      </c>
      <c r="F117" s="49">
        <f>VLOOKUP($A117,'Data shares'!$C:$FA,129)</f>
        <v>40740700</v>
      </c>
      <c r="G117" s="17"/>
    </row>
    <row r="118" spans="1:7" x14ac:dyDescent="0.25">
      <c r="A118" s="101" t="s">
        <v>285</v>
      </c>
      <c r="B118" s="17">
        <v>17806068</v>
      </c>
      <c r="C118" s="17">
        <v>1857900</v>
      </c>
      <c r="D118" s="17">
        <f t="shared" si="1"/>
        <v>1857900</v>
      </c>
      <c r="E118" s="49">
        <f>VLOOKUP($A118,'Data shares'!$C:$FA,128)*100</f>
        <v>93.25</v>
      </c>
      <c r="F118" s="49">
        <f>VLOOKUP($A118,'Data shares'!$C:$FA,129)</f>
        <v>1893375</v>
      </c>
      <c r="G118" s="17"/>
    </row>
    <row r="119" spans="1:7" x14ac:dyDescent="0.25">
      <c r="A119" s="101" t="s">
        <v>554</v>
      </c>
      <c r="B119" s="17">
        <v>18562709</v>
      </c>
      <c r="C119" s="17">
        <v>2173500</v>
      </c>
      <c r="D119" s="17">
        <f t="shared" si="1"/>
        <v>2173500</v>
      </c>
      <c r="E119" s="49">
        <f>VLOOKUP($A119,'Data shares'!$C:$FA,128)*100</f>
        <v>75.37</v>
      </c>
      <c r="F119" s="49">
        <f>VLOOKUP($A119,'Data shares'!$C:$FA,129)</f>
        <v>21536304</v>
      </c>
      <c r="G119" s="17"/>
    </row>
    <row r="120" spans="1:7" x14ac:dyDescent="0.25">
      <c r="A120" s="101" t="s">
        <v>293</v>
      </c>
      <c r="B120" s="17">
        <v>339616396</v>
      </c>
      <c r="C120" s="17">
        <v>214528500</v>
      </c>
      <c r="D120" s="17">
        <f t="shared" si="1"/>
        <v>214528500</v>
      </c>
      <c r="E120" s="49">
        <f>VLOOKUP($A120,'Data shares'!$C:$FA,128)*100</f>
        <v>96.58</v>
      </c>
      <c r="F120" s="49">
        <f>VLOOKUP($A120,'Data shares'!$C:$FA,129)</f>
        <v>61166800</v>
      </c>
      <c r="G120" s="17"/>
    </row>
    <row r="121" spans="1:7" x14ac:dyDescent="0.25">
      <c r="A121" s="101" t="s">
        <v>282</v>
      </c>
      <c r="B121" s="17">
        <v>289139949</v>
      </c>
      <c r="C121" s="17">
        <v>230878500</v>
      </c>
      <c r="D121" s="17">
        <f t="shared" si="1"/>
        <v>230878500</v>
      </c>
      <c r="E121" s="49">
        <f>VLOOKUP($A121,'Data shares'!$C:$FA,128)*100</f>
        <v>95.13000000000001</v>
      </c>
      <c r="F121" s="49">
        <f>VLOOKUP($A121,'Data shares'!$C:$FA,129)</f>
        <v>140276200</v>
      </c>
      <c r="G121" s="17"/>
    </row>
    <row r="122" spans="1:7" x14ac:dyDescent="0.25">
      <c r="A122" s="101" t="s">
        <v>248</v>
      </c>
      <c r="B122" s="17">
        <v>60244101</v>
      </c>
      <c r="C122" s="17">
        <v>36578000</v>
      </c>
      <c r="D122" s="17">
        <f t="shared" si="1"/>
        <v>36578000</v>
      </c>
      <c r="E122" s="49">
        <f>VLOOKUP($A122,'Data shares'!$C:$FA,128)*100</f>
        <v>84.1</v>
      </c>
      <c r="F122" s="49">
        <f>VLOOKUP($A122,'Data shares'!$C:$FA,129)</f>
        <v>27670000</v>
      </c>
      <c r="G122" s="17"/>
    </row>
    <row r="123" spans="1:7" x14ac:dyDescent="0.25">
      <c r="A123" s="101" t="s">
        <v>189</v>
      </c>
      <c r="B123" s="17">
        <v>510707358</v>
      </c>
      <c r="C123" s="17">
        <v>94385350</v>
      </c>
      <c r="D123" s="17">
        <f t="shared" si="1"/>
        <v>94385350</v>
      </c>
      <c r="E123" s="49">
        <f>VLOOKUP($A123,'Data shares'!$C:$FA,128)*100</f>
        <v>92.69</v>
      </c>
      <c r="F123" s="49">
        <f>VLOOKUP($A123,'Data shares'!$C:$FA,129)</f>
        <v>39028375</v>
      </c>
      <c r="G123" s="17"/>
    </row>
    <row r="124" spans="1:7" x14ac:dyDescent="0.25">
      <c r="A124" s="101" t="s">
        <v>213</v>
      </c>
      <c r="B124" s="17">
        <v>425164259</v>
      </c>
      <c r="C124" s="17">
        <v>85375600</v>
      </c>
      <c r="D124" s="17">
        <f t="shared" si="1"/>
        <v>85375600</v>
      </c>
      <c r="E124" s="49">
        <f>VLOOKUP($A124,'Data shares'!$C:$FA,128)*100</f>
        <v>93.35</v>
      </c>
      <c r="F124" s="49">
        <f>VLOOKUP($A124,'Data shares'!$C:$FA,129)</f>
        <v>78916950</v>
      </c>
      <c r="G124" s="17"/>
    </row>
    <row r="125" spans="1:7" x14ac:dyDescent="0.25">
      <c r="A125" s="101" t="s">
        <v>295</v>
      </c>
      <c r="B125" s="17">
        <v>205769415</v>
      </c>
      <c r="C125" s="17">
        <v>21452100</v>
      </c>
      <c r="D125" s="17">
        <f t="shared" si="1"/>
        <v>21452100</v>
      </c>
      <c r="E125" s="49">
        <f>VLOOKUP($A125,'Data shares'!$C:$FA,128)*100</f>
        <v>92.03</v>
      </c>
      <c r="F125" s="49">
        <f>VLOOKUP($A125,'Data shares'!$C:$FA,129)</f>
        <v>24725750</v>
      </c>
      <c r="G125" s="17"/>
    </row>
    <row r="126" spans="1:7" x14ac:dyDescent="0.25">
      <c r="A126" s="101" t="s">
        <v>490</v>
      </c>
      <c r="B126" s="17">
        <v>52165566</v>
      </c>
      <c r="C126" s="17">
        <v>22212750</v>
      </c>
      <c r="D126" s="17">
        <f t="shared" si="1"/>
        <v>22212750</v>
      </c>
      <c r="E126" s="49">
        <f>VLOOKUP($A126,'Data shares'!$C:$FA,128)*100</f>
        <v>92.27</v>
      </c>
      <c r="F126" s="49">
        <f>VLOOKUP($A126,'Data shares'!$C:$FA,129)</f>
        <v>11515000</v>
      </c>
      <c r="G126" s="17"/>
    </row>
    <row r="127" spans="1:7" x14ac:dyDescent="0.25">
      <c r="A127" s="101" t="s">
        <v>260</v>
      </c>
      <c r="B127" s="17">
        <v>241729538</v>
      </c>
      <c r="C127" s="17">
        <v>65383500</v>
      </c>
      <c r="D127" s="17">
        <f t="shared" si="1"/>
        <v>65383500</v>
      </c>
      <c r="E127" s="49">
        <f>VLOOKUP($A127,'Data shares'!$C:$FA,128)*100</f>
        <v>94.47</v>
      </c>
      <c r="F127" s="49">
        <f>VLOOKUP($A127,'Data shares'!$C:$FA,129)</f>
        <v>132618600</v>
      </c>
      <c r="G127" s="17"/>
    </row>
    <row r="128" spans="1:7" x14ac:dyDescent="0.25">
      <c r="A128" s="101" t="s">
        <v>171</v>
      </c>
      <c r="B128" s="17">
        <v>56444627</v>
      </c>
      <c r="C128" s="17">
        <v>23336250</v>
      </c>
      <c r="D128" s="17">
        <f t="shared" si="1"/>
        <v>23336250</v>
      </c>
      <c r="E128" s="49">
        <f>VLOOKUP($A128,'Data shares'!$C:$FA,128)*100</f>
        <v>90.5</v>
      </c>
      <c r="F128" s="49">
        <f>VLOOKUP($A128,'Data shares'!$C:$FA,129)</f>
        <v>16805250</v>
      </c>
      <c r="G128" s="17"/>
    </row>
    <row r="129" spans="1:7" x14ac:dyDescent="0.25">
      <c r="A129" s="101" t="s">
        <v>462</v>
      </c>
      <c r="B129" s="17">
        <v>88648462</v>
      </c>
      <c r="C129" s="17">
        <v>11150250</v>
      </c>
      <c r="D129" s="17">
        <f t="shared" si="1"/>
        <v>11150250</v>
      </c>
      <c r="E129" s="49">
        <f>VLOOKUP($A129,'Data shares'!$C:$FA,128)*100</f>
        <v>94.42</v>
      </c>
      <c r="F129" s="49">
        <f>VLOOKUP($A129,'Data shares'!$C:$FA,129)</f>
        <v>6537750</v>
      </c>
      <c r="G129" s="17"/>
    </row>
    <row r="130" spans="1:7" x14ac:dyDescent="0.25">
      <c r="A130" s="101" t="s">
        <v>274</v>
      </c>
      <c r="B130" s="17">
        <v>30511703</v>
      </c>
      <c r="C130" s="17">
        <v>3556000</v>
      </c>
      <c r="D130" s="17">
        <f t="shared" si="1"/>
        <v>3556000</v>
      </c>
      <c r="E130" s="49">
        <f>VLOOKUP($A130,'Data shares'!$C:$FA,128)*100</f>
        <v>94.97</v>
      </c>
      <c r="F130" s="49">
        <f>VLOOKUP($A130,'Data shares'!$C:$FA,129)</f>
        <v>3027000</v>
      </c>
      <c r="G130" s="17"/>
    </row>
    <row r="131" spans="1:7" x14ac:dyDescent="0.25">
      <c r="A131" s="101" t="s">
        <v>279</v>
      </c>
      <c r="B131" s="17">
        <v>119890099</v>
      </c>
      <c r="C131" s="17">
        <v>77232800</v>
      </c>
      <c r="D131" s="17">
        <f t="shared" si="1"/>
        <v>77232800</v>
      </c>
      <c r="E131" s="49">
        <f>VLOOKUP($A131,'Data shares'!$C:$FA,128)*100</f>
        <v>93.300000000000011</v>
      </c>
      <c r="F131" s="49">
        <f>VLOOKUP($A131,'Data shares'!$C:$FA,129)</f>
        <v>25609550</v>
      </c>
      <c r="G131" s="17"/>
    </row>
    <row r="132" spans="1:7" x14ac:dyDescent="0.25">
      <c r="A132" s="101" t="s">
        <v>247</v>
      </c>
      <c r="B132" s="17">
        <v>180580821</v>
      </c>
      <c r="C132" s="17">
        <v>128041552</v>
      </c>
      <c r="D132" s="17">
        <f t="shared" si="1"/>
        <v>128041552</v>
      </c>
      <c r="E132" s="49">
        <f>VLOOKUP($A132,'Data shares'!$C:$FA,128)*100</f>
        <v>90.33</v>
      </c>
      <c r="F132" s="49">
        <f>VLOOKUP($A132,'Data shares'!$C:$FA,129)</f>
        <v>4204000</v>
      </c>
      <c r="G132" s="17"/>
    </row>
    <row r="133" spans="1:7" x14ac:dyDescent="0.25">
      <c r="A133" s="101" t="s">
        <v>291</v>
      </c>
      <c r="B133" s="17">
        <v>120211514</v>
      </c>
      <c r="C133" s="17">
        <v>18359325</v>
      </c>
      <c r="D133" s="17">
        <f t="shared" si="1"/>
        <v>18359325</v>
      </c>
      <c r="E133" s="49">
        <f>VLOOKUP($A133,'Data shares'!$C:$FA,128)*100</f>
        <v>96.71</v>
      </c>
      <c r="F133" s="49">
        <f>VLOOKUP($A133,'Data shares'!$C:$FA,129)</f>
        <v>13864950</v>
      </c>
      <c r="G133" s="17"/>
    </row>
    <row r="134" spans="1:7" x14ac:dyDescent="0.25">
      <c r="A134" s="101" t="s">
        <v>269</v>
      </c>
      <c r="B134" s="17">
        <v>996134149</v>
      </c>
      <c r="C134" s="17">
        <v>204565900</v>
      </c>
      <c r="D134" s="17">
        <f t="shared" si="1"/>
        <v>204565900</v>
      </c>
      <c r="E134" s="49">
        <f>VLOOKUP($A134,'Data shares'!$C:$FA,128)*100</f>
        <v>88.53</v>
      </c>
      <c r="F134" s="49">
        <f>VLOOKUP($A134,'Data shares'!$C:$FA,129)</f>
        <v>72297000</v>
      </c>
      <c r="G134" s="17"/>
    </row>
    <row r="135" spans="1:7" x14ac:dyDescent="0.25">
      <c r="A135" s="101" t="s">
        <v>217</v>
      </c>
      <c r="B135" s="17">
        <v>75218562</v>
      </c>
      <c r="C135" s="17">
        <v>11613000</v>
      </c>
      <c r="D135" s="17">
        <f t="shared" ref="D135:D161" si="2">C135</f>
        <v>11613000</v>
      </c>
      <c r="E135" s="49">
        <f>VLOOKUP($A135,'Data shares'!$C:$FA,128)*100</f>
        <v>82.53</v>
      </c>
      <c r="F135" s="49">
        <f>VLOOKUP($A135,'Data shares'!$C:$FA,129)</f>
        <v>8170500</v>
      </c>
      <c r="G135" s="17"/>
    </row>
    <row r="136" spans="1:7" x14ac:dyDescent="0.25">
      <c r="A136" s="101" t="s">
        <v>495</v>
      </c>
      <c r="B136" s="17">
        <v>44974045</v>
      </c>
      <c r="C136" s="17">
        <v>4232500</v>
      </c>
      <c r="D136" s="17">
        <f t="shared" si="2"/>
        <v>4232500</v>
      </c>
      <c r="E136" s="49">
        <f>VLOOKUP($A136,'Data shares'!$C:$FA,128)*100</f>
        <v>95.95</v>
      </c>
      <c r="F136" s="49">
        <f>VLOOKUP($A136,'Data shares'!$C:$FA,129)</f>
        <v>15678000</v>
      </c>
      <c r="G136" s="17"/>
    </row>
    <row r="137" spans="1:7" x14ac:dyDescent="0.25">
      <c r="A137" s="101" t="s">
        <v>250</v>
      </c>
      <c r="B137" s="17">
        <v>48318354</v>
      </c>
      <c r="C137" s="17">
        <v>18007250</v>
      </c>
      <c r="D137" s="17">
        <f t="shared" si="2"/>
        <v>18007250</v>
      </c>
      <c r="E137" s="49">
        <f>VLOOKUP($A137,'Data shares'!$C:$FA,128)*100</f>
        <v>97.27</v>
      </c>
      <c r="F137" s="49">
        <f>VLOOKUP($A137,'Data shares'!$C:$FA,129)</f>
        <v>10235700</v>
      </c>
      <c r="G137" s="17"/>
    </row>
    <row r="138" spans="1:7" x14ac:dyDescent="0.25">
      <c r="A138" s="101" t="s">
        <v>278</v>
      </c>
      <c r="B138" s="17">
        <v>27187764</v>
      </c>
      <c r="C138" s="17">
        <v>3521550</v>
      </c>
      <c r="D138" s="17">
        <f t="shared" si="2"/>
        <v>3521550</v>
      </c>
      <c r="E138" s="49">
        <f>VLOOKUP($A138,'Data shares'!$C:$FA,128)*100</f>
        <v>94.92</v>
      </c>
      <c r="F138" s="49">
        <f>VLOOKUP($A138,'Data shares'!$C:$FA,129)</f>
        <v>4782600</v>
      </c>
      <c r="G138" s="17"/>
    </row>
    <row r="139" spans="1:7" x14ac:dyDescent="0.25">
      <c r="A139" s="101" t="s">
        <v>163</v>
      </c>
      <c r="B139" s="17">
        <v>24576009</v>
      </c>
      <c r="C139" s="17">
        <v>11979000</v>
      </c>
      <c r="D139" s="17">
        <f t="shared" si="2"/>
        <v>11979000</v>
      </c>
      <c r="E139" s="49">
        <f>VLOOKUP($A139,'Data shares'!$C:$FA,128)*100</f>
        <v>94.64</v>
      </c>
      <c r="F139" s="49">
        <f>VLOOKUP($A139,'Data shares'!$C:$FA,129)</f>
        <v>1035375</v>
      </c>
      <c r="G139" s="17"/>
    </row>
    <row r="140" spans="1:7" x14ac:dyDescent="0.25">
      <c r="A140" s="101" t="s">
        <v>289</v>
      </c>
      <c r="B140" s="17">
        <v>19704232</v>
      </c>
      <c r="C140" s="17">
        <v>15520500</v>
      </c>
      <c r="D140" s="17">
        <f t="shared" si="2"/>
        <v>15520500</v>
      </c>
      <c r="E140" s="49">
        <f>VLOOKUP($A140,'Data shares'!$C:$FA,128)*100</f>
        <v>86.71</v>
      </c>
      <c r="F140" s="49">
        <f>VLOOKUP($A140,'Data shares'!$C:$FA,129)</f>
        <v>15968750</v>
      </c>
      <c r="G140" s="17"/>
    </row>
    <row r="141" spans="1:7" x14ac:dyDescent="0.25">
      <c r="A141" s="101" t="s">
        <v>529</v>
      </c>
      <c r="B141" s="17">
        <v>10012679</v>
      </c>
      <c r="C141" s="17">
        <v>530550</v>
      </c>
      <c r="D141" s="17">
        <f t="shared" si="2"/>
        <v>530550</v>
      </c>
      <c r="E141" s="49">
        <f>VLOOKUP($A141,'Data shares'!$C:$FA,128)*100</f>
        <v>87.8</v>
      </c>
      <c r="F141" s="49">
        <f>VLOOKUP($A141,'Data shares'!$C:$FA,129)</f>
        <v>2601200</v>
      </c>
      <c r="G141" s="17"/>
    </row>
    <row r="142" spans="1:7" x14ac:dyDescent="0.25">
      <c r="A142" s="101" t="s">
        <v>265</v>
      </c>
      <c r="B142" s="17">
        <v>7180127</v>
      </c>
      <c r="C142" s="17">
        <v>429550</v>
      </c>
      <c r="D142" s="17">
        <f t="shared" si="2"/>
        <v>429550</v>
      </c>
      <c r="E142" s="49">
        <f>VLOOKUP($A142,'Data shares'!$C:$FA,128)*100</f>
        <v>94.64</v>
      </c>
      <c r="F142" s="49">
        <f>VLOOKUP($A142,'Data shares'!$C:$FA,129)</f>
        <v>9703750</v>
      </c>
      <c r="G142" s="17"/>
    </row>
    <row r="143" spans="1:7" x14ac:dyDescent="0.25">
      <c r="A143" s="101" t="s">
        <v>486</v>
      </c>
      <c r="B143" s="17">
        <v>32559242</v>
      </c>
      <c r="C143" s="17">
        <v>4156800</v>
      </c>
      <c r="D143" s="17">
        <f t="shared" si="2"/>
        <v>4156800</v>
      </c>
      <c r="E143" s="49">
        <f>VLOOKUP($A143,'Data shares'!$C:$FA,128)*100</f>
        <v>61.539999999999992</v>
      </c>
      <c r="F143" s="49">
        <f>VLOOKUP($A143,'Data shares'!$C:$FA,129)</f>
        <v>3087975</v>
      </c>
      <c r="G143" s="17"/>
    </row>
    <row r="144" spans="1:7" x14ac:dyDescent="0.25">
      <c r="A144" s="101" t="s">
        <v>190</v>
      </c>
      <c r="B144" s="17">
        <v>256482590</v>
      </c>
      <c r="C144" s="17">
        <v>208761000</v>
      </c>
      <c r="D144" s="17">
        <f t="shared" si="2"/>
        <v>208761000</v>
      </c>
      <c r="E144" s="49">
        <f>VLOOKUP($A144,'Data shares'!$C:$FA,128)*100</f>
        <v>93.47999999999999</v>
      </c>
      <c r="F144" s="49">
        <f>VLOOKUP($A144,'Data shares'!$C:$FA,129)</f>
        <v>42792750</v>
      </c>
      <c r="G144" s="17"/>
    </row>
    <row r="145" spans="1:7" x14ac:dyDescent="0.25">
      <c r="A145" s="101" t="s">
        <v>303</v>
      </c>
      <c r="B145" s="17">
        <v>109653438</v>
      </c>
      <c r="C145" s="17">
        <v>37709100</v>
      </c>
      <c r="D145" s="17">
        <f t="shared" si="2"/>
        <v>37709100</v>
      </c>
      <c r="E145" s="49">
        <f>VLOOKUP($A145,'Data shares'!$C:$FA,128)*100</f>
        <v>91.72</v>
      </c>
      <c r="F145" s="49">
        <f>VLOOKUP($A145,'Data shares'!$C:$FA,129)</f>
        <v>29980730</v>
      </c>
      <c r="G145" s="17"/>
    </row>
    <row r="146" spans="1:7" x14ac:dyDescent="0.25">
      <c r="A146" s="101" t="s">
        <v>255</v>
      </c>
      <c r="B146" s="17">
        <v>26359259</v>
      </c>
      <c r="C146" s="17">
        <v>6916100</v>
      </c>
      <c r="D146" s="17">
        <f t="shared" si="2"/>
        <v>6916100</v>
      </c>
      <c r="E146" s="49">
        <f>VLOOKUP($A146,'Data shares'!$C:$FA,128)*100</f>
        <v>97.71</v>
      </c>
      <c r="F146" s="49">
        <f>VLOOKUP($A146,'Data shares'!$C:$FA,129)</f>
        <v>2745700</v>
      </c>
      <c r="G146" s="17"/>
    </row>
    <row r="147" spans="1:7" x14ac:dyDescent="0.25">
      <c r="A147" s="101" t="s">
        <v>180</v>
      </c>
      <c r="B147" s="17">
        <v>372635498</v>
      </c>
      <c r="C147" s="17">
        <v>233426700</v>
      </c>
      <c r="D147" s="17">
        <f t="shared" si="2"/>
        <v>233426700</v>
      </c>
      <c r="E147" s="49">
        <f>VLOOKUP($A147,'Data shares'!$C:$FA,128)*100</f>
        <v>95.009999999999991</v>
      </c>
      <c r="F147" s="49">
        <f>VLOOKUP($A147,'Data shares'!$C:$FA,129)</f>
        <v>90830025</v>
      </c>
      <c r="G147" s="17"/>
    </row>
    <row r="148" spans="1:7" x14ac:dyDescent="0.25">
      <c r="A148" s="101" t="s">
        <v>179</v>
      </c>
      <c r="B148" s="17">
        <v>193321473</v>
      </c>
      <c r="C148" s="17">
        <v>47098800</v>
      </c>
      <c r="D148" s="17">
        <f t="shared" si="2"/>
        <v>47098800</v>
      </c>
      <c r="E148" s="49">
        <f>VLOOKUP($A148,'Data shares'!$C:$FA,128)*100</f>
        <v>96.45</v>
      </c>
      <c r="F148" s="49">
        <f>VLOOKUP($A148,'Data shares'!$C:$FA,129)</f>
        <v>71150400</v>
      </c>
    </row>
    <row r="149" spans="1:7" x14ac:dyDescent="0.25">
      <c r="A149" s="101" t="s">
        <v>253</v>
      </c>
      <c r="B149" s="17">
        <v>109926618</v>
      </c>
      <c r="C149" s="17">
        <v>54285000</v>
      </c>
      <c r="D149" s="17">
        <f t="shared" si="2"/>
        <v>54285000</v>
      </c>
      <c r="E149" s="49">
        <f>VLOOKUP($A149,'Data shares'!$C:$FA,128)*100</f>
        <v>88.490000000000009</v>
      </c>
      <c r="F149" s="49">
        <f>VLOOKUP($A149,'Data shares'!$C:$FA,129)</f>
        <v>16956000</v>
      </c>
    </row>
    <row r="150" spans="1:7" x14ac:dyDescent="0.25">
      <c r="A150" s="101" t="s">
        <v>261</v>
      </c>
      <c r="B150" s="17">
        <v>611563</v>
      </c>
      <c r="C150" s="17">
        <v>120180</v>
      </c>
      <c r="D150" s="17">
        <f t="shared" si="2"/>
        <v>120180</v>
      </c>
      <c r="E150" s="49">
        <f>VLOOKUP($A150,'Data shares'!$C:$FA,128)*100</f>
        <v>88.88000000000001</v>
      </c>
      <c r="F150" s="49">
        <f>VLOOKUP($A150,'Data shares'!$C:$FA,129)</f>
        <v>3547775</v>
      </c>
    </row>
    <row r="151" spans="1:7" x14ac:dyDescent="0.25">
      <c r="A151" s="101" t="s">
        <v>164</v>
      </c>
      <c r="B151" s="17">
        <v>145854205</v>
      </c>
      <c r="C151" s="17">
        <v>46824000</v>
      </c>
      <c r="D151" s="17">
        <f t="shared" si="2"/>
        <v>46824000</v>
      </c>
      <c r="E151" s="49">
        <f>VLOOKUP($A151,'Data shares'!$C:$FA,128)*100</f>
        <v>94.47</v>
      </c>
      <c r="F151" s="49">
        <f>VLOOKUP($A151,'Data shares'!$C:$FA,129)</f>
        <v>23451750</v>
      </c>
    </row>
    <row r="152" spans="1:7" x14ac:dyDescent="0.25">
      <c r="A152" s="101" t="s">
        <v>526</v>
      </c>
      <c r="B152" s="17">
        <v>44365911</v>
      </c>
      <c r="C152" s="17">
        <v>20668300</v>
      </c>
      <c r="D152" s="17">
        <f t="shared" si="2"/>
        <v>20668300</v>
      </c>
      <c r="E152" s="49">
        <f>VLOOKUP($A152,'Data shares'!$C:$FA,128)*100</f>
        <v>97.11999999999999</v>
      </c>
      <c r="F152" s="49">
        <f>VLOOKUP($A152,'Data shares'!$C:$FA,129)</f>
        <v>24240000</v>
      </c>
    </row>
    <row r="153" spans="1:7" x14ac:dyDescent="0.25">
      <c r="A153" s="101" t="s">
        <v>515</v>
      </c>
      <c r="B153" s="17">
        <v>3083179</v>
      </c>
      <c r="C153" s="17">
        <v>492075</v>
      </c>
      <c r="D153" s="17">
        <f t="shared" si="2"/>
        <v>492075</v>
      </c>
      <c r="E153" s="49">
        <f>VLOOKUP($A153,'Data shares'!$C:$FA,128)*100</f>
        <v>97.11999999999999</v>
      </c>
      <c r="F153" s="49">
        <f>VLOOKUP($A153,'Data shares'!$C:$FA,129)</f>
        <v>24240000</v>
      </c>
    </row>
    <row r="154" spans="1:7" x14ac:dyDescent="0.25">
      <c r="A154" s="101" t="s">
        <v>226</v>
      </c>
      <c r="B154" s="17">
        <v>26072630</v>
      </c>
      <c r="C154" s="17">
        <v>9897900</v>
      </c>
      <c r="D154" s="17">
        <f t="shared" si="2"/>
        <v>9897900</v>
      </c>
      <c r="E154" s="49">
        <f>VLOOKUP($A154,'Data shares'!$C:$FA,128)*100</f>
        <v>91.97</v>
      </c>
      <c r="F154" s="49">
        <f>VLOOKUP($A154,'Data shares'!$C:$FA,129)</f>
        <v>6451500</v>
      </c>
    </row>
    <row r="155" spans="1:7" x14ac:dyDescent="0.25">
      <c r="A155" s="101" t="s">
        <v>544</v>
      </c>
      <c r="B155" s="17">
        <v>139989683</v>
      </c>
      <c r="C155" s="17">
        <v>28415200</v>
      </c>
      <c r="D155" s="17">
        <f t="shared" si="2"/>
        <v>28415200</v>
      </c>
      <c r="E155" s="49">
        <f>VLOOKUP($A155,'Data shares'!$C:$FA,128)*100</f>
        <v>96.11</v>
      </c>
      <c r="F155" s="49">
        <f>VLOOKUP($A155,'Data shares'!$C:$FA,129)</f>
        <v>49069900</v>
      </c>
    </row>
    <row r="156" spans="1:7" x14ac:dyDescent="0.25">
      <c r="A156" s="101" t="s">
        <v>547</v>
      </c>
      <c r="B156" s="17">
        <v>65482129</v>
      </c>
      <c r="C156" s="17">
        <v>33944200</v>
      </c>
      <c r="D156" s="17">
        <f t="shared" si="2"/>
        <v>33944200</v>
      </c>
      <c r="E156" s="49">
        <f>VLOOKUP($A156,'Data shares'!$C:$FA,128)*100</f>
        <v>0</v>
      </c>
      <c r="F156" s="49">
        <f>VLOOKUP($A156,'Data shares'!$C:$FA,129)</f>
        <v>0</v>
      </c>
    </row>
    <row r="157" spans="1:7" x14ac:dyDescent="0.25">
      <c r="A157" s="101" t="s">
        <v>499</v>
      </c>
      <c r="B157" s="17">
        <v>66687240</v>
      </c>
      <c r="C157" s="17">
        <v>16125200</v>
      </c>
      <c r="D157" s="17">
        <f t="shared" si="2"/>
        <v>16125200</v>
      </c>
      <c r="E157" s="49">
        <f>VLOOKUP($A157,'Data shares'!$C:$FA,128)*100</f>
        <v>93.899999999999991</v>
      </c>
      <c r="F157" s="49">
        <f>VLOOKUP($A157,'Data shares'!$C:$FA,129)</f>
        <v>37684400</v>
      </c>
    </row>
    <row r="158" spans="1:7" x14ac:dyDescent="0.25">
      <c r="A158" s="101" t="s">
        <v>483</v>
      </c>
      <c r="B158" s="17">
        <v>16146181</v>
      </c>
      <c r="C158" s="17">
        <v>1914250</v>
      </c>
      <c r="D158" s="17">
        <f t="shared" si="2"/>
        <v>1914250</v>
      </c>
      <c r="E158" s="49">
        <f>VLOOKUP($A158,'Data shares'!$C:$FA,128)*100</f>
        <v>96.57</v>
      </c>
      <c r="F158" s="49">
        <f>VLOOKUP($A158,'Data shares'!$C:$FA,129)</f>
        <v>1474200</v>
      </c>
    </row>
    <row r="159" spans="1:7" x14ac:dyDescent="0.25">
      <c r="A159" s="101" t="s">
        <v>546</v>
      </c>
      <c r="B159" s="17">
        <v>18282414</v>
      </c>
      <c r="C159" s="17">
        <v>13742300</v>
      </c>
      <c r="D159" s="17">
        <f t="shared" si="2"/>
        <v>13742300</v>
      </c>
      <c r="E159" s="49">
        <f>VLOOKUP($A159,'Data shares'!$C:$FA,128)*100</f>
        <v>97.009999999999991</v>
      </c>
      <c r="F159" s="49">
        <f>VLOOKUP($A159,'Data shares'!$C:$FA,129)</f>
        <v>156777075</v>
      </c>
    </row>
    <row r="160" spans="1:7" x14ac:dyDescent="0.25">
      <c r="A160" s="101" t="s">
        <v>220</v>
      </c>
      <c r="B160" s="17">
        <v>50687734</v>
      </c>
      <c r="C160" s="17">
        <v>6783500</v>
      </c>
      <c r="D160" s="17">
        <f t="shared" si="2"/>
        <v>6783500</v>
      </c>
      <c r="E160" s="49">
        <f>VLOOKUP($A160,'Data shares'!$C:$FA,128)*100</f>
        <v>93.94</v>
      </c>
      <c r="F160" s="49">
        <f>VLOOKUP($A160,'Data shares'!$C:$FA,129)</f>
        <v>8041500</v>
      </c>
    </row>
    <row r="161" spans="1:6" x14ac:dyDescent="0.25">
      <c r="A161" s="101" t="s">
        <v>472</v>
      </c>
      <c r="B161" s="17">
        <v>50993734</v>
      </c>
      <c r="C161" s="17">
        <v>3803750</v>
      </c>
      <c r="D161" s="17">
        <f t="shared" si="2"/>
        <v>3803750</v>
      </c>
      <c r="E161" s="49">
        <f>VLOOKUP($A161,'Data shares'!$C:$FA,128)*100</f>
        <v>90.89</v>
      </c>
      <c r="F161" s="49">
        <f>VLOOKUP($A161,'Data shares'!$C:$FA,129)</f>
        <v>4442750</v>
      </c>
    </row>
    <row r="162" spans="1:6" x14ac:dyDescent="0.25">
      <c r="A162" t="s">
        <v>535</v>
      </c>
      <c r="B162">
        <v>78168147</v>
      </c>
      <c r="C162">
        <v>9571500</v>
      </c>
      <c r="D162" s="17">
        <f t="shared" ref="D162:D204" si="3">C162</f>
        <v>9571500</v>
      </c>
      <c r="E162" s="49">
        <f>VLOOKUP($A162,'Data shares'!$C:$FA,128)*100</f>
        <v>70</v>
      </c>
      <c r="F162" s="49">
        <f>VLOOKUP($A162,'Data shares'!$C:$FA,129)</f>
        <v>14246000</v>
      </c>
    </row>
    <row r="163" spans="1:6" x14ac:dyDescent="0.25">
      <c r="A163" t="s">
        <v>492</v>
      </c>
      <c r="B163">
        <v>28779078</v>
      </c>
      <c r="C163">
        <v>14404150</v>
      </c>
      <c r="D163" s="17">
        <f t="shared" si="3"/>
        <v>14404150</v>
      </c>
      <c r="E163" s="49">
        <f>VLOOKUP($A163,'Data shares'!$C:$FA,128)*100</f>
        <v>95.78</v>
      </c>
      <c r="F163" s="49">
        <f>VLOOKUP($A163,'Data shares'!$C:$FA,129)</f>
        <v>8375325</v>
      </c>
    </row>
    <row r="164" spans="1:6" x14ac:dyDescent="0.25">
      <c r="A164" t="s">
        <v>298</v>
      </c>
      <c r="B164">
        <v>9731600</v>
      </c>
      <c r="C164">
        <v>863500</v>
      </c>
      <c r="D164" s="17">
        <f t="shared" si="3"/>
        <v>863500</v>
      </c>
      <c r="E164" s="49">
        <f>VLOOKUP($A164,'Data shares'!$C:$FA,128)*100</f>
        <v>84.960000000000008</v>
      </c>
      <c r="F164" s="49">
        <f>VLOOKUP($A164,'Data shares'!$C:$FA,129)</f>
        <v>2154750</v>
      </c>
    </row>
    <row r="165" spans="1:6" x14ac:dyDescent="0.25">
      <c r="A165" t="s">
        <v>548</v>
      </c>
      <c r="B165">
        <v>442076</v>
      </c>
      <c r="C165">
        <v>9615</v>
      </c>
      <c r="D165" s="17">
        <f t="shared" si="3"/>
        <v>9615</v>
      </c>
      <c r="E165" s="49">
        <f>VLOOKUP($A165,'Data shares'!$C:$FA,128)*100</f>
        <v>91.12</v>
      </c>
      <c r="F165" s="49">
        <f>VLOOKUP($A165,'Data shares'!$C:$FA,129)</f>
        <v>24131275</v>
      </c>
    </row>
    <row r="166" spans="1:6" x14ac:dyDescent="0.25">
      <c r="A166" t="s">
        <v>530</v>
      </c>
      <c r="B166">
        <v>3258166</v>
      </c>
      <c r="C166">
        <v>219750</v>
      </c>
      <c r="D166" s="17">
        <f t="shared" si="3"/>
        <v>219750</v>
      </c>
      <c r="E166" s="49">
        <f>VLOOKUP($A166,'Data shares'!$C:$FA,128)*100</f>
        <v>82.27</v>
      </c>
      <c r="F166" s="49">
        <f>VLOOKUP($A166,'Data shares'!$C:$FA,129)</f>
        <v>3465000</v>
      </c>
    </row>
    <row r="167" spans="1:6" x14ac:dyDescent="0.25">
      <c r="A167" t="s">
        <v>249</v>
      </c>
      <c r="B167">
        <v>277168216</v>
      </c>
      <c r="C167">
        <v>21795375</v>
      </c>
      <c r="D167" s="17">
        <f t="shared" si="3"/>
        <v>21795375</v>
      </c>
      <c r="E167" s="49">
        <f>VLOOKUP($A167,'Data shares'!$C:$FA,128)*100</f>
        <v>88.89</v>
      </c>
      <c r="F167" s="49">
        <f>VLOOKUP($A167,'Data shares'!$C:$FA,129)</f>
        <v>15062425</v>
      </c>
    </row>
    <row r="168" spans="1:6" x14ac:dyDescent="0.25">
      <c r="A168" t="s">
        <v>216</v>
      </c>
      <c r="B168">
        <v>484955219</v>
      </c>
      <c r="C168">
        <v>230400000</v>
      </c>
      <c r="D168" s="17">
        <f t="shared" si="3"/>
        <v>230400000</v>
      </c>
      <c r="E168" s="49">
        <f>VLOOKUP($A168,'Data shares'!$C:$FA,128)*100</f>
        <v>97.009999999999991</v>
      </c>
      <c r="F168" s="49">
        <f>VLOOKUP($A168,'Data shares'!$C:$FA,129)</f>
        <v>156777075</v>
      </c>
    </row>
    <row r="169" spans="1:6" x14ac:dyDescent="0.25">
      <c r="A169" t="s">
        <v>252</v>
      </c>
      <c r="B169">
        <v>117640832</v>
      </c>
      <c r="C169">
        <v>52456000</v>
      </c>
      <c r="D169" s="17">
        <f t="shared" si="3"/>
        <v>52456000</v>
      </c>
      <c r="E169" s="49">
        <f>VLOOKUP($A169,'Data shares'!$C:$FA,128)*100</f>
        <v>0</v>
      </c>
      <c r="F169" s="49">
        <f>VLOOKUP($A169,'Data shares'!$C:$FA,129)</f>
        <v>0</v>
      </c>
    </row>
    <row r="170" spans="1:6" x14ac:dyDescent="0.25">
      <c r="A170" t="s">
        <v>205</v>
      </c>
      <c r="B170">
        <v>25513876</v>
      </c>
      <c r="C170">
        <v>3302300</v>
      </c>
      <c r="D170" s="17">
        <f t="shared" si="3"/>
        <v>3302300</v>
      </c>
      <c r="E170" s="49">
        <f>VLOOKUP($A170,'Data shares'!$C:$FA,128)*100</f>
        <v>97.98</v>
      </c>
      <c r="F170" s="49">
        <f>VLOOKUP($A170,'Data shares'!$C:$FA,129)</f>
        <v>2834700</v>
      </c>
    </row>
    <row r="171" spans="1:6" x14ac:dyDescent="0.25">
      <c r="A171" t="s">
        <v>194</v>
      </c>
      <c r="B171">
        <v>202646440</v>
      </c>
      <c r="C171">
        <v>52470000</v>
      </c>
      <c r="D171" s="17">
        <f t="shared" si="3"/>
        <v>52470000</v>
      </c>
      <c r="E171" s="49">
        <f>VLOOKUP($A171,'Data shares'!$C:$FA,128)*100</f>
        <v>78.22</v>
      </c>
      <c r="F171" s="49">
        <f>VLOOKUP($A171,'Data shares'!$C:$FA,129)</f>
        <v>38552000</v>
      </c>
    </row>
    <row r="172" spans="1:6" x14ac:dyDescent="0.25">
      <c r="A172" t="s">
        <v>263</v>
      </c>
      <c r="B172">
        <v>178967755</v>
      </c>
      <c r="C172">
        <v>142910500</v>
      </c>
      <c r="D172" s="17">
        <f t="shared" si="3"/>
        <v>142910500</v>
      </c>
      <c r="E172" s="49">
        <f>VLOOKUP($A172,'Data shares'!$C:$FA,128)*100</f>
        <v>94.789999999999992</v>
      </c>
      <c r="F172" s="49">
        <f>VLOOKUP($A172,'Data shares'!$C:$FA,129)</f>
        <v>50928750</v>
      </c>
    </row>
    <row r="173" spans="1:6" x14ac:dyDescent="0.25">
      <c r="A173" t="s">
        <v>476</v>
      </c>
      <c r="B173">
        <v>40446155</v>
      </c>
      <c r="C173">
        <v>4358800</v>
      </c>
      <c r="D173" s="17">
        <f t="shared" si="3"/>
        <v>4358800</v>
      </c>
      <c r="E173" s="49">
        <f>VLOOKUP($A173,'Data shares'!$C:$FA,128)*100</f>
        <v>0</v>
      </c>
      <c r="F173" s="49">
        <f>VLOOKUP($A173,'Data shares'!$C:$FA,129)</f>
        <v>0</v>
      </c>
    </row>
    <row r="174" spans="1:6" x14ac:dyDescent="0.25">
      <c r="A174" t="s">
        <v>187</v>
      </c>
      <c r="B174">
        <v>51436398</v>
      </c>
      <c r="C174">
        <v>7413750</v>
      </c>
      <c r="D174" s="17">
        <f t="shared" si="3"/>
        <v>7413750</v>
      </c>
      <c r="E174" s="49">
        <f>VLOOKUP($A174,'Data shares'!$C:$FA,128)*100</f>
        <v>94.94</v>
      </c>
      <c r="F174" s="49">
        <f>VLOOKUP($A174,'Data shares'!$C:$FA,129)</f>
        <v>10069500</v>
      </c>
    </row>
    <row r="175" spans="1:6" x14ac:dyDescent="0.25">
      <c r="A175" t="s">
        <v>493</v>
      </c>
      <c r="B175">
        <v>14814614</v>
      </c>
      <c r="C175">
        <v>3344250</v>
      </c>
      <c r="D175" s="17">
        <f t="shared" si="3"/>
        <v>3344250</v>
      </c>
      <c r="E175" s="49">
        <f>VLOOKUP($A175,'Data shares'!$C:$FA,128)*100</f>
        <v>84.94</v>
      </c>
      <c r="F175" s="49">
        <f>VLOOKUP($A175,'Data shares'!$C:$FA,129)</f>
        <v>2570425</v>
      </c>
    </row>
    <row r="176" spans="1:6" x14ac:dyDescent="0.25">
      <c r="A176" t="s">
        <v>525</v>
      </c>
      <c r="B176">
        <v>35635456</v>
      </c>
      <c r="C176">
        <v>28959300</v>
      </c>
      <c r="D176" s="17">
        <f t="shared" si="3"/>
        <v>28959300</v>
      </c>
      <c r="E176" s="49">
        <f>VLOOKUP($A176,'Data shares'!$C:$FA,128)*100</f>
        <v>95.960000000000008</v>
      </c>
      <c r="F176" s="49">
        <f>VLOOKUP($A176,'Data shares'!$C:$FA,129)</f>
        <v>10238050</v>
      </c>
    </row>
    <row r="177" spans="1:6" x14ac:dyDescent="0.25">
      <c r="A177" t="s">
        <v>512</v>
      </c>
      <c r="B177">
        <v>7771646</v>
      </c>
      <c r="C177">
        <v>1119375</v>
      </c>
      <c r="D177" s="17">
        <f t="shared" si="3"/>
        <v>1119375</v>
      </c>
      <c r="E177" s="49">
        <f>VLOOKUP($A177,'Data shares'!$C:$FA,128)*100</f>
        <v>87.81</v>
      </c>
      <c r="F177" s="49">
        <f>VLOOKUP($A177,'Data shares'!$C:$FA,129)</f>
        <v>1196300</v>
      </c>
    </row>
    <row r="178" spans="1:6" x14ac:dyDescent="0.25">
      <c r="A178" t="s">
        <v>233</v>
      </c>
      <c r="B178">
        <v>76432837</v>
      </c>
      <c r="C178">
        <v>9804000</v>
      </c>
      <c r="D178" s="17">
        <f t="shared" si="3"/>
        <v>9804000</v>
      </c>
      <c r="E178" s="49">
        <f>VLOOKUP($A178,'Data shares'!$C:$FA,128)*100</f>
        <v>91.43</v>
      </c>
      <c r="F178" s="49">
        <f>VLOOKUP($A178,'Data shares'!$C:$FA,129)</f>
        <v>12742800</v>
      </c>
    </row>
    <row r="179" spans="1:6" x14ac:dyDescent="0.25">
      <c r="A179" t="s">
        <v>183</v>
      </c>
      <c r="B179">
        <v>12092405</v>
      </c>
      <c r="C179">
        <v>2606450</v>
      </c>
      <c r="D179" s="17">
        <f t="shared" si="3"/>
        <v>2606450</v>
      </c>
      <c r="E179" s="49">
        <f>VLOOKUP($A179,'Data shares'!$C:$FA,128)*100</f>
        <v>77.98</v>
      </c>
      <c r="F179" s="49">
        <f>VLOOKUP($A179,'Data shares'!$C:$FA,129)</f>
        <v>1499960</v>
      </c>
    </row>
    <row r="180" spans="1:6" x14ac:dyDescent="0.25">
      <c r="A180" t="s">
        <v>280</v>
      </c>
      <c r="B180">
        <v>187084550</v>
      </c>
      <c r="C180">
        <v>50568000</v>
      </c>
      <c r="D180" s="17">
        <f t="shared" si="3"/>
        <v>50568000</v>
      </c>
      <c r="E180" s="49">
        <f>VLOOKUP($A180,'Data shares'!$C:$FA,128)*100</f>
        <v>95.83</v>
      </c>
      <c r="F180" s="49">
        <f>VLOOKUP($A180,'Data shares'!$C:$FA,129)</f>
        <v>71943150</v>
      </c>
    </row>
    <row r="181" spans="1:6" x14ac:dyDescent="0.25">
      <c r="A181" t="s">
        <v>166</v>
      </c>
      <c r="B181">
        <v>79597108</v>
      </c>
      <c r="C181">
        <v>26630000</v>
      </c>
      <c r="D181" s="17">
        <f t="shared" si="3"/>
        <v>26630000</v>
      </c>
      <c r="E181" s="49">
        <f>VLOOKUP($A181,'Data shares'!$C:$FA,128)*100</f>
        <v>93.17</v>
      </c>
      <c r="F181" s="49">
        <f>VLOOKUP($A181,'Data shares'!$C:$FA,129)</f>
        <v>2187500</v>
      </c>
    </row>
    <row r="182" spans="1:6" x14ac:dyDescent="0.25">
      <c r="A182" t="s">
        <v>241</v>
      </c>
      <c r="B182">
        <v>913205148</v>
      </c>
      <c r="C182">
        <v>118527500</v>
      </c>
      <c r="D182" s="17">
        <f t="shared" si="3"/>
        <v>118527500</v>
      </c>
      <c r="E182" s="49">
        <f>VLOOKUP($A182,'Data shares'!$C:$FA,128)*100</f>
        <v>71.39</v>
      </c>
      <c r="F182" s="49">
        <f>VLOOKUP($A182,'Data shares'!$C:$FA,129)</f>
        <v>63706500</v>
      </c>
    </row>
    <row r="183" spans="1:6" x14ac:dyDescent="0.25">
      <c r="A183" t="s">
        <v>517</v>
      </c>
      <c r="B183">
        <v>10180563</v>
      </c>
      <c r="C183">
        <v>3926650</v>
      </c>
      <c r="D183" s="17">
        <f t="shared" si="3"/>
        <v>3926650</v>
      </c>
      <c r="E183" s="49">
        <f>VLOOKUP($A183,'Data shares'!$C:$FA,128)*100</f>
        <v>87.59</v>
      </c>
      <c r="F183" s="49">
        <f>VLOOKUP($A183,'Data shares'!$C:$FA,129)</f>
        <v>1936625</v>
      </c>
    </row>
    <row r="184" spans="1:6" x14ac:dyDescent="0.25">
      <c r="A184" t="s">
        <v>211</v>
      </c>
      <c r="B184">
        <v>91809066</v>
      </c>
      <c r="C184">
        <v>33516000</v>
      </c>
      <c r="D184" s="17">
        <f t="shared" si="3"/>
        <v>33516000</v>
      </c>
      <c r="E184" s="49">
        <f>VLOOKUP($A184,'Data shares'!$C:$FA,128)*100</f>
        <v>94.56</v>
      </c>
      <c r="F184" s="49">
        <f>VLOOKUP($A184,'Data shares'!$C:$FA,129)</f>
        <v>17614800</v>
      </c>
    </row>
    <row r="185" spans="1:6" x14ac:dyDescent="0.25">
      <c r="A185" t="s">
        <v>518</v>
      </c>
      <c r="B185">
        <v>4636018</v>
      </c>
      <c r="C185">
        <v>608375</v>
      </c>
      <c r="D185" s="17">
        <f t="shared" si="3"/>
        <v>608375</v>
      </c>
      <c r="E185" s="49">
        <f>VLOOKUP($A185,'Data shares'!$C:$FA,128)*100</f>
        <v>90.39</v>
      </c>
      <c r="F185" s="49">
        <f>VLOOKUP($A185,'Data shares'!$C:$FA,129)</f>
        <v>847350</v>
      </c>
    </row>
    <row r="186" spans="1:6" x14ac:dyDescent="0.25">
      <c r="A186" t="s">
        <v>511</v>
      </c>
      <c r="B186">
        <v>18644752</v>
      </c>
      <c r="C186">
        <v>4227600</v>
      </c>
      <c r="D186" s="17">
        <f t="shared" si="3"/>
        <v>4227600</v>
      </c>
      <c r="E186" s="49">
        <f>VLOOKUP($A186,'Data shares'!$C:$FA,128)*100</f>
        <v>87.02</v>
      </c>
      <c r="F186" s="49">
        <f>VLOOKUP($A186,'Data shares'!$C:$FA,129)</f>
        <v>182391750</v>
      </c>
    </row>
    <row r="187" spans="1:6" x14ac:dyDescent="0.25">
      <c r="A187" t="s">
        <v>186</v>
      </c>
      <c r="B187">
        <v>48589957</v>
      </c>
      <c r="C187">
        <v>5942200</v>
      </c>
      <c r="D187" s="17">
        <f t="shared" si="3"/>
        <v>5942200</v>
      </c>
      <c r="E187" s="49">
        <f>VLOOKUP($A187,'Data shares'!$C:$FA,128)*100</f>
        <v>93.44</v>
      </c>
      <c r="F187" s="49">
        <f>VLOOKUP($A187,'Data shares'!$C:$FA,129)</f>
        <v>100314300</v>
      </c>
    </row>
    <row r="188" spans="1:6" x14ac:dyDescent="0.25">
      <c r="A188" t="s">
        <v>522</v>
      </c>
      <c r="B188">
        <v>1063050</v>
      </c>
      <c r="C188">
        <v>54050</v>
      </c>
      <c r="D188" s="17">
        <f t="shared" si="3"/>
        <v>54050</v>
      </c>
      <c r="E188" s="49">
        <f>VLOOKUP($A188,'Data shares'!$C:$FA,128)*100</f>
        <v>94.179999999999993</v>
      </c>
      <c r="F188" s="49">
        <f>VLOOKUP($A188,'Data shares'!$C:$FA,129)</f>
        <v>2338875</v>
      </c>
    </row>
    <row r="189" spans="1:6" x14ac:dyDescent="0.25">
      <c r="A189" t="s">
        <v>300</v>
      </c>
      <c r="B189">
        <v>45360865</v>
      </c>
      <c r="C189">
        <v>14277200</v>
      </c>
      <c r="D189" s="17">
        <f t="shared" si="3"/>
        <v>14277200</v>
      </c>
      <c r="E189" s="49">
        <f>VLOOKUP($A189,'Data shares'!$C:$FA,128)*100</f>
        <v>83.48</v>
      </c>
      <c r="F189" s="49">
        <f>VLOOKUP($A189,'Data shares'!$C:$FA,129)</f>
        <v>6473600</v>
      </c>
    </row>
    <row r="190" spans="1:6" x14ac:dyDescent="0.25">
      <c r="A190" t="s">
        <v>520</v>
      </c>
      <c r="B190">
        <v>23139622</v>
      </c>
      <c r="C190">
        <v>1555500</v>
      </c>
      <c r="D190" s="17">
        <f t="shared" si="3"/>
        <v>1555500</v>
      </c>
      <c r="E190" s="49">
        <f>VLOOKUP($A190,'Data shares'!$C:$FA,128)*100</f>
        <v>95.240000000000009</v>
      </c>
      <c r="F190" s="49">
        <f>VLOOKUP($A190,'Data shares'!$C:$FA,129)</f>
        <v>8189000</v>
      </c>
    </row>
    <row r="191" spans="1:6" x14ac:dyDescent="0.25">
      <c r="A191" t="s">
        <v>294</v>
      </c>
      <c r="B191">
        <v>161436977</v>
      </c>
      <c r="C191">
        <v>59382700</v>
      </c>
      <c r="D191" s="17">
        <f t="shared" si="3"/>
        <v>59382700</v>
      </c>
      <c r="E191" s="49">
        <f>VLOOKUP($A191,'Data shares'!$C:$FA,128)*100</f>
        <v>87.039999999999992</v>
      </c>
      <c r="F191" s="49">
        <f>VLOOKUP($A191,'Data shares'!$C:$FA,129)</f>
        <v>156755500</v>
      </c>
    </row>
    <row r="192" spans="1:6" x14ac:dyDescent="0.25">
      <c r="A192" t="s">
        <v>244</v>
      </c>
      <c r="B192">
        <v>265685393</v>
      </c>
      <c r="C192">
        <v>44023500</v>
      </c>
      <c r="D192" s="17">
        <f t="shared" si="3"/>
        <v>44023500</v>
      </c>
      <c r="E192" s="49">
        <f>VLOOKUP($A192,'Data shares'!$C:$FA,128)*100</f>
        <v>94.34</v>
      </c>
      <c r="F192" s="49">
        <f>VLOOKUP($A192,'Data shares'!$C:$FA,129)</f>
        <v>34989300</v>
      </c>
    </row>
    <row r="193" spans="1:6" x14ac:dyDescent="0.25">
      <c r="A193" t="s">
        <v>160</v>
      </c>
      <c r="B193">
        <v>145684825</v>
      </c>
      <c r="C193">
        <v>110820000</v>
      </c>
      <c r="D193" s="17">
        <f t="shared" si="3"/>
        <v>110820000</v>
      </c>
      <c r="E193" s="49">
        <f>VLOOKUP($A193,'Data shares'!$C:$FA,128)*100</f>
        <v>94.210000000000008</v>
      </c>
      <c r="F193" s="49">
        <f>VLOOKUP($A193,'Data shares'!$C:$FA,129)</f>
        <v>18895025</v>
      </c>
    </row>
    <row r="194" spans="1:6" x14ac:dyDescent="0.25">
      <c r="A194" t="s">
        <v>496</v>
      </c>
      <c r="B194">
        <v>11999202</v>
      </c>
      <c r="C194">
        <v>2345700</v>
      </c>
      <c r="D194" s="17">
        <f t="shared" si="3"/>
        <v>2345700</v>
      </c>
      <c r="E194" s="49">
        <f>VLOOKUP($A194,'Data shares'!$C:$FA,128)*100</f>
        <v>89.61</v>
      </c>
      <c r="F194" s="49">
        <f>VLOOKUP($A194,'Data shares'!$C:$FA,129)</f>
        <v>4322850</v>
      </c>
    </row>
    <row r="195" spans="1:6" x14ac:dyDescent="0.25">
      <c r="A195" t="s">
        <v>230</v>
      </c>
      <c r="B195">
        <v>179034270</v>
      </c>
      <c r="C195">
        <v>24257400</v>
      </c>
      <c r="D195" s="17">
        <f t="shared" si="3"/>
        <v>24257400</v>
      </c>
      <c r="E195" s="49">
        <f>VLOOKUP($A195,'Data shares'!$C:$FA,128)*100</f>
        <v>86.13</v>
      </c>
      <c r="F195" s="49">
        <f>VLOOKUP($A195,'Data shares'!$C:$FA,129)</f>
        <v>14771400</v>
      </c>
    </row>
    <row r="196" spans="1:6" x14ac:dyDescent="0.25">
      <c r="A196" t="s">
        <v>203</v>
      </c>
      <c r="B196">
        <v>27165463</v>
      </c>
      <c r="C196">
        <v>3318000</v>
      </c>
      <c r="D196" s="17">
        <f t="shared" si="3"/>
        <v>3318000</v>
      </c>
      <c r="E196" s="49">
        <f>VLOOKUP($A196,'Data shares'!$C:$FA,128)*100</f>
        <v>94.95</v>
      </c>
      <c r="F196" s="49">
        <f>VLOOKUP($A196,'Data shares'!$C:$FA,129)</f>
        <v>3165000</v>
      </c>
    </row>
    <row r="197" spans="1:6" x14ac:dyDescent="0.25">
      <c r="A197" t="s">
        <v>251</v>
      </c>
      <c r="B197">
        <v>184464522</v>
      </c>
      <c r="C197">
        <v>32566800</v>
      </c>
      <c r="D197" s="17">
        <f t="shared" si="3"/>
        <v>32566800</v>
      </c>
      <c r="E197" s="49">
        <f>VLOOKUP($A197,'Data shares'!$C:$FA,128)*100</f>
        <v>98.67</v>
      </c>
      <c r="F197" s="49">
        <f>VLOOKUP($A197,'Data shares'!$C:$FA,129)</f>
        <v>21922000</v>
      </c>
    </row>
    <row r="198" spans="1:6" x14ac:dyDescent="0.25">
      <c r="A198" t="s">
        <v>254</v>
      </c>
      <c r="B198">
        <v>104419539</v>
      </c>
      <c r="C198">
        <v>12741000</v>
      </c>
      <c r="D198" s="17">
        <f t="shared" si="3"/>
        <v>12741000</v>
      </c>
      <c r="E198" s="49">
        <f>VLOOKUP($A198,'Data shares'!$C:$FA,128)*100</f>
        <v>97.97</v>
      </c>
      <c r="F198" s="49">
        <f>VLOOKUP($A198,'Data shares'!$C:$FA,129)</f>
        <v>19939200</v>
      </c>
    </row>
    <row r="199" spans="1:6" x14ac:dyDescent="0.25">
      <c r="A199" t="s">
        <v>159</v>
      </c>
      <c r="B199">
        <v>55169320</v>
      </c>
      <c r="C199">
        <v>29565500</v>
      </c>
      <c r="D199" s="17">
        <f t="shared" si="3"/>
        <v>29565500</v>
      </c>
      <c r="E199" s="49">
        <f>VLOOKUP($A199,'Data shares'!$C:$FA,128)*100</f>
        <v>93.89</v>
      </c>
      <c r="F199" s="49">
        <f>VLOOKUP($A199,'Data shares'!$C:$FA,129)</f>
        <v>14984400</v>
      </c>
    </row>
    <row r="200" spans="1:6" x14ac:dyDescent="0.25">
      <c r="A200" t="s">
        <v>201</v>
      </c>
      <c r="B200">
        <v>26654592</v>
      </c>
      <c r="C200">
        <v>3469200</v>
      </c>
      <c r="D200" s="17">
        <f t="shared" si="3"/>
        <v>3469200</v>
      </c>
      <c r="E200" s="49">
        <f>VLOOKUP($A200,'Data shares'!$C:$FA,128)*100</f>
        <v>96.21</v>
      </c>
      <c r="F200" s="49">
        <f>VLOOKUP($A200,'Data shares'!$C:$FA,129)</f>
        <v>4826475</v>
      </c>
    </row>
    <row r="201" spans="1:6" x14ac:dyDescent="0.25">
      <c r="A201" t="s">
        <v>199</v>
      </c>
      <c r="B201">
        <v>102562642</v>
      </c>
      <c r="C201">
        <v>20641400</v>
      </c>
      <c r="D201" s="17">
        <f t="shared" si="3"/>
        <v>20641400</v>
      </c>
      <c r="E201" s="49">
        <f>VLOOKUP($A201,'Data shares'!$C:$FA,128)*100</f>
        <v>95.99</v>
      </c>
      <c r="F201" s="49">
        <f>VLOOKUP($A201,'Data shares'!$C:$FA,129)</f>
        <v>10889250</v>
      </c>
    </row>
    <row r="202" spans="1:6" x14ac:dyDescent="0.25">
      <c r="A202" t="s">
        <v>296</v>
      </c>
      <c r="B202">
        <v>124861039</v>
      </c>
      <c r="C202">
        <v>20543400</v>
      </c>
      <c r="D202" s="17">
        <f t="shared" si="3"/>
        <v>20543400</v>
      </c>
      <c r="E202" s="49">
        <f>VLOOKUP($A202,'Data shares'!$C:$FA,128)*100</f>
        <v>89.35</v>
      </c>
      <c r="F202" s="49">
        <f>VLOOKUP($A202,'Data shares'!$C:$FA,129)</f>
        <v>14606400</v>
      </c>
    </row>
    <row r="203" spans="1:6" x14ac:dyDescent="0.25">
      <c r="A203" t="s">
        <v>229</v>
      </c>
      <c r="B203">
        <v>127940594</v>
      </c>
      <c r="C203">
        <v>33552900</v>
      </c>
      <c r="D203" s="17">
        <f t="shared" si="3"/>
        <v>33552900</v>
      </c>
      <c r="E203" s="49">
        <f>VLOOKUP($A203,'Data shares'!$C:$FA,128)*100</f>
        <v>85.13</v>
      </c>
      <c r="F203" s="49">
        <f>VLOOKUP($A203,'Data shares'!$C:$FA,129)</f>
        <v>48875400</v>
      </c>
    </row>
    <row r="204" spans="1:6" x14ac:dyDescent="0.25">
      <c r="A204" t="s">
        <v>497</v>
      </c>
      <c r="B204">
        <v>10251929</v>
      </c>
      <c r="C204">
        <v>266200</v>
      </c>
      <c r="D204" s="17">
        <f t="shared" si="3"/>
        <v>266200</v>
      </c>
      <c r="E204" s="49">
        <f>VLOOKUP($A204,'Data shares'!$C:$FA,128)*100</f>
        <v>94.64</v>
      </c>
      <c r="F204" s="49">
        <f>VLOOKUP($A204,'Data shares'!$C:$FA,129)</f>
        <v>1035375</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F14" sqref="F14"/>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28" zoomScale="86" zoomScaleNormal="86" workbookViewId="0">
      <selection activeCell="K33" sqref="K33"/>
    </sheetView>
  </sheetViews>
  <sheetFormatPr defaultRowHeight="15" x14ac:dyDescent="0.25"/>
  <cols>
    <col min="1" max="1" width="11.285156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11.285156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1.28515625" customWidth="1"/>
    <col min="35" max="35" width="16.42578125" customWidth="1"/>
    <col min="36" max="36" width="15.28515625" customWidth="1"/>
    <col min="37" max="37" width="13.140625" customWidth="1"/>
    <col min="38" max="38" width="11.285156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42578125" customWidth="1"/>
    <col min="80" max="80" width="11.425781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5703125" customWidth="1"/>
    <col min="90" max="90" width="13" customWidth="1"/>
    <col min="91" max="91" width="11.7109375" customWidth="1"/>
    <col min="92" max="92" width="10.5703125" customWidth="1"/>
    <col min="93" max="93" width="10.42578125" customWidth="1"/>
    <col min="94" max="94" width="13.5703125" customWidth="1"/>
    <col min="95" max="95" width="12.42578125" customWidth="1"/>
    <col min="96" max="96" width="11.42578125" customWidth="1"/>
    <col min="97" max="97" width="10.42578125" customWidth="1"/>
    <col min="98" max="98" width="13.42578125" customWidth="1"/>
    <col min="99" max="99" width="12.28515625" customWidth="1"/>
    <col min="100" max="100" width="10.28515625" customWidth="1"/>
    <col min="101" max="101" width="10.42578125" customWidth="1"/>
    <col min="102" max="102" width="14.85546875" customWidth="1"/>
    <col min="103" max="103" width="13.85546875" customWidth="1"/>
    <col min="104" max="104" width="11.7109375" customWidth="1"/>
    <col min="105" max="105" width="8.28515625" customWidth="1"/>
    <col min="106" max="106" width="9" customWidth="1"/>
    <col min="107" max="108" width="9.140625"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1.425781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28515625" customWidth="1"/>
    <col min="133" max="133" width="15.42578125" customWidth="1"/>
    <col min="134" max="134" width="12.7109375" customWidth="1"/>
    <col min="135" max="135" width="11.5703125" customWidth="1"/>
    <col min="136" max="136" width="13.5703125" customWidth="1"/>
    <col min="137" max="137" width="13.28515625" customWidth="1"/>
    <col min="138" max="138" width="16.28515625" customWidth="1"/>
    <col min="139" max="139" width="11.710937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45869</v>
      </c>
      <c r="B2" s="227" t="s">
        <v>175</v>
      </c>
      <c r="C2" s="227" t="s">
        <v>684</v>
      </c>
      <c r="D2" s="228">
        <v>500</v>
      </c>
      <c r="E2" s="228">
        <v>0</v>
      </c>
      <c r="F2" s="231">
        <v>1057.5999999999999</v>
      </c>
      <c r="G2" s="231">
        <v>1066.9000000000001</v>
      </c>
      <c r="H2" s="228">
        <v>-9.3000000000000007</v>
      </c>
      <c r="I2" s="229">
        <v>-8.6999999999999994E-3</v>
      </c>
      <c r="J2" s="231">
        <v>1052.7</v>
      </c>
      <c r="K2" s="231">
        <v>1060.2</v>
      </c>
      <c r="L2" s="228">
        <v>-7.5</v>
      </c>
      <c r="M2" s="229">
        <v>-7.1000000000000004E-3</v>
      </c>
      <c r="N2" s="231">
        <v>1051</v>
      </c>
      <c r="O2" s="231">
        <v>1060.2</v>
      </c>
      <c r="P2" s="228">
        <v>-9.1999999999999993</v>
      </c>
      <c r="Q2" s="229">
        <v>-8.6999999999999994E-3</v>
      </c>
      <c r="R2" s="231">
        <v>1057.5999999999999</v>
      </c>
      <c r="S2" s="231">
        <v>1066.9000000000001</v>
      </c>
      <c r="T2" s="228">
        <v>-9.3000000000000007</v>
      </c>
      <c r="U2" s="229">
        <v>-8.6999999999999994E-3</v>
      </c>
      <c r="V2" s="231">
        <v>1062.3</v>
      </c>
      <c r="W2" s="231">
        <v>1070</v>
      </c>
      <c r="X2" s="228">
        <v>-7.7</v>
      </c>
      <c r="Y2" s="229">
        <v>-7.1999999999999998E-3</v>
      </c>
      <c r="Z2" s="228">
        <v>4.9000000000000004</v>
      </c>
      <c r="AA2" s="228">
        <v>0</v>
      </c>
      <c r="AB2" s="228">
        <v>4.9000000000000004</v>
      </c>
      <c r="AC2" s="229">
        <v>4.7000000000000002E-3</v>
      </c>
      <c r="AD2" s="228">
        <v>-1.7</v>
      </c>
      <c r="AE2" s="228">
        <v>0</v>
      </c>
      <c r="AF2" s="228">
        <v>-1.7</v>
      </c>
      <c r="AG2" s="229">
        <v>-1.6000000000000001E-3</v>
      </c>
      <c r="AH2" s="228">
        <v>4.9000000000000004</v>
      </c>
      <c r="AI2" s="228">
        <v>6.7</v>
      </c>
      <c r="AJ2" s="228">
        <v>-1.8</v>
      </c>
      <c r="AK2" s="229">
        <v>4.7000000000000002E-3</v>
      </c>
      <c r="AL2" s="228">
        <v>9.6</v>
      </c>
      <c r="AM2" s="228">
        <v>9.8000000000000007</v>
      </c>
      <c r="AN2" s="228">
        <v>-0.2</v>
      </c>
      <c r="AO2" s="229">
        <v>9.1000000000000004E-3</v>
      </c>
      <c r="AP2" s="231">
        <v>1049.4000000000001</v>
      </c>
      <c r="AQ2" s="231">
        <v>1055.18</v>
      </c>
      <c r="AR2" s="228">
        <v>0</v>
      </c>
      <c r="AS2" s="228">
        <v>472</v>
      </c>
      <c r="AT2" s="228">
        <v>232</v>
      </c>
      <c r="AU2" s="228">
        <v>240</v>
      </c>
      <c r="AV2" s="229">
        <v>1.0369999999999999</v>
      </c>
      <c r="AW2" s="228">
        <v>198</v>
      </c>
      <c r="AX2" s="228">
        <v>94</v>
      </c>
      <c r="AY2" s="228">
        <v>105</v>
      </c>
      <c r="AZ2" s="229">
        <v>1.1173999999999999</v>
      </c>
      <c r="BA2" s="228">
        <v>273</v>
      </c>
      <c r="BB2" s="228">
        <v>138</v>
      </c>
      <c r="BC2" s="228">
        <v>136</v>
      </c>
      <c r="BD2" s="229">
        <v>0.9839</v>
      </c>
      <c r="BE2" s="228">
        <v>0</v>
      </c>
      <c r="BF2" s="228">
        <v>0</v>
      </c>
      <c r="BG2" s="228">
        <v>0</v>
      </c>
      <c r="BH2" s="229">
        <v>0.2</v>
      </c>
      <c r="BI2" s="228">
        <v>117</v>
      </c>
      <c r="BJ2" s="228">
        <v>252</v>
      </c>
      <c r="BK2" s="228">
        <v>-135</v>
      </c>
      <c r="BL2" s="229">
        <v>-0.53569999999999995</v>
      </c>
      <c r="BM2" s="228">
        <v>47</v>
      </c>
      <c r="BN2" s="228">
        <v>49</v>
      </c>
      <c r="BO2" s="228">
        <v>-2</v>
      </c>
      <c r="BP2" s="229">
        <v>-4.9399999999999999E-2</v>
      </c>
      <c r="BQ2" s="228">
        <v>636</v>
      </c>
      <c r="BR2" s="228">
        <v>533</v>
      </c>
      <c r="BS2" s="228">
        <v>103</v>
      </c>
      <c r="BT2" s="229">
        <v>0.1925</v>
      </c>
      <c r="BU2" s="230">
        <v>1272584</v>
      </c>
      <c r="BV2" s="230">
        <v>1007666</v>
      </c>
      <c r="BW2" s="230">
        <v>264918</v>
      </c>
      <c r="BX2" s="229">
        <v>0.26290000000000002</v>
      </c>
      <c r="BY2" s="228">
        <v>504</v>
      </c>
      <c r="BZ2" s="228">
        <v>658</v>
      </c>
      <c r="CA2" s="228">
        <v>-154</v>
      </c>
      <c r="CB2" s="229">
        <v>-0.2336</v>
      </c>
      <c r="CC2" s="228">
        <v>191</v>
      </c>
      <c r="CD2" s="228">
        <v>227</v>
      </c>
      <c r="CE2" s="228">
        <v>-36</v>
      </c>
      <c r="CF2" s="229">
        <v>-0.157</v>
      </c>
      <c r="CG2" s="228">
        <v>503</v>
      </c>
      <c r="CH2" s="228">
        <v>430</v>
      </c>
      <c r="CI2" s="228">
        <v>73</v>
      </c>
      <c r="CJ2" s="229">
        <v>0.17030000000000001</v>
      </c>
      <c r="CK2" s="228">
        <v>1</v>
      </c>
      <c r="CL2" s="228">
        <v>1</v>
      </c>
      <c r="CM2" s="228">
        <v>0</v>
      </c>
      <c r="CN2" s="229">
        <v>0.1176</v>
      </c>
      <c r="CO2" s="228">
        <v>88</v>
      </c>
      <c r="CP2" s="228">
        <v>238</v>
      </c>
      <c r="CQ2" s="228">
        <v>-151</v>
      </c>
      <c r="CR2" s="229">
        <v>-0.63260000000000005</v>
      </c>
      <c r="CS2" s="228">
        <v>66</v>
      </c>
      <c r="CT2" s="228">
        <v>138</v>
      </c>
      <c r="CU2" s="228">
        <v>-73</v>
      </c>
      <c r="CV2" s="229">
        <v>-0.52569999999999995</v>
      </c>
      <c r="CW2" s="228">
        <v>657</v>
      </c>
      <c r="CX2" s="230">
        <v>1034</v>
      </c>
      <c r="CY2" s="228">
        <v>-377</v>
      </c>
      <c r="CZ2" s="229">
        <v>-0.36459999999999998</v>
      </c>
      <c r="DA2" s="228">
        <v>29.04</v>
      </c>
      <c r="DB2" s="228">
        <v>29.92</v>
      </c>
      <c r="DC2" s="228">
        <v>-0.88</v>
      </c>
      <c r="DD2" s="228">
        <v>-0.88</v>
      </c>
      <c r="DE2" s="228">
        <v>49.62</v>
      </c>
      <c r="DF2" s="228">
        <v>49.73</v>
      </c>
      <c r="DG2" s="228">
        <v>-20.58</v>
      </c>
      <c r="DH2" s="228">
        <v>-0.11</v>
      </c>
      <c r="DI2" s="228">
        <v>29.95</v>
      </c>
      <c r="DJ2" s="228">
        <v>30.7</v>
      </c>
      <c r="DK2" s="228">
        <v>-0.75</v>
      </c>
      <c r="DL2" s="228">
        <v>-0.75</v>
      </c>
      <c r="DM2" s="228">
        <v>27.09</v>
      </c>
      <c r="DN2" s="228">
        <v>26.11</v>
      </c>
      <c r="DO2" s="228">
        <v>0.98</v>
      </c>
      <c r="DP2" s="228">
        <v>0.98</v>
      </c>
      <c r="DQ2" s="228">
        <v>0.75</v>
      </c>
      <c r="DR2" s="228">
        <v>0.57999999999999996</v>
      </c>
      <c r="DS2" s="228">
        <v>0.17</v>
      </c>
      <c r="DT2" s="229">
        <v>0.29310000000000003</v>
      </c>
      <c r="DU2" s="231">
        <v>1200</v>
      </c>
      <c r="DV2" s="231">
        <v>1140</v>
      </c>
      <c r="DW2" s="228">
        <v>0.4</v>
      </c>
      <c r="DX2" s="228">
        <v>0.2</v>
      </c>
      <c r="DY2" s="228">
        <v>0.2</v>
      </c>
      <c r="DZ2" s="229">
        <v>1</v>
      </c>
      <c r="EA2" s="229">
        <v>0.72489999999999999</v>
      </c>
      <c r="EB2" s="230">
        <v>4073000</v>
      </c>
      <c r="EC2" s="229">
        <v>6.3E-3</v>
      </c>
      <c r="ED2" s="229">
        <v>0.72489999999999999</v>
      </c>
      <c r="EE2" s="228">
        <v>5.78</v>
      </c>
      <c r="EF2" s="229">
        <v>5.4999999999999997E-3</v>
      </c>
      <c r="EG2" s="230">
        <v>903217</v>
      </c>
      <c r="EH2" s="230">
        <v>649518</v>
      </c>
      <c r="EI2" s="229">
        <v>0.3906</v>
      </c>
      <c r="EJ2" s="229">
        <v>0.70979999999999999</v>
      </c>
      <c r="EK2" s="228">
        <v>129.72</v>
      </c>
      <c r="EL2" s="228">
        <v>49.22</v>
      </c>
      <c r="EM2" s="228">
        <v>469.95</v>
      </c>
      <c r="EN2" s="228">
        <v>0</v>
      </c>
      <c r="EO2" s="228">
        <v>648.9</v>
      </c>
      <c r="EP2" s="228">
        <v>568</v>
      </c>
      <c r="EQ2" s="228">
        <v>80.900000000000006</v>
      </c>
      <c r="ER2" s="229">
        <v>0.1424</v>
      </c>
      <c r="ES2" s="228">
        <v>95</v>
      </c>
      <c r="ET2" s="228">
        <v>67.83</v>
      </c>
      <c r="EU2" s="228">
        <v>504.06</v>
      </c>
      <c r="EV2" s="231">
        <v>72384900</v>
      </c>
      <c r="EW2" s="228">
        <v>666.89</v>
      </c>
      <c r="EX2" s="231">
        <v>1073.82</v>
      </c>
      <c r="EY2" s="228">
        <v>-406.93</v>
      </c>
      <c r="EZ2" s="229">
        <v>-0.379</v>
      </c>
      <c r="FA2" s="229">
        <v>8.5800000000000001E-2</v>
      </c>
      <c r="FB2" s="227" t="s">
        <v>568</v>
      </c>
      <c r="FC2">
        <f>BY2-CC2</f>
        <v>313</v>
      </c>
    </row>
    <row r="3" spans="1:159" ht="17.25" thickBot="1" x14ac:dyDescent="0.3">
      <c r="A3" s="226">
        <v>45869</v>
      </c>
      <c r="B3" s="227" t="s">
        <v>498</v>
      </c>
      <c r="C3" s="227" t="s">
        <v>476</v>
      </c>
      <c r="D3" s="228">
        <v>1325</v>
      </c>
      <c r="E3" s="228">
        <v>0</v>
      </c>
      <c r="F3" s="228">
        <v>0</v>
      </c>
      <c r="G3" s="228">
        <v>0</v>
      </c>
      <c r="H3" s="228">
        <v>0</v>
      </c>
      <c r="I3" s="229">
        <v>0</v>
      </c>
      <c r="J3" s="228">
        <v>420.05</v>
      </c>
      <c r="K3" s="228">
        <v>445.5</v>
      </c>
      <c r="L3" s="228">
        <v>-25.45</v>
      </c>
      <c r="M3" s="229">
        <v>-5.7099999999999998E-2</v>
      </c>
      <c r="N3" s="228">
        <v>418.95</v>
      </c>
      <c r="O3" s="228">
        <v>445.35</v>
      </c>
      <c r="P3" s="228">
        <v>-26.4</v>
      </c>
      <c r="Q3" s="229">
        <v>-5.9299999999999999E-2</v>
      </c>
      <c r="R3" s="228">
        <v>0</v>
      </c>
      <c r="S3" s="228">
        <v>0</v>
      </c>
      <c r="T3" s="228">
        <v>0</v>
      </c>
      <c r="U3" s="229">
        <v>0</v>
      </c>
      <c r="V3" s="228">
        <v>0</v>
      </c>
      <c r="W3" s="228">
        <v>0</v>
      </c>
      <c r="X3" s="228">
        <v>0</v>
      </c>
      <c r="Y3" s="229">
        <v>0</v>
      </c>
      <c r="Z3" s="228">
        <v>0</v>
      </c>
      <c r="AA3" s="228">
        <v>-0.15</v>
      </c>
      <c r="AB3" s="228">
        <v>0</v>
      </c>
      <c r="AC3" s="229">
        <v>0</v>
      </c>
      <c r="AD3" s="228">
        <v>-1.1000000000000001</v>
      </c>
      <c r="AE3" s="228">
        <v>-0.15</v>
      </c>
      <c r="AF3" s="228">
        <v>-0.95</v>
      </c>
      <c r="AG3" s="229">
        <v>-2.5999999999999999E-3</v>
      </c>
      <c r="AH3" s="228">
        <v>0</v>
      </c>
      <c r="AI3" s="228">
        <v>0</v>
      </c>
      <c r="AJ3" s="228">
        <v>0</v>
      </c>
      <c r="AK3" s="229">
        <v>0</v>
      </c>
      <c r="AL3" s="228">
        <v>0</v>
      </c>
      <c r="AM3" s="228">
        <v>0</v>
      </c>
      <c r="AN3" s="228">
        <v>0</v>
      </c>
      <c r="AO3" s="229">
        <v>0</v>
      </c>
      <c r="AP3" s="228">
        <v>423.17</v>
      </c>
      <c r="AQ3" s="228">
        <v>0</v>
      </c>
      <c r="AR3" s="228">
        <v>0</v>
      </c>
      <c r="AS3" s="228">
        <v>0</v>
      </c>
      <c r="AT3" s="228">
        <v>0</v>
      </c>
      <c r="AU3" s="228">
        <v>0</v>
      </c>
      <c r="AV3" s="229">
        <v>0.87629999999999997</v>
      </c>
      <c r="AW3" s="228">
        <v>0</v>
      </c>
      <c r="AX3" s="228">
        <v>0</v>
      </c>
      <c r="AY3" s="228">
        <v>0</v>
      </c>
      <c r="AZ3" s="229">
        <v>0.87629999999999997</v>
      </c>
      <c r="BA3" s="228">
        <v>0</v>
      </c>
      <c r="BB3" s="228">
        <v>0</v>
      </c>
      <c r="BC3" s="228">
        <v>0</v>
      </c>
      <c r="BD3" s="229">
        <v>0</v>
      </c>
      <c r="BE3" s="228">
        <v>0</v>
      </c>
      <c r="BF3" s="228">
        <v>0</v>
      </c>
      <c r="BG3" s="228">
        <v>0</v>
      </c>
      <c r="BH3" s="229">
        <v>0</v>
      </c>
      <c r="BI3" s="228">
        <v>0</v>
      </c>
      <c r="BJ3" s="228">
        <v>0</v>
      </c>
      <c r="BK3" s="228">
        <v>0</v>
      </c>
      <c r="BL3" s="229">
        <v>-2.1999999999999999E-2</v>
      </c>
      <c r="BM3" s="228">
        <v>0</v>
      </c>
      <c r="BN3" s="228">
        <v>0</v>
      </c>
      <c r="BO3" s="228">
        <v>0</v>
      </c>
      <c r="BP3" s="229">
        <v>0.50280000000000002</v>
      </c>
      <c r="BQ3" s="228">
        <v>0</v>
      </c>
      <c r="BR3" s="228">
        <v>0</v>
      </c>
      <c r="BS3" s="228">
        <v>0</v>
      </c>
      <c r="BT3" s="229">
        <v>0.34939999999999999</v>
      </c>
      <c r="BU3" s="230">
        <v>7549950</v>
      </c>
      <c r="BV3" s="230">
        <v>1774753</v>
      </c>
      <c r="BW3" s="230">
        <v>5775197</v>
      </c>
      <c r="BX3" s="229">
        <v>3.2541000000000002</v>
      </c>
      <c r="BY3" s="228">
        <v>0</v>
      </c>
      <c r="BZ3" s="228">
        <v>0</v>
      </c>
      <c r="CA3" s="228">
        <v>0</v>
      </c>
      <c r="CB3" s="229">
        <v>-1</v>
      </c>
      <c r="CC3" s="228">
        <v>0</v>
      </c>
      <c r="CD3" s="228">
        <v>0</v>
      </c>
      <c r="CE3" s="228">
        <v>0</v>
      </c>
      <c r="CF3" s="229">
        <v>-0.57699999999999996</v>
      </c>
      <c r="CG3" s="228">
        <v>0</v>
      </c>
      <c r="CH3" s="228">
        <v>0</v>
      </c>
      <c r="CI3" s="228">
        <v>0</v>
      </c>
      <c r="CJ3" s="229">
        <v>0</v>
      </c>
      <c r="CK3" s="228">
        <v>0</v>
      </c>
      <c r="CL3" s="228">
        <v>0</v>
      </c>
      <c r="CM3" s="228">
        <v>0</v>
      </c>
      <c r="CN3" s="229">
        <v>0</v>
      </c>
      <c r="CO3" s="228">
        <v>0</v>
      </c>
      <c r="CP3" s="228">
        <v>0</v>
      </c>
      <c r="CQ3" s="228">
        <v>0</v>
      </c>
      <c r="CR3" s="229">
        <v>-0.1237</v>
      </c>
      <c r="CS3" s="228">
        <v>0</v>
      </c>
      <c r="CT3" s="228">
        <v>0</v>
      </c>
      <c r="CU3" s="228">
        <v>0</v>
      </c>
      <c r="CV3" s="229">
        <v>-0.2427</v>
      </c>
      <c r="CW3" s="228">
        <v>0</v>
      </c>
      <c r="CX3" s="228">
        <v>0</v>
      </c>
      <c r="CY3" s="228">
        <v>0</v>
      </c>
      <c r="CZ3" s="229">
        <v>-0.46739999999999998</v>
      </c>
      <c r="DA3" s="228">
        <v>43.95</v>
      </c>
      <c r="DB3" s="228">
        <v>43.95</v>
      </c>
      <c r="DC3" s="228">
        <v>0</v>
      </c>
      <c r="DD3" s="228">
        <v>0</v>
      </c>
      <c r="DE3" s="228">
        <v>43.95</v>
      </c>
      <c r="DF3" s="228">
        <v>43.95</v>
      </c>
      <c r="DG3" s="228">
        <v>0</v>
      </c>
      <c r="DH3" s="228">
        <v>0</v>
      </c>
      <c r="DI3" s="228">
        <v>43.95</v>
      </c>
      <c r="DJ3" s="228">
        <v>43.95</v>
      </c>
      <c r="DK3" s="228">
        <v>0</v>
      </c>
      <c r="DL3" s="228">
        <v>0</v>
      </c>
      <c r="DM3" s="228">
        <v>43.95</v>
      </c>
      <c r="DN3" s="228">
        <v>43.95</v>
      </c>
      <c r="DO3" s="228">
        <v>0</v>
      </c>
      <c r="DP3" s="228">
        <v>0</v>
      </c>
      <c r="DQ3" s="228">
        <v>0.37</v>
      </c>
      <c r="DR3" s="228">
        <v>0.43</v>
      </c>
      <c r="DS3" s="228">
        <v>-0.06</v>
      </c>
      <c r="DT3" s="229">
        <v>-0.13950000000000001</v>
      </c>
      <c r="DU3" s="228">
        <v>480</v>
      </c>
      <c r="DV3" s="228">
        <v>450</v>
      </c>
      <c r="DW3" s="228">
        <v>0.74</v>
      </c>
      <c r="DX3" s="228">
        <v>0.48</v>
      </c>
      <c r="DY3" s="228">
        <v>0.26</v>
      </c>
      <c r="DZ3" s="229">
        <v>0.54169999999999996</v>
      </c>
      <c r="EA3" s="229">
        <v>0</v>
      </c>
      <c r="EB3" s="228">
        <v>0</v>
      </c>
      <c r="EC3" s="229">
        <v>0</v>
      </c>
      <c r="ED3" s="229">
        <v>0</v>
      </c>
      <c r="EE3" s="228">
        <v>0</v>
      </c>
      <c r="EF3" s="229">
        <v>0</v>
      </c>
      <c r="EG3" s="230">
        <v>4255661</v>
      </c>
      <c r="EH3" s="230">
        <v>935851</v>
      </c>
      <c r="EI3" s="229">
        <v>3.5474000000000001</v>
      </c>
      <c r="EJ3" s="229">
        <v>0.56369999999999998</v>
      </c>
      <c r="EK3" s="228">
        <v>238.79</v>
      </c>
      <c r="EL3" s="228">
        <v>174.28</v>
      </c>
      <c r="EM3" s="228">
        <v>245.03</v>
      </c>
      <c r="EN3" s="228">
        <v>0</v>
      </c>
      <c r="EO3" s="228">
        <v>658.1</v>
      </c>
      <c r="EP3" s="228">
        <v>508.75</v>
      </c>
      <c r="EQ3" s="228">
        <v>149.35</v>
      </c>
      <c r="ER3" s="229">
        <v>0.29360000000000003</v>
      </c>
      <c r="ES3" s="228">
        <v>0</v>
      </c>
      <c r="ET3" s="228">
        <v>0</v>
      </c>
      <c r="EU3" s="228">
        <v>0</v>
      </c>
      <c r="EV3" s="231">
        <v>41876170</v>
      </c>
      <c r="EW3" s="228">
        <v>0</v>
      </c>
      <c r="EX3" s="228">
        <v>722.55</v>
      </c>
      <c r="EY3" s="228">
        <v>-722.55</v>
      </c>
      <c r="EZ3" s="229">
        <v>-1</v>
      </c>
      <c r="FA3" s="229">
        <v>0.20080000000000001</v>
      </c>
      <c r="FB3" s="227" t="s">
        <v>237</v>
      </c>
      <c r="FC3">
        <f t="shared" ref="FC3:FC66" si="0">BY3-CC3</f>
        <v>0</v>
      </c>
    </row>
    <row r="4" spans="1:159" ht="17.25" thickBot="1" x14ac:dyDescent="0.3">
      <c r="A4" s="226">
        <v>45869</v>
      </c>
      <c r="B4" s="227" t="s">
        <v>184</v>
      </c>
      <c r="C4" s="227" t="s">
        <v>553</v>
      </c>
      <c r="D4" s="228">
        <v>125</v>
      </c>
      <c r="E4" s="228">
        <v>0</v>
      </c>
      <c r="F4" s="231">
        <v>5525</v>
      </c>
      <c r="G4" s="231">
        <v>5568.5</v>
      </c>
      <c r="H4" s="228">
        <v>-43.5</v>
      </c>
      <c r="I4" s="229">
        <v>-7.7999999999999996E-3</v>
      </c>
      <c r="J4" s="231">
        <v>5510</v>
      </c>
      <c r="K4" s="231">
        <v>5554</v>
      </c>
      <c r="L4" s="228">
        <v>-44</v>
      </c>
      <c r="M4" s="229">
        <v>-7.9000000000000008E-3</v>
      </c>
      <c r="N4" s="231">
        <v>5505.5</v>
      </c>
      <c r="O4" s="231">
        <v>5547.5</v>
      </c>
      <c r="P4" s="228">
        <v>-42</v>
      </c>
      <c r="Q4" s="229">
        <v>-7.6E-3</v>
      </c>
      <c r="R4" s="231">
        <v>5525</v>
      </c>
      <c r="S4" s="231">
        <v>5568.5</v>
      </c>
      <c r="T4" s="228">
        <v>-43.5</v>
      </c>
      <c r="U4" s="229">
        <v>-7.7999999999999996E-3</v>
      </c>
      <c r="V4" s="231">
        <v>5559.5</v>
      </c>
      <c r="W4" s="231">
        <v>5602</v>
      </c>
      <c r="X4" s="228">
        <v>-42.5</v>
      </c>
      <c r="Y4" s="229">
        <v>-7.6E-3</v>
      </c>
      <c r="Z4" s="228">
        <v>15</v>
      </c>
      <c r="AA4" s="228">
        <v>-6.5</v>
      </c>
      <c r="AB4" s="228">
        <v>21.5</v>
      </c>
      <c r="AC4" s="229">
        <v>2.7000000000000001E-3</v>
      </c>
      <c r="AD4" s="228">
        <v>-4.5</v>
      </c>
      <c r="AE4" s="228">
        <v>-6.5</v>
      </c>
      <c r="AF4" s="228">
        <v>2</v>
      </c>
      <c r="AG4" s="229">
        <v>-8.0000000000000004E-4</v>
      </c>
      <c r="AH4" s="228">
        <v>15</v>
      </c>
      <c r="AI4" s="228">
        <v>14.5</v>
      </c>
      <c r="AJ4" s="228">
        <v>0.5</v>
      </c>
      <c r="AK4" s="229">
        <v>2.7000000000000001E-3</v>
      </c>
      <c r="AL4" s="228">
        <v>49.5</v>
      </c>
      <c r="AM4" s="228">
        <v>48</v>
      </c>
      <c r="AN4" s="228">
        <v>1.5</v>
      </c>
      <c r="AO4" s="229">
        <v>8.9999999999999993E-3</v>
      </c>
      <c r="AP4" s="231">
        <v>5519.78</v>
      </c>
      <c r="AQ4" s="231">
        <v>5541.01</v>
      </c>
      <c r="AR4" s="228">
        <v>0</v>
      </c>
      <c r="AS4" s="228">
        <v>838</v>
      </c>
      <c r="AT4" s="230">
        <v>1496</v>
      </c>
      <c r="AU4" s="228">
        <v>-659</v>
      </c>
      <c r="AV4" s="229">
        <v>-0.44019999999999998</v>
      </c>
      <c r="AW4" s="228">
        <v>359</v>
      </c>
      <c r="AX4" s="228">
        <v>650</v>
      </c>
      <c r="AY4" s="228">
        <v>-292</v>
      </c>
      <c r="AZ4" s="229">
        <v>-0.44840000000000002</v>
      </c>
      <c r="BA4" s="228">
        <v>469</v>
      </c>
      <c r="BB4" s="228">
        <v>833</v>
      </c>
      <c r="BC4" s="228">
        <v>-364</v>
      </c>
      <c r="BD4" s="229">
        <v>-0.43690000000000001</v>
      </c>
      <c r="BE4" s="228">
        <v>10</v>
      </c>
      <c r="BF4" s="228">
        <v>13</v>
      </c>
      <c r="BG4" s="228">
        <v>-3</v>
      </c>
      <c r="BH4" s="229">
        <v>-0.23499999999999999</v>
      </c>
      <c r="BI4" s="228">
        <v>560</v>
      </c>
      <c r="BJ4" s="230">
        <v>1135</v>
      </c>
      <c r="BK4" s="228">
        <v>-574</v>
      </c>
      <c r="BL4" s="229">
        <v>-0.50619999999999998</v>
      </c>
      <c r="BM4" s="228">
        <v>318</v>
      </c>
      <c r="BN4" s="228">
        <v>789</v>
      </c>
      <c r="BO4" s="228">
        <v>-472</v>
      </c>
      <c r="BP4" s="229">
        <v>-0.59740000000000004</v>
      </c>
      <c r="BQ4" s="230">
        <v>1716</v>
      </c>
      <c r="BR4" s="230">
        <v>3420</v>
      </c>
      <c r="BS4" s="230">
        <v>-1705</v>
      </c>
      <c r="BT4" s="229">
        <v>-0.49840000000000001</v>
      </c>
      <c r="BU4" s="230">
        <v>262460</v>
      </c>
      <c r="BV4" s="230">
        <v>344235</v>
      </c>
      <c r="BW4" s="230">
        <v>-81775</v>
      </c>
      <c r="BX4" s="229">
        <v>-0.23760000000000001</v>
      </c>
      <c r="BY4" s="230">
        <v>1509</v>
      </c>
      <c r="BZ4" s="230">
        <v>1588</v>
      </c>
      <c r="CA4" s="228">
        <v>-79</v>
      </c>
      <c r="CB4" s="229">
        <v>-4.9700000000000001E-2</v>
      </c>
      <c r="CC4" s="228">
        <v>93</v>
      </c>
      <c r="CD4" s="228">
        <v>295</v>
      </c>
      <c r="CE4" s="228">
        <v>-202</v>
      </c>
      <c r="CF4" s="229">
        <v>-0.68420000000000003</v>
      </c>
      <c r="CG4" s="230">
        <v>1483</v>
      </c>
      <c r="CH4" s="230">
        <v>1271</v>
      </c>
      <c r="CI4" s="228">
        <v>213</v>
      </c>
      <c r="CJ4" s="229">
        <v>0.16719999999999999</v>
      </c>
      <c r="CK4" s="228">
        <v>26</v>
      </c>
      <c r="CL4" s="228">
        <v>21</v>
      </c>
      <c r="CM4" s="228">
        <v>4</v>
      </c>
      <c r="CN4" s="229">
        <v>0.18970000000000001</v>
      </c>
      <c r="CO4" s="228">
        <v>231</v>
      </c>
      <c r="CP4" s="228">
        <v>797</v>
      </c>
      <c r="CQ4" s="228">
        <v>-567</v>
      </c>
      <c r="CR4" s="229">
        <v>-0.7107</v>
      </c>
      <c r="CS4" s="228">
        <v>262</v>
      </c>
      <c r="CT4" s="228">
        <v>473</v>
      </c>
      <c r="CU4" s="228">
        <v>-211</v>
      </c>
      <c r="CV4" s="229">
        <v>-0.4456</v>
      </c>
      <c r="CW4" s="230">
        <v>2002</v>
      </c>
      <c r="CX4" s="230">
        <v>2858</v>
      </c>
      <c r="CY4" s="228">
        <v>-856</v>
      </c>
      <c r="CZ4" s="229">
        <v>-0.29959999999999998</v>
      </c>
      <c r="DA4" s="228">
        <v>33.22</v>
      </c>
      <c r="DB4" s="228">
        <v>33.71</v>
      </c>
      <c r="DC4" s="228">
        <v>-0.49</v>
      </c>
      <c r="DD4" s="228">
        <v>-0.49</v>
      </c>
      <c r="DE4" s="228">
        <v>39.799999999999997</v>
      </c>
      <c r="DF4" s="228">
        <v>39.89</v>
      </c>
      <c r="DG4" s="228">
        <v>-6.58</v>
      </c>
      <c r="DH4" s="228">
        <v>-0.09</v>
      </c>
      <c r="DI4" s="228">
        <v>32.93</v>
      </c>
      <c r="DJ4" s="228">
        <v>33.43</v>
      </c>
      <c r="DK4" s="228">
        <v>-0.5</v>
      </c>
      <c r="DL4" s="228">
        <v>-0.5</v>
      </c>
      <c r="DM4" s="228">
        <v>33.65</v>
      </c>
      <c r="DN4" s="228">
        <v>34.08</v>
      </c>
      <c r="DO4" s="228">
        <v>-0.43</v>
      </c>
      <c r="DP4" s="228">
        <v>-0.43</v>
      </c>
      <c r="DQ4" s="228">
        <v>1.1399999999999999</v>
      </c>
      <c r="DR4" s="228">
        <v>0.59</v>
      </c>
      <c r="DS4" s="228">
        <v>0.55000000000000004</v>
      </c>
      <c r="DT4" s="229">
        <v>0.93220000000000003</v>
      </c>
      <c r="DU4" s="231">
        <v>6200</v>
      </c>
      <c r="DV4" s="231">
        <v>5500</v>
      </c>
      <c r="DW4" s="228">
        <v>0.56999999999999995</v>
      </c>
      <c r="DX4" s="228">
        <v>0.7</v>
      </c>
      <c r="DY4" s="228">
        <v>-0.13</v>
      </c>
      <c r="DZ4" s="229">
        <v>-0.1857</v>
      </c>
      <c r="EA4" s="229">
        <v>0.94179999999999997</v>
      </c>
      <c r="EB4" s="230">
        <v>2338875</v>
      </c>
      <c r="EC4" s="229">
        <v>3.5000000000000001E-3</v>
      </c>
      <c r="ED4" s="229">
        <v>0.94179999999999997</v>
      </c>
      <c r="EE4" s="228">
        <v>21.23</v>
      </c>
      <c r="EF4" s="229">
        <v>3.8E-3</v>
      </c>
      <c r="EG4" s="230">
        <v>140444</v>
      </c>
      <c r="EH4" s="230">
        <v>149117</v>
      </c>
      <c r="EI4" s="229">
        <v>-5.8200000000000002E-2</v>
      </c>
      <c r="EJ4" s="229">
        <v>0.53510000000000002</v>
      </c>
      <c r="EK4" s="228">
        <v>599.76</v>
      </c>
      <c r="EL4" s="228">
        <v>322.29000000000002</v>
      </c>
      <c r="EM4" s="228">
        <v>838.71</v>
      </c>
      <c r="EN4" s="228">
        <v>0</v>
      </c>
      <c r="EO4" s="231">
        <v>1760.76</v>
      </c>
      <c r="EP4" s="231">
        <v>3495.14</v>
      </c>
      <c r="EQ4" s="231">
        <v>-1734.38</v>
      </c>
      <c r="ER4" s="229">
        <v>-0.49619999999999997</v>
      </c>
      <c r="ES4" s="228">
        <v>245.8</v>
      </c>
      <c r="ET4" s="228">
        <v>263.07</v>
      </c>
      <c r="EU4" s="231">
        <v>1508.97</v>
      </c>
      <c r="EV4" s="231">
        <v>10595418</v>
      </c>
      <c r="EW4" s="231">
        <v>2017.83</v>
      </c>
      <c r="EX4" s="231">
        <v>2955.46</v>
      </c>
      <c r="EY4" s="228">
        <v>-937.63</v>
      </c>
      <c r="EZ4" s="229">
        <v>-0.31730000000000003</v>
      </c>
      <c r="FA4" s="229">
        <v>0.34189999999999998</v>
      </c>
      <c r="FB4" s="227" t="s">
        <v>568</v>
      </c>
      <c r="FC4">
        <f t="shared" si="0"/>
        <v>1416</v>
      </c>
    </row>
    <row r="5" spans="1:159" ht="17.25" thickBot="1" x14ac:dyDescent="0.3">
      <c r="A5" s="226">
        <v>45869</v>
      </c>
      <c r="B5" s="227" t="s">
        <v>175</v>
      </c>
      <c r="C5" s="227" t="s">
        <v>544</v>
      </c>
      <c r="D5" s="228">
        <v>3100</v>
      </c>
      <c r="E5" s="228">
        <v>0</v>
      </c>
      <c r="F5" s="228">
        <v>257.3</v>
      </c>
      <c r="G5" s="228">
        <v>250.2</v>
      </c>
      <c r="H5" s="228">
        <v>7.1</v>
      </c>
      <c r="I5" s="229">
        <v>2.8400000000000002E-2</v>
      </c>
      <c r="J5" s="228">
        <v>256.64999999999998</v>
      </c>
      <c r="K5" s="228">
        <v>248.8</v>
      </c>
      <c r="L5" s="228">
        <v>7.85</v>
      </c>
      <c r="M5" s="229">
        <v>3.1600000000000003E-2</v>
      </c>
      <c r="N5" s="228">
        <v>256.25</v>
      </c>
      <c r="O5" s="228">
        <v>248.75</v>
      </c>
      <c r="P5" s="228">
        <v>7.5</v>
      </c>
      <c r="Q5" s="229">
        <v>3.0200000000000001E-2</v>
      </c>
      <c r="R5" s="228">
        <v>257.3</v>
      </c>
      <c r="S5" s="228">
        <v>250.2</v>
      </c>
      <c r="T5" s="228">
        <v>7.1</v>
      </c>
      <c r="U5" s="229">
        <v>2.8400000000000002E-2</v>
      </c>
      <c r="V5" s="228">
        <v>258.7</v>
      </c>
      <c r="W5" s="228">
        <v>251.6</v>
      </c>
      <c r="X5" s="228">
        <v>7.1</v>
      </c>
      <c r="Y5" s="229">
        <v>2.8199999999999999E-2</v>
      </c>
      <c r="Z5" s="228">
        <v>0.65</v>
      </c>
      <c r="AA5" s="228">
        <v>-0.05</v>
      </c>
      <c r="AB5" s="228">
        <v>0.7</v>
      </c>
      <c r="AC5" s="229">
        <v>2.5000000000000001E-3</v>
      </c>
      <c r="AD5" s="228">
        <v>-0.4</v>
      </c>
      <c r="AE5" s="228">
        <v>-0.05</v>
      </c>
      <c r="AF5" s="228">
        <v>-0.35</v>
      </c>
      <c r="AG5" s="229">
        <v>-1.6000000000000001E-3</v>
      </c>
      <c r="AH5" s="228">
        <v>0.65</v>
      </c>
      <c r="AI5" s="228">
        <v>1.4</v>
      </c>
      <c r="AJ5" s="228">
        <v>-0.75</v>
      </c>
      <c r="AK5" s="229">
        <v>2.5000000000000001E-3</v>
      </c>
      <c r="AL5" s="228">
        <v>2.0499999999999998</v>
      </c>
      <c r="AM5" s="228">
        <v>2.8</v>
      </c>
      <c r="AN5" s="228">
        <v>-0.75</v>
      </c>
      <c r="AO5" s="229">
        <v>8.0000000000000002E-3</v>
      </c>
      <c r="AP5" s="228">
        <v>253.97</v>
      </c>
      <c r="AQ5" s="228">
        <v>255.29</v>
      </c>
      <c r="AR5" s="228">
        <v>0</v>
      </c>
      <c r="AS5" s="228">
        <v>787</v>
      </c>
      <c r="AT5" s="228">
        <v>692</v>
      </c>
      <c r="AU5" s="228">
        <v>95</v>
      </c>
      <c r="AV5" s="229">
        <v>0.1371</v>
      </c>
      <c r="AW5" s="228">
        <v>247</v>
      </c>
      <c r="AX5" s="228">
        <v>293</v>
      </c>
      <c r="AY5" s="228">
        <v>-46</v>
      </c>
      <c r="AZ5" s="229">
        <v>-0.15709999999999999</v>
      </c>
      <c r="BA5" s="228">
        <v>531</v>
      </c>
      <c r="BB5" s="228">
        <v>396</v>
      </c>
      <c r="BC5" s="228">
        <v>135</v>
      </c>
      <c r="BD5" s="229">
        <v>0.34110000000000001</v>
      </c>
      <c r="BE5" s="228">
        <v>9</v>
      </c>
      <c r="BF5" s="228">
        <v>3</v>
      </c>
      <c r="BG5" s="228">
        <v>6</v>
      </c>
      <c r="BH5" s="229">
        <v>2.1764999999999999</v>
      </c>
      <c r="BI5" s="228">
        <v>708</v>
      </c>
      <c r="BJ5" s="228">
        <v>437</v>
      </c>
      <c r="BK5" s="228">
        <v>271</v>
      </c>
      <c r="BL5" s="229">
        <v>0.61970000000000003</v>
      </c>
      <c r="BM5" s="228">
        <v>356</v>
      </c>
      <c r="BN5" s="228">
        <v>235</v>
      </c>
      <c r="BO5" s="228">
        <v>121</v>
      </c>
      <c r="BP5" s="229">
        <v>0.51239999999999997</v>
      </c>
      <c r="BQ5" s="230">
        <v>1851</v>
      </c>
      <c r="BR5" s="230">
        <v>1365</v>
      </c>
      <c r="BS5" s="228">
        <v>486</v>
      </c>
      <c r="BT5" s="229">
        <v>0.35639999999999999</v>
      </c>
      <c r="BU5" s="230">
        <v>9010668</v>
      </c>
      <c r="BV5" s="230">
        <v>3567366</v>
      </c>
      <c r="BW5" s="230">
        <v>5443302</v>
      </c>
      <c r="BX5" s="229">
        <v>1.5259</v>
      </c>
      <c r="BY5" s="230">
        <v>1322</v>
      </c>
      <c r="BZ5" s="230">
        <v>1456</v>
      </c>
      <c r="CA5" s="228">
        <v>-134</v>
      </c>
      <c r="CB5" s="229">
        <v>-9.1999999999999998E-2</v>
      </c>
      <c r="CC5" s="228">
        <v>53</v>
      </c>
      <c r="CD5" s="228">
        <v>193</v>
      </c>
      <c r="CE5" s="228">
        <v>-140</v>
      </c>
      <c r="CF5" s="229">
        <v>-0.72360000000000002</v>
      </c>
      <c r="CG5" s="230">
        <v>1311</v>
      </c>
      <c r="CH5" s="230">
        <v>1254</v>
      </c>
      <c r="CI5" s="228">
        <v>57</v>
      </c>
      <c r="CJ5" s="229">
        <v>4.5400000000000003E-2</v>
      </c>
      <c r="CK5" s="228">
        <v>11</v>
      </c>
      <c r="CL5" s="228">
        <v>9</v>
      </c>
      <c r="CM5" s="228">
        <v>2</v>
      </c>
      <c r="CN5" s="229">
        <v>0.27929999999999999</v>
      </c>
      <c r="CO5" s="228">
        <v>277</v>
      </c>
      <c r="CP5" s="228">
        <v>595</v>
      </c>
      <c r="CQ5" s="228">
        <v>-318</v>
      </c>
      <c r="CR5" s="229">
        <v>-0.5343</v>
      </c>
      <c r="CS5" s="228">
        <v>159</v>
      </c>
      <c r="CT5" s="228">
        <v>306</v>
      </c>
      <c r="CU5" s="228">
        <v>-147</v>
      </c>
      <c r="CV5" s="229">
        <v>-0.48039999999999999</v>
      </c>
      <c r="CW5" s="230">
        <v>1758</v>
      </c>
      <c r="CX5" s="230">
        <v>2356</v>
      </c>
      <c r="CY5" s="228">
        <v>-599</v>
      </c>
      <c r="CZ5" s="229">
        <v>-0.254</v>
      </c>
      <c r="DA5" s="228">
        <v>31.46</v>
      </c>
      <c r="DB5" s="228">
        <v>31.29</v>
      </c>
      <c r="DC5" s="228">
        <v>0.17</v>
      </c>
      <c r="DD5" s="228">
        <v>0.17</v>
      </c>
      <c r="DE5" s="228">
        <v>40.35</v>
      </c>
      <c r="DF5" s="228">
        <v>40.270000000000003</v>
      </c>
      <c r="DG5" s="228">
        <v>-8.89</v>
      </c>
      <c r="DH5" s="228">
        <v>0.08</v>
      </c>
      <c r="DI5" s="228">
        <v>31.25</v>
      </c>
      <c r="DJ5" s="228">
        <v>31.11</v>
      </c>
      <c r="DK5" s="228">
        <v>0.14000000000000001</v>
      </c>
      <c r="DL5" s="228">
        <v>0.14000000000000001</v>
      </c>
      <c r="DM5" s="228">
        <v>31.89</v>
      </c>
      <c r="DN5" s="228">
        <v>31.54</v>
      </c>
      <c r="DO5" s="228">
        <v>0.35</v>
      </c>
      <c r="DP5" s="228">
        <v>0.35</v>
      </c>
      <c r="DQ5" s="228">
        <v>0.56999999999999995</v>
      </c>
      <c r="DR5" s="228">
        <v>0.51</v>
      </c>
      <c r="DS5" s="228">
        <v>0.06</v>
      </c>
      <c r="DT5" s="229">
        <v>0.1176</v>
      </c>
      <c r="DU5" s="228">
        <v>270</v>
      </c>
      <c r="DV5" s="228">
        <v>250</v>
      </c>
      <c r="DW5" s="228">
        <v>0.5</v>
      </c>
      <c r="DX5" s="228">
        <v>0.54</v>
      </c>
      <c r="DY5" s="228">
        <v>-0.04</v>
      </c>
      <c r="DZ5" s="229">
        <v>-7.4099999999999999E-2</v>
      </c>
      <c r="EA5" s="229">
        <v>0.96109999999999995</v>
      </c>
      <c r="EB5" s="230">
        <v>49069900</v>
      </c>
      <c r="EC5" s="229">
        <v>4.1000000000000003E-3</v>
      </c>
      <c r="ED5" s="229">
        <v>0.96109999999999995</v>
      </c>
      <c r="EE5" s="228">
        <v>1.32</v>
      </c>
      <c r="EF5" s="229">
        <v>5.1999999999999998E-3</v>
      </c>
      <c r="EG5" s="230">
        <v>3821405</v>
      </c>
      <c r="EH5" s="230">
        <v>1698237</v>
      </c>
      <c r="EI5" s="229">
        <v>1.2502</v>
      </c>
      <c r="EJ5" s="229">
        <v>0.42409999999999998</v>
      </c>
      <c r="EK5" s="228">
        <v>745.01</v>
      </c>
      <c r="EL5" s="228">
        <v>354.15</v>
      </c>
      <c r="EM5" s="228">
        <v>779.89</v>
      </c>
      <c r="EN5" s="228">
        <v>0</v>
      </c>
      <c r="EO5" s="231">
        <v>1879.05</v>
      </c>
      <c r="EP5" s="231">
        <v>1356.11</v>
      </c>
      <c r="EQ5" s="228">
        <v>522.92999999999995</v>
      </c>
      <c r="ER5" s="229">
        <v>0.3856</v>
      </c>
      <c r="ES5" s="228">
        <v>292.45999999999998</v>
      </c>
      <c r="ET5" s="228">
        <v>152.85</v>
      </c>
      <c r="EU5" s="231">
        <v>1322.05</v>
      </c>
      <c r="EV5" s="231">
        <v>162442174</v>
      </c>
      <c r="EW5" s="231">
        <v>1767.37</v>
      </c>
      <c r="EX5" s="231">
        <v>2347.79</v>
      </c>
      <c r="EY5" s="228">
        <v>-580.41999999999996</v>
      </c>
      <c r="EZ5" s="229">
        <v>-0.2472</v>
      </c>
      <c r="FA5" s="229">
        <v>0.42059999999999997</v>
      </c>
      <c r="FB5" s="227" t="s">
        <v>556</v>
      </c>
      <c r="FC5">
        <f t="shared" si="0"/>
        <v>1269</v>
      </c>
    </row>
    <row r="6" spans="1:159" ht="17.25" thickBot="1" x14ac:dyDescent="0.3">
      <c r="A6" s="226">
        <v>45869</v>
      </c>
      <c r="B6" s="227" t="s">
        <v>197</v>
      </c>
      <c r="C6" s="227" t="s">
        <v>499</v>
      </c>
      <c r="D6" s="228">
        <v>2600</v>
      </c>
      <c r="E6" s="228">
        <v>0</v>
      </c>
      <c r="F6" s="228">
        <v>73.22</v>
      </c>
      <c r="G6" s="228">
        <v>75.13</v>
      </c>
      <c r="H6" s="228">
        <v>-1.91</v>
      </c>
      <c r="I6" s="229">
        <v>-2.5399999999999999E-2</v>
      </c>
      <c r="J6" s="228">
        <v>72.87</v>
      </c>
      <c r="K6" s="228">
        <v>74.650000000000006</v>
      </c>
      <c r="L6" s="228">
        <v>-1.78</v>
      </c>
      <c r="M6" s="229">
        <v>-2.3800000000000002E-2</v>
      </c>
      <c r="N6" s="228">
        <v>72.84</v>
      </c>
      <c r="O6" s="228">
        <v>74.77</v>
      </c>
      <c r="P6" s="228">
        <v>-1.93</v>
      </c>
      <c r="Q6" s="229">
        <v>-2.58E-2</v>
      </c>
      <c r="R6" s="228">
        <v>73.22</v>
      </c>
      <c r="S6" s="228">
        <v>75.13</v>
      </c>
      <c r="T6" s="228">
        <v>-1.91</v>
      </c>
      <c r="U6" s="229">
        <v>-2.5399999999999999E-2</v>
      </c>
      <c r="V6" s="228">
        <v>0</v>
      </c>
      <c r="W6" s="228">
        <v>0</v>
      </c>
      <c r="X6" s="228">
        <v>0</v>
      </c>
      <c r="Y6" s="229">
        <v>0</v>
      </c>
      <c r="Z6" s="228">
        <v>0.35</v>
      </c>
      <c r="AA6" s="228">
        <v>0.12</v>
      </c>
      <c r="AB6" s="228">
        <v>0.23</v>
      </c>
      <c r="AC6" s="229">
        <v>4.7999999999999996E-3</v>
      </c>
      <c r="AD6" s="228">
        <v>-0.03</v>
      </c>
      <c r="AE6" s="228">
        <v>0.12</v>
      </c>
      <c r="AF6" s="228">
        <v>-0.15</v>
      </c>
      <c r="AG6" s="229">
        <v>-4.0000000000000002E-4</v>
      </c>
      <c r="AH6" s="228">
        <v>0.35</v>
      </c>
      <c r="AI6" s="228">
        <v>0.48</v>
      </c>
      <c r="AJ6" s="228">
        <v>-0.13</v>
      </c>
      <c r="AK6" s="229">
        <v>4.7999999999999996E-3</v>
      </c>
      <c r="AL6" s="228">
        <v>0</v>
      </c>
      <c r="AM6" s="228">
        <v>0</v>
      </c>
      <c r="AN6" s="228">
        <v>0</v>
      </c>
      <c r="AO6" s="229">
        <v>0</v>
      </c>
      <c r="AP6" s="228">
        <v>73.52</v>
      </c>
      <c r="AQ6" s="228">
        <v>73.86</v>
      </c>
      <c r="AR6" s="228">
        <v>0</v>
      </c>
      <c r="AS6" s="228">
        <v>271</v>
      </c>
      <c r="AT6" s="228">
        <v>192</v>
      </c>
      <c r="AU6" s="228">
        <v>79</v>
      </c>
      <c r="AV6" s="229">
        <v>0.41089999999999999</v>
      </c>
      <c r="AW6" s="228">
        <v>135</v>
      </c>
      <c r="AX6" s="228">
        <v>100</v>
      </c>
      <c r="AY6" s="228">
        <v>35</v>
      </c>
      <c r="AZ6" s="229">
        <v>0.34810000000000002</v>
      </c>
      <c r="BA6" s="228">
        <v>136</v>
      </c>
      <c r="BB6" s="228">
        <v>92</v>
      </c>
      <c r="BC6" s="228">
        <v>44</v>
      </c>
      <c r="BD6" s="229">
        <v>0.47939999999999999</v>
      </c>
      <c r="BE6" s="228">
        <v>0</v>
      </c>
      <c r="BF6" s="228">
        <v>0</v>
      </c>
      <c r="BG6" s="228">
        <v>0</v>
      </c>
      <c r="BH6" s="229">
        <v>0</v>
      </c>
      <c r="BI6" s="228">
        <v>60</v>
      </c>
      <c r="BJ6" s="228">
        <v>54</v>
      </c>
      <c r="BK6" s="228">
        <v>6</v>
      </c>
      <c r="BL6" s="229">
        <v>0.1036</v>
      </c>
      <c r="BM6" s="228">
        <v>76</v>
      </c>
      <c r="BN6" s="228">
        <v>61</v>
      </c>
      <c r="BO6" s="228">
        <v>15</v>
      </c>
      <c r="BP6" s="229">
        <v>0.2465</v>
      </c>
      <c r="BQ6" s="228">
        <v>407</v>
      </c>
      <c r="BR6" s="228">
        <v>308</v>
      </c>
      <c r="BS6" s="228">
        <v>100</v>
      </c>
      <c r="BT6" s="229">
        <v>0.32379999999999998</v>
      </c>
      <c r="BU6" s="230">
        <v>4695336</v>
      </c>
      <c r="BV6" s="230">
        <v>2040673</v>
      </c>
      <c r="BW6" s="230">
        <v>2654663</v>
      </c>
      <c r="BX6" s="229">
        <v>1.3008999999999999</v>
      </c>
      <c r="BY6" s="228">
        <v>365</v>
      </c>
      <c r="BZ6" s="228">
        <v>384</v>
      </c>
      <c r="CA6" s="228">
        <v>-19</v>
      </c>
      <c r="CB6" s="229">
        <v>-4.9299999999999997E-2</v>
      </c>
      <c r="CC6" s="228">
        <v>24</v>
      </c>
      <c r="CD6" s="228">
        <v>108</v>
      </c>
      <c r="CE6" s="228">
        <v>-84</v>
      </c>
      <c r="CF6" s="229">
        <v>-0.78069999999999995</v>
      </c>
      <c r="CG6" s="228">
        <v>365</v>
      </c>
      <c r="CH6" s="228">
        <v>276</v>
      </c>
      <c r="CI6" s="228">
        <v>89</v>
      </c>
      <c r="CJ6" s="229">
        <v>0.32340000000000002</v>
      </c>
      <c r="CK6" s="228">
        <v>0</v>
      </c>
      <c r="CL6" s="228">
        <v>0</v>
      </c>
      <c r="CM6" s="228">
        <v>0</v>
      </c>
      <c r="CN6" s="229">
        <v>0</v>
      </c>
      <c r="CO6" s="228">
        <v>53</v>
      </c>
      <c r="CP6" s="228">
        <v>175</v>
      </c>
      <c r="CQ6" s="228">
        <v>-122</v>
      </c>
      <c r="CR6" s="229">
        <v>-0.69710000000000005</v>
      </c>
      <c r="CS6" s="228">
        <v>51</v>
      </c>
      <c r="CT6" s="228">
        <v>121</v>
      </c>
      <c r="CU6" s="228">
        <v>-70</v>
      </c>
      <c r="CV6" s="229">
        <v>-0.57979999999999998</v>
      </c>
      <c r="CW6" s="228">
        <v>469</v>
      </c>
      <c r="CX6" s="228">
        <v>681</v>
      </c>
      <c r="CY6" s="228">
        <v>-211</v>
      </c>
      <c r="CZ6" s="229">
        <v>-0.31069999999999998</v>
      </c>
      <c r="DA6" s="228">
        <v>32.5</v>
      </c>
      <c r="DB6" s="228">
        <v>32.35</v>
      </c>
      <c r="DC6" s="228">
        <v>0.15</v>
      </c>
      <c r="DD6" s="228">
        <v>0.15</v>
      </c>
      <c r="DE6" s="228">
        <v>43.47</v>
      </c>
      <c r="DF6" s="228">
        <v>43.44</v>
      </c>
      <c r="DG6" s="228">
        <v>-10.97</v>
      </c>
      <c r="DH6" s="228">
        <v>0.03</v>
      </c>
      <c r="DI6" s="228">
        <v>34.96</v>
      </c>
      <c r="DJ6" s="228">
        <v>34.979999999999997</v>
      </c>
      <c r="DK6" s="228">
        <v>-0.02</v>
      </c>
      <c r="DL6" s="228">
        <v>-0.02</v>
      </c>
      <c r="DM6" s="228">
        <v>30.34</v>
      </c>
      <c r="DN6" s="228">
        <v>31.02</v>
      </c>
      <c r="DO6" s="228">
        <v>-0.68</v>
      </c>
      <c r="DP6" s="228">
        <v>-0.68</v>
      </c>
      <c r="DQ6" s="228">
        <v>0.96</v>
      </c>
      <c r="DR6" s="228">
        <v>0.69</v>
      </c>
      <c r="DS6" s="228">
        <v>0.27</v>
      </c>
      <c r="DT6" s="229">
        <v>0.39129999999999998</v>
      </c>
      <c r="DU6" s="228">
        <v>80</v>
      </c>
      <c r="DV6" s="228">
        <v>70</v>
      </c>
      <c r="DW6" s="228">
        <v>1.27</v>
      </c>
      <c r="DX6" s="228">
        <v>1.1299999999999999</v>
      </c>
      <c r="DY6" s="228">
        <v>0.14000000000000001</v>
      </c>
      <c r="DZ6" s="229">
        <v>0.1239</v>
      </c>
      <c r="EA6" s="229">
        <v>0.93899999999999995</v>
      </c>
      <c r="EB6" s="230">
        <v>37684400</v>
      </c>
      <c r="EC6" s="229">
        <v>5.1999999999999998E-3</v>
      </c>
      <c r="ED6" s="229">
        <v>0.93899999999999995</v>
      </c>
      <c r="EE6" s="228">
        <v>0.34</v>
      </c>
      <c r="EF6" s="229">
        <v>4.5999999999999999E-3</v>
      </c>
      <c r="EG6" s="230">
        <v>1828224</v>
      </c>
      <c r="EH6" s="230">
        <v>628426</v>
      </c>
      <c r="EI6" s="229">
        <v>1.9092</v>
      </c>
      <c r="EJ6" s="229">
        <v>0.38940000000000002</v>
      </c>
      <c r="EK6" s="228">
        <v>63.45</v>
      </c>
      <c r="EL6" s="228">
        <v>78.680000000000007</v>
      </c>
      <c r="EM6" s="228">
        <v>272.37</v>
      </c>
      <c r="EN6" s="228">
        <v>0</v>
      </c>
      <c r="EO6" s="228">
        <v>414.5</v>
      </c>
      <c r="EP6" s="228">
        <v>317.64</v>
      </c>
      <c r="EQ6" s="228">
        <v>96.87</v>
      </c>
      <c r="ER6" s="229">
        <v>0.30499999999999999</v>
      </c>
      <c r="ES6" s="228">
        <v>57.07</v>
      </c>
      <c r="ET6" s="228">
        <v>50.31</v>
      </c>
      <c r="EU6" s="228">
        <v>365.15</v>
      </c>
      <c r="EV6" s="231">
        <v>121580965</v>
      </c>
      <c r="EW6" s="228">
        <v>472.53</v>
      </c>
      <c r="EX6" s="228">
        <v>706.3</v>
      </c>
      <c r="EY6" s="228">
        <v>-233.77</v>
      </c>
      <c r="EZ6" s="229">
        <v>-0.33100000000000002</v>
      </c>
      <c r="FA6" s="229">
        <v>0.52710000000000001</v>
      </c>
      <c r="FB6" s="227" t="s">
        <v>568</v>
      </c>
      <c r="FC6">
        <f t="shared" si="0"/>
        <v>341</v>
      </c>
    </row>
    <row r="7" spans="1:159" ht="17.25" thickBot="1" x14ac:dyDescent="0.3">
      <c r="A7" s="226">
        <v>45869</v>
      </c>
      <c r="B7" s="227" t="s">
        <v>157</v>
      </c>
      <c r="C7" s="227" t="s">
        <v>158</v>
      </c>
      <c r="D7" s="228">
        <v>300</v>
      </c>
      <c r="E7" s="228">
        <v>0</v>
      </c>
      <c r="F7" s="228">
        <v>0</v>
      </c>
      <c r="G7" s="228">
        <v>0</v>
      </c>
      <c r="H7" s="228">
        <v>0</v>
      </c>
      <c r="I7" s="229">
        <v>0</v>
      </c>
      <c r="J7" s="231">
        <v>1788.4</v>
      </c>
      <c r="K7" s="231">
        <v>1811.2</v>
      </c>
      <c r="L7" s="228">
        <v>-22.8</v>
      </c>
      <c r="M7" s="229">
        <v>-1.26E-2</v>
      </c>
      <c r="N7" s="231">
        <v>1785.6</v>
      </c>
      <c r="O7" s="231">
        <v>1809.4</v>
      </c>
      <c r="P7" s="228">
        <v>-23.8</v>
      </c>
      <c r="Q7" s="229">
        <v>-1.32E-2</v>
      </c>
      <c r="R7" s="228">
        <v>0</v>
      </c>
      <c r="S7" s="228">
        <v>0</v>
      </c>
      <c r="T7" s="228">
        <v>0</v>
      </c>
      <c r="U7" s="229">
        <v>0</v>
      </c>
      <c r="V7" s="228">
        <v>0</v>
      </c>
      <c r="W7" s="228">
        <v>0</v>
      </c>
      <c r="X7" s="228">
        <v>0</v>
      </c>
      <c r="Y7" s="229">
        <v>0</v>
      </c>
      <c r="Z7" s="228">
        <v>0</v>
      </c>
      <c r="AA7" s="228">
        <v>-1.8</v>
      </c>
      <c r="AB7" s="228">
        <v>0</v>
      </c>
      <c r="AC7" s="229">
        <v>0</v>
      </c>
      <c r="AD7" s="228">
        <v>-2.8</v>
      </c>
      <c r="AE7" s="228">
        <v>-1.8</v>
      </c>
      <c r="AF7" s="228">
        <v>-1</v>
      </c>
      <c r="AG7" s="229">
        <v>-1.6000000000000001E-3</v>
      </c>
      <c r="AH7" s="228">
        <v>0</v>
      </c>
      <c r="AI7" s="228">
        <v>0</v>
      </c>
      <c r="AJ7" s="228">
        <v>0</v>
      </c>
      <c r="AK7" s="229">
        <v>0</v>
      </c>
      <c r="AL7" s="228">
        <v>0</v>
      </c>
      <c r="AM7" s="228">
        <v>0</v>
      </c>
      <c r="AN7" s="228">
        <v>0</v>
      </c>
      <c r="AO7" s="229">
        <v>0</v>
      </c>
      <c r="AP7" s="231">
        <v>1802.53</v>
      </c>
      <c r="AQ7" s="228">
        <v>0</v>
      </c>
      <c r="AR7" s="228">
        <v>0</v>
      </c>
      <c r="AS7" s="228">
        <v>0</v>
      </c>
      <c r="AT7" s="228">
        <v>0</v>
      </c>
      <c r="AU7" s="228">
        <v>0</v>
      </c>
      <c r="AV7" s="229">
        <v>0.91249999999999998</v>
      </c>
      <c r="AW7" s="228">
        <v>0</v>
      </c>
      <c r="AX7" s="228">
        <v>0</v>
      </c>
      <c r="AY7" s="228">
        <v>0</v>
      </c>
      <c r="AZ7" s="229">
        <v>0.91249999999999998</v>
      </c>
      <c r="BA7" s="228">
        <v>0</v>
      </c>
      <c r="BB7" s="228">
        <v>0</v>
      </c>
      <c r="BC7" s="228">
        <v>0</v>
      </c>
      <c r="BD7" s="229">
        <v>0</v>
      </c>
      <c r="BE7" s="228">
        <v>0</v>
      </c>
      <c r="BF7" s="228">
        <v>0</v>
      </c>
      <c r="BG7" s="228">
        <v>0</v>
      </c>
      <c r="BH7" s="229">
        <v>0</v>
      </c>
      <c r="BI7" s="228">
        <v>0</v>
      </c>
      <c r="BJ7" s="228">
        <v>0</v>
      </c>
      <c r="BK7" s="228">
        <v>0</v>
      </c>
      <c r="BL7" s="229">
        <v>-9.3100000000000002E-2</v>
      </c>
      <c r="BM7" s="228">
        <v>0</v>
      </c>
      <c r="BN7" s="228">
        <v>0</v>
      </c>
      <c r="BO7" s="228">
        <v>0</v>
      </c>
      <c r="BP7" s="229">
        <v>0.71819999999999995</v>
      </c>
      <c r="BQ7" s="228">
        <v>0</v>
      </c>
      <c r="BR7" s="228">
        <v>0</v>
      </c>
      <c r="BS7" s="228">
        <v>0</v>
      </c>
      <c r="BT7" s="229">
        <v>0.3926</v>
      </c>
      <c r="BU7" s="230">
        <v>1544051</v>
      </c>
      <c r="BV7" s="230">
        <v>957082</v>
      </c>
      <c r="BW7" s="230">
        <v>586969</v>
      </c>
      <c r="BX7" s="229">
        <v>0.61329999999999996</v>
      </c>
      <c r="BY7" s="228">
        <v>0</v>
      </c>
      <c r="BZ7" s="228">
        <v>0</v>
      </c>
      <c r="CA7" s="228">
        <v>0</v>
      </c>
      <c r="CB7" s="229">
        <v>-1</v>
      </c>
      <c r="CC7" s="228">
        <v>0</v>
      </c>
      <c r="CD7" s="228">
        <v>0</v>
      </c>
      <c r="CE7" s="228">
        <v>0</v>
      </c>
      <c r="CF7" s="229">
        <v>-0.52559999999999996</v>
      </c>
      <c r="CG7" s="228">
        <v>0</v>
      </c>
      <c r="CH7" s="228">
        <v>0</v>
      </c>
      <c r="CI7" s="228">
        <v>0</v>
      </c>
      <c r="CJ7" s="229">
        <v>0</v>
      </c>
      <c r="CK7" s="228">
        <v>0</v>
      </c>
      <c r="CL7" s="228">
        <v>0</v>
      </c>
      <c r="CM7" s="228">
        <v>0</v>
      </c>
      <c r="CN7" s="229">
        <v>0</v>
      </c>
      <c r="CO7" s="228">
        <v>0</v>
      </c>
      <c r="CP7" s="228">
        <v>0</v>
      </c>
      <c r="CQ7" s="228">
        <v>0</v>
      </c>
      <c r="CR7" s="229">
        <v>-0.253</v>
      </c>
      <c r="CS7" s="228">
        <v>0</v>
      </c>
      <c r="CT7" s="228">
        <v>0</v>
      </c>
      <c r="CU7" s="228">
        <v>0</v>
      </c>
      <c r="CV7" s="229">
        <v>-0.37819999999999998</v>
      </c>
      <c r="CW7" s="228">
        <v>0</v>
      </c>
      <c r="CX7" s="228">
        <v>0</v>
      </c>
      <c r="CY7" s="228">
        <v>0</v>
      </c>
      <c r="CZ7" s="229">
        <v>-0.5968</v>
      </c>
      <c r="DA7" s="228">
        <v>32.53</v>
      </c>
      <c r="DB7" s="228">
        <v>32.53</v>
      </c>
      <c r="DC7" s="228">
        <v>0</v>
      </c>
      <c r="DD7" s="228">
        <v>0</v>
      </c>
      <c r="DE7" s="228">
        <v>32.53</v>
      </c>
      <c r="DF7" s="228">
        <v>32.53</v>
      </c>
      <c r="DG7" s="228">
        <v>0</v>
      </c>
      <c r="DH7" s="228">
        <v>0</v>
      </c>
      <c r="DI7" s="228">
        <v>32.53</v>
      </c>
      <c r="DJ7" s="228">
        <v>32.53</v>
      </c>
      <c r="DK7" s="228">
        <v>0</v>
      </c>
      <c r="DL7" s="228">
        <v>0</v>
      </c>
      <c r="DM7" s="228">
        <v>32.53</v>
      </c>
      <c r="DN7" s="228">
        <v>32.53</v>
      </c>
      <c r="DO7" s="228">
        <v>0</v>
      </c>
      <c r="DP7" s="228">
        <v>0</v>
      </c>
      <c r="DQ7" s="228">
        <v>0.49</v>
      </c>
      <c r="DR7" s="228">
        <v>0.59</v>
      </c>
      <c r="DS7" s="228">
        <v>-0.1</v>
      </c>
      <c r="DT7" s="229">
        <v>-0.16950000000000001</v>
      </c>
      <c r="DU7" s="231">
        <v>2000</v>
      </c>
      <c r="DV7" s="231">
        <v>1900</v>
      </c>
      <c r="DW7" s="228">
        <v>0.77</v>
      </c>
      <c r="DX7" s="228">
        <v>0.4</v>
      </c>
      <c r="DY7" s="228">
        <v>0.37</v>
      </c>
      <c r="DZ7" s="229">
        <v>0.92500000000000004</v>
      </c>
      <c r="EA7" s="229">
        <v>0</v>
      </c>
      <c r="EB7" s="228">
        <v>0</v>
      </c>
      <c r="EC7" s="229">
        <v>0</v>
      </c>
      <c r="ED7" s="229">
        <v>0</v>
      </c>
      <c r="EE7" s="228">
        <v>0</v>
      </c>
      <c r="EF7" s="229">
        <v>0</v>
      </c>
      <c r="EG7" s="230">
        <v>1049993</v>
      </c>
      <c r="EH7" s="230">
        <v>646034</v>
      </c>
      <c r="EI7" s="229">
        <v>0.62529999999999997</v>
      </c>
      <c r="EJ7" s="229">
        <v>0.68</v>
      </c>
      <c r="EK7" s="228">
        <v>203.85</v>
      </c>
      <c r="EL7" s="228">
        <v>156.55000000000001</v>
      </c>
      <c r="EM7" s="228">
        <v>278.92</v>
      </c>
      <c r="EN7" s="228">
        <v>0</v>
      </c>
      <c r="EO7" s="228">
        <v>639.33000000000004</v>
      </c>
      <c r="EP7" s="228">
        <v>462.06</v>
      </c>
      <c r="EQ7" s="228">
        <v>177.26</v>
      </c>
      <c r="ER7" s="229">
        <v>0.3836</v>
      </c>
      <c r="ES7" s="228">
        <v>0</v>
      </c>
      <c r="ET7" s="228">
        <v>0</v>
      </c>
      <c r="EU7" s="228">
        <v>0</v>
      </c>
      <c r="EV7" s="231">
        <v>16266067</v>
      </c>
      <c r="EW7" s="228">
        <v>0</v>
      </c>
      <c r="EX7" s="228">
        <v>844.83</v>
      </c>
      <c r="EY7" s="228">
        <v>-844.83</v>
      </c>
      <c r="EZ7" s="229">
        <v>-1</v>
      </c>
      <c r="FA7" s="229">
        <v>0.1114</v>
      </c>
      <c r="FB7" s="227" t="s">
        <v>237</v>
      </c>
      <c r="FC7">
        <f t="shared" si="0"/>
        <v>0</v>
      </c>
    </row>
    <row r="8" spans="1:159" ht="17.25" thickBot="1" x14ac:dyDescent="0.3">
      <c r="A8" s="226">
        <v>45869</v>
      </c>
      <c r="B8" s="227" t="s">
        <v>161</v>
      </c>
      <c r="C8" s="227" t="s">
        <v>580</v>
      </c>
      <c r="D8" s="228">
        <v>675</v>
      </c>
      <c r="E8" s="228">
        <v>0</v>
      </c>
      <c r="F8" s="228">
        <v>811.4</v>
      </c>
      <c r="G8" s="228">
        <v>828.55</v>
      </c>
      <c r="H8" s="228">
        <v>-17.149999999999999</v>
      </c>
      <c r="I8" s="229">
        <v>-2.07E-2</v>
      </c>
      <c r="J8" s="228">
        <v>808.4</v>
      </c>
      <c r="K8" s="228">
        <v>823.9</v>
      </c>
      <c r="L8" s="228">
        <v>-15.5</v>
      </c>
      <c r="M8" s="229">
        <v>-1.8800000000000001E-2</v>
      </c>
      <c r="N8" s="228">
        <v>807.05</v>
      </c>
      <c r="O8" s="228">
        <v>824.35</v>
      </c>
      <c r="P8" s="228">
        <v>-17.3</v>
      </c>
      <c r="Q8" s="229">
        <v>-2.1000000000000001E-2</v>
      </c>
      <c r="R8" s="228">
        <v>811.4</v>
      </c>
      <c r="S8" s="228">
        <v>828.55</v>
      </c>
      <c r="T8" s="228">
        <v>-17.149999999999999</v>
      </c>
      <c r="U8" s="229">
        <v>-2.07E-2</v>
      </c>
      <c r="V8" s="228">
        <v>817.25</v>
      </c>
      <c r="W8" s="228">
        <v>834.1</v>
      </c>
      <c r="X8" s="228">
        <v>-16.850000000000001</v>
      </c>
      <c r="Y8" s="229">
        <v>-2.0199999999999999E-2</v>
      </c>
      <c r="Z8" s="228">
        <v>3</v>
      </c>
      <c r="AA8" s="228">
        <v>0.45</v>
      </c>
      <c r="AB8" s="228">
        <v>2.5499999999999998</v>
      </c>
      <c r="AC8" s="229">
        <v>3.7000000000000002E-3</v>
      </c>
      <c r="AD8" s="228">
        <v>-1.35</v>
      </c>
      <c r="AE8" s="228">
        <v>0.45</v>
      </c>
      <c r="AF8" s="228">
        <v>-1.8</v>
      </c>
      <c r="AG8" s="229">
        <v>-1.6999999999999999E-3</v>
      </c>
      <c r="AH8" s="228">
        <v>3</v>
      </c>
      <c r="AI8" s="228">
        <v>4.6500000000000004</v>
      </c>
      <c r="AJ8" s="228">
        <v>-1.65</v>
      </c>
      <c r="AK8" s="229">
        <v>3.7000000000000002E-3</v>
      </c>
      <c r="AL8" s="228">
        <v>8.85</v>
      </c>
      <c r="AM8" s="228">
        <v>10.199999999999999</v>
      </c>
      <c r="AN8" s="228">
        <v>-1.35</v>
      </c>
      <c r="AO8" s="229">
        <v>1.09E-2</v>
      </c>
      <c r="AP8" s="228">
        <v>810.89</v>
      </c>
      <c r="AQ8" s="228">
        <v>815.47</v>
      </c>
      <c r="AR8" s="228">
        <v>0</v>
      </c>
      <c r="AS8" s="228">
        <v>508</v>
      </c>
      <c r="AT8" s="228">
        <v>677</v>
      </c>
      <c r="AU8" s="228">
        <v>-168</v>
      </c>
      <c r="AV8" s="229">
        <v>-0.24890000000000001</v>
      </c>
      <c r="AW8" s="228">
        <v>231</v>
      </c>
      <c r="AX8" s="228">
        <v>309</v>
      </c>
      <c r="AY8" s="228">
        <v>-77</v>
      </c>
      <c r="AZ8" s="229">
        <v>-0.2505</v>
      </c>
      <c r="BA8" s="228">
        <v>268</v>
      </c>
      <c r="BB8" s="228">
        <v>360</v>
      </c>
      <c r="BC8" s="228">
        <v>-92</v>
      </c>
      <c r="BD8" s="229">
        <v>-0.25590000000000002</v>
      </c>
      <c r="BE8" s="228">
        <v>9</v>
      </c>
      <c r="BF8" s="228">
        <v>8</v>
      </c>
      <c r="BG8" s="228">
        <v>1</v>
      </c>
      <c r="BH8" s="229">
        <v>0.1216</v>
      </c>
      <c r="BI8" s="228">
        <v>219</v>
      </c>
      <c r="BJ8" s="228">
        <v>179</v>
      </c>
      <c r="BK8" s="228">
        <v>40</v>
      </c>
      <c r="BL8" s="229">
        <v>0.22070000000000001</v>
      </c>
      <c r="BM8" s="228">
        <v>156</v>
      </c>
      <c r="BN8" s="228">
        <v>106</v>
      </c>
      <c r="BO8" s="228">
        <v>50</v>
      </c>
      <c r="BP8" s="229">
        <v>0.4743</v>
      </c>
      <c r="BQ8" s="228">
        <v>883</v>
      </c>
      <c r="BR8" s="228">
        <v>961</v>
      </c>
      <c r="BS8" s="228">
        <v>-79</v>
      </c>
      <c r="BT8" s="229">
        <v>-8.2000000000000003E-2</v>
      </c>
      <c r="BU8" s="230">
        <v>1079335</v>
      </c>
      <c r="BV8" s="230">
        <v>488689</v>
      </c>
      <c r="BW8" s="230">
        <v>590646</v>
      </c>
      <c r="BX8" s="229">
        <v>1.2085999999999999</v>
      </c>
      <c r="BY8" s="230">
        <v>1583</v>
      </c>
      <c r="BZ8" s="230">
        <v>1615</v>
      </c>
      <c r="CA8" s="228">
        <v>-32</v>
      </c>
      <c r="CB8" s="229">
        <v>-0.02</v>
      </c>
      <c r="CC8" s="228">
        <v>62</v>
      </c>
      <c r="CD8" s="228">
        <v>173</v>
      </c>
      <c r="CE8" s="228">
        <v>-112</v>
      </c>
      <c r="CF8" s="229">
        <v>-0.64319999999999999</v>
      </c>
      <c r="CG8" s="230">
        <v>1566</v>
      </c>
      <c r="CH8" s="230">
        <v>1430</v>
      </c>
      <c r="CI8" s="228">
        <v>135</v>
      </c>
      <c r="CJ8" s="229">
        <v>9.4500000000000001E-2</v>
      </c>
      <c r="CK8" s="228">
        <v>17</v>
      </c>
      <c r="CL8" s="228">
        <v>12</v>
      </c>
      <c r="CM8" s="228">
        <v>6</v>
      </c>
      <c r="CN8" s="229">
        <v>0.51429999999999998</v>
      </c>
      <c r="CO8" s="228">
        <v>113</v>
      </c>
      <c r="CP8" s="228">
        <v>316</v>
      </c>
      <c r="CQ8" s="228">
        <v>-203</v>
      </c>
      <c r="CR8" s="229">
        <v>-0.64259999999999995</v>
      </c>
      <c r="CS8" s="228">
        <v>115</v>
      </c>
      <c r="CT8" s="228">
        <v>229</v>
      </c>
      <c r="CU8" s="228">
        <v>-114</v>
      </c>
      <c r="CV8" s="229">
        <v>-0.49740000000000001</v>
      </c>
      <c r="CW8" s="230">
        <v>1811</v>
      </c>
      <c r="CX8" s="230">
        <v>2161</v>
      </c>
      <c r="CY8" s="228">
        <v>-350</v>
      </c>
      <c r="CZ8" s="229">
        <v>-0.1618</v>
      </c>
      <c r="DA8" s="228">
        <v>34.51</v>
      </c>
      <c r="DB8" s="228">
        <v>34.17</v>
      </c>
      <c r="DC8" s="228">
        <v>0.34</v>
      </c>
      <c r="DD8" s="228">
        <v>0.34</v>
      </c>
      <c r="DE8" s="228">
        <v>60.36</v>
      </c>
      <c r="DF8" s="228">
        <v>60.45</v>
      </c>
      <c r="DG8" s="228">
        <v>-25.85</v>
      </c>
      <c r="DH8" s="228">
        <v>-0.09</v>
      </c>
      <c r="DI8" s="228">
        <v>34.89</v>
      </c>
      <c r="DJ8" s="228">
        <v>34.299999999999997</v>
      </c>
      <c r="DK8" s="228">
        <v>0.59</v>
      </c>
      <c r="DL8" s="228">
        <v>0.59</v>
      </c>
      <c r="DM8" s="228">
        <v>34.04</v>
      </c>
      <c r="DN8" s="228">
        <v>34</v>
      </c>
      <c r="DO8" s="228">
        <v>0.04</v>
      </c>
      <c r="DP8" s="228">
        <v>0.04</v>
      </c>
      <c r="DQ8" s="228">
        <v>1.02</v>
      </c>
      <c r="DR8" s="228">
        <v>0.72</v>
      </c>
      <c r="DS8" s="228">
        <v>0.3</v>
      </c>
      <c r="DT8" s="229">
        <v>0.41670000000000001</v>
      </c>
      <c r="DU8" s="228">
        <v>900</v>
      </c>
      <c r="DV8" s="228">
        <v>820</v>
      </c>
      <c r="DW8" s="228">
        <v>0.71</v>
      </c>
      <c r="DX8" s="228">
        <v>0.59</v>
      </c>
      <c r="DY8" s="228">
        <v>0.12</v>
      </c>
      <c r="DZ8" s="229">
        <v>0.2034</v>
      </c>
      <c r="EA8" s="229">
        <v>0.96240000000000003</v>
      </c>
      <c r="EB8" s="230">
        <v>17771400</v>
      </c>
      <c r="EC8" s="229">
        <v>5.4000000000000003E-3</v>
      </c>
      <c r="ED8" s="229">
        <v>0.96240000000000003</v>
      </c>
      <c r="EE8" s="228">
        <v>4.58</v>
      </c>
      <c r="EF8" s="229">
        <v>5.5999999999999999E-3</v>
      </c>
      <c r="EG8" s="230">
        <v>441641</v>
      </c>
      <c r="EH8" s="230">
        <v>180903</v>
      </c>
      <c r="EI8" s="229">
        <v>1.4413</v>
      </c>
      <c r="EJ8" s="229">
        <v>0.40920000000000001</v>
      </c>
      <c r="EK8" s="228">
        <v>236.1</v>
      </c>
      <c r="EL8" s="228">
        <v>164.83</v>
      </c>
      <c r="EM8" s="228">
        <v>509.46</v>
      </c>
      <c r="EN8" s="228">
        <v>0</v>
      </c>
      <c r="EO8" s="228">
        <v>910.4</v>
      </c>
      <c r="EP8" s="228">
        <v>995.1</v>
      </c>
      <c r="EQ8" s="228">
        <v>-84.71</v>
      </c>
      <c r="ER8" s="229">
        <v>-8.5099999999999995E-2</v>
      </c>
      <c r="ES8" s="228">
        <v>121.31</v>
      </c>
      <c r="ET8" s="228">
        <v>115.97</v>
      </c>
      <c r="EU8" s="231">
        <v>1583.24</v>
      </c>
      <c r="EV8" s="231">
        <v>72215231</v>
      </c>
      <c r="EW8" s="231">
        <v>1820.51</v>
      </c>
      <c r="EX8" s="231">
        <v>2235.4699999999998</v>
      </c>
      <c r="EY8" s="228">
        <v>-414.96</v>
      </c>
      <c r="EZ8" s="229">
        <v>-0.18559999999999999</v>
      </c>
      <c r="FA8" s="229">
        <v>0.30909999999999999</v>
      </c>
      <c r="FB8" s="227" t="s">
        <v>568</v>
      </c>
      <c r="FC8">
        <f t="shared" si="0"/>
        <v>1521</v>
      </c>
    </row>
    <row r="9" spans="1:159" ht="17.25" thickBot="1" x14ac:dyDescent="0.3">
      <c r="A9" s="226">
        <v>45869</v>
      </c>
      <c r="B9" s="227" t="s">
        <v>215</v>
      </c>
      <c r="C9" s="227" t="s">
        <v>159</v>
      </c>
      <c r="D9" s="228">
        <v>300</v>
      </c>
      <c r="E9" s="228">
        <v>0</v>
      </c>
      <c r="F9" s="231">
        <v>2440.1</v>
      </c>
      <c r="G9" s="231">
        <v>2544.6999999999998</v>
      </c>
      <c r="H9" s="228">
        <v>-104.6</v>
      </c>
      <c r="I9" s="229">
        <v>-4.1099999999999998E-2</v>
      </c>
      <c r="J9" s="231">
        <v>2430.6999999999998</v>
      </c>
      <c r="K9" s="231">
        <v>2532.9</v>
      </c>
      <c r="L9" s="228">
        <v>-102.2</v>
      </c>
      <c r="M9" s="229">
        <v>-4.0300000000000002E-2</v>
      </c>
      <c r="N9" s="231">
        <v>2425.6</v>
      </c>
      <c r="O9" s="231">
        <v>2531.9</v>
      </c>
      <c r="P9" s="228">
        <v>-106.3</v>
      </c>
      <c r="Q9" s="229">
        <v>-4.2000000000000003E-2</v>
      </c>
      <c r="R9" s="231">
        <v>2440.1</v>
      </c>
      <c r="S9" s="231">
        <v>2544.6999999999998</v>
      </c>
      <c r="T9" s="228">
        <v>-104.6</v>
      </c>
      <c r="U9" s="229">
        <v>-4.1099999999999998E-2</v>
      </c>
      <c r="V9" s="231">
        <v>2454.6999999999998</v>
      </c>
      <c r="W9" s="231">
        <v>2562.6999999999998</v>
      </c>
      <c r="X9" s="228">
        <v>-108</v>
      </c>
      <c r="Y9" s="229">
        <v>-4.2099999999999999E-2</v>
      </c>
      <c r="Z9" s="228">
        <v>9.4</v>
      </c>
      <c r="AA9" s="228">
        <v>-1</v>
      </c>
      <c r="AB9" s="228">
        <v>10.4</v>
      </c>
      <c r="AC9" s="229">
        <v>3.8999999999999998E-3</v>
      </c>
      <c r="AD9" s="228">
        <v>-5.0999999999999996</v>
      </c>
      <c r="AE9" s="228">
        <v>-1</v>
      </c>
      <c r="AF9" s="228">
        <v>-4.0999999999999996</v>
      </c>
      <c r="AG9" s="229">
        <v>-2.0999999999999999E-3</v>
      </c>
      <c r="AH9" s="228">
        <v>9.4</v>
      </c>
      <c r="AI9" s="228">
        <v>11.8</v>
      </c>
      <c r="AJ9" s="228">
        <v>-2.4</v>
      </c>
      <c r="AK9" s="229">
        <v>3.8999999999999998E-3</v>
      </c>
      <c r="AL9" s="228">
        <v>24</v>
      </c>
      <c r="AM9" s="228">
        <v>29.8</v>
      </c>
      <c r="AN9" s="228">
        <v>-5.8</v>
      </c>
      <c r="AO9" s="229">
        <v>9.9000000000000008E-3</v>
      </c>
      <c r="AP9" s="231">
        <v>2479.11</v>
      </c>
      <c r="AQ9" s="231">
        <v>2484.56</v>
      </c>
      <c r="AR9" s="228">
        <v>0</v>
      </c>
      <c r="AS9" s="230">
        <v>2511</v>
      </c>
      <c r="AT9" s="230">
        <v>2221</v>
      </c>
      <c r="AU9" s="228">
        <v>291</v>
      </c>
      <c r="AV9" s="229">
        <v>0.13089999999999999</v>
      </c>
      <c r="AW9" s="228">
        <v>921</v>
      </c>
      <c r="AX9" s="230">
        <v>1086</v>
      </c>
      <c r="AY9" s="228">
        <v>-166</v>
      </c>
      <c r="AZ9" s="229">
        <v>-0.15240000000000001</v>
      </c>
      <c r="BA9" s="230">
        <v>1557</v>
      </c>
      <c r="BB9" s="230">
        <v>1120</v>
      </c>
      <c r="BC9" s="228">
        <v>437</v>
      </c>
      <c r="BD9" s="229">
        <v>0.39069999999999999</v>
      </c>
      <c r="BE9" s="228">
        <v>34</v>
      </c>
      <c r="BF9" s="228">
        <v>15</v>
      </c>
      <c r="BG9" s="228">
        <v>19</v>
      </c>
      <c r="BH9" s="229">
        <v>1.266</v>
      </c>
      <c r="BI9" s="230">
        <v>4461</v>
      </c>
      <c r="BJ9" s="230">
        <v>1412</v>
      </c>
      <c r="BK9" s="230">
        <v>3049</v>
      </c>
      <c r="BL9" s="229">
        <v>2.1598000000000002</v>
      </c>
      <c r="BM9" s="230">
        <v>2713</v>
      </c>
      <c r="BN9" s="228">
        <v>559</v>
      </c>
      <c r="BO9" s="230">
        <v>2154</v>
      </c>
      <c r="BP9" s="229">
        <v>3.8496999999999999</v>
      </c>
      <c r="BQ9" s="230">
        <v>9686</v>
      </c>
      <c r="BR9" s="230">
        <v>4192</v>
      </c>
      <c r="BS9" s="230">
        <v>5494</v>
      </c>
      <c r="BT9" s="229">
        <v>1.3105</v>
      </c>
      <c r="BU9" s="230">
        <v>1559566</v>
      </c>
      <c r="BV9" s="230">
        <v>280867</v>
      </c>
      <c r="BW9" s="230">
        <v>1278699</v>
      </c>
      <c r="BX9" s="229">
        <v>4.5526999999999997</v>
      </c>
      <c r="BY9" s="230">
        <v>4413</v>
      </c>
      <c r="BZ9" s="230">
        <v>4458</v>
      </c>
      <c r="CA9" s="228">
        <v>-45</v>
      </c>
      <c r="CB9" s="229">
        <v>-1.0200000000000001E-2</v>
      </c>
      <c r="CC9" s="228">
        <v>287</v>
      </c>
      <c r="CD9" s="228">
        <v>802</v>
      </c>
      <c r="CE9" s="228">
        <v>-515</v>
      </c>
      <c r="CF9" s="229">
        <v>-0.64219999999999999</v>
      </c>
      <c r="CG9" s="230">
        <v>4372</v>
      </c>
      <c r="CH9" s="230">
        <v>3624</v>
      </c>
      <c r="CI9" s="228">
        <v>747</v>
      </c>
      <c r="CJ9" s="229">
        <v>0.20619999999999999</v>
      </c>
      <c r="CK9" s="228">
        <v>41</v>
      </c>
      <c r="CL9" s="228">
        <v>32</v>
      </c>
      <c r="CM9" s="228">
        <v>9</v>
      </c>
      <c r="CN9" s="229">
        <v>0.28470000000000001</v>
      </c>
      <c r="CO9" s="230">
        <v>1110</v>
      </c>
      <c r="CP9" s="230">
        <v>2035</v>
      </c>
      <c r="CQ9" s="228">
        <v>-924</v>
      </c>
      <c r="CR9" s="229">
        <v>-0.45419999999999999</v>
      </c>
      <c r="CS9" s="230">
        <v>1197</v>
      </c>
      <c r="CT9" s="230">
        <v>1631</v>
      </c>
      <c r="CU9" s="228">
        <v>-434</v>
      </c>
      <c r="CV9" s="229">
        <v>-0.26619999999999999</v>
      </c>
      <c r="CW9" s="230">
        <v>6720</v>
      </c>
      <c r="CX9" s="230">
        <v>8124</v>
      </c>
      <c r="CY9" s="230">
        <v>-1404</v>
      </c>
      <c r="CZ9" s="229">
        <v>-0.17280000000000001</v>
      </c>
      <c r="DA9" s="228">
        <v>28.68</v>
      </c>
      <c r="DB9" s="228">
        <v>25.94</v>
      </c>
      <c r="DC9" s="228">
        <v>2.74</v>
      </c>
      <c r="DD9" s="228">
        <v>2.74</v>
      </c>
      <c r="DE9" s="228">
        <v>53.16</v>
      </c>
      <c r="DF9" s="228">
        <v>52.99</v>
      </c>
      <c r="DG9" s="228">
        <v>-24.48</v>
      </c>
      <c r="DH9" s="228">
        <v>0.17</v>
      </c>
      <c r="DI9" s="228">
        <v>27.44</v>
      </c>
      <c r="DJ9" s="228">
        <v>25.43</v>
      </c>
      <c r="DK9" s="228">
        <v>2.0099999999999998</v>
      </c>
      <c r="DL9" s="228">
        <v>2.0099999999999998</v>
      </c>
      <c r="DM9" s="228">
        <v>30.61</v>
      </c>
      <c r="DN9" s="228">
        <v>26.96</v>
      </c>
      <c r="DO9" s="228">
        <v>3.65</v>
      </c>
      <c r="DP9" s="228">
        <v>3.65</v>
      </c>
      <c r="DQ9" s="228">
        <v>1.08</v>
      </c>
      <c r="DR9" s="228">
        <v>0.8</v>
      </c>
      <c r="DS9" s="228">
        <v>0.28000000000000003</v>
      </c>
      <c r="DT9" s="229">
        <v>0.35</v>
      </c>
      <c r="DU9" s="231">
        <v>2700</v>
      </c>
      <c r="DV9" s="231">
        <v>2700</v>
      </c>
      <c r="DW9" s="228">
        <v>0.61</v>
      </c>
      <c r="DX9" s="228">
        <v>0.4</v>
      </c>
      <c r="DY9" s="228">
        <v>0.21</v>
      </c>
      <c r="DZ9" s="229">
        <v>0.52500000000000002</v>
      </c>
      <c r="EA9" s="229">
        <v>0.93889999999999996</v>
      </c>
      <c r="EB9" s="230">
        <v>14984400</v>
      </c>
      <c r="EC9" s="229">
        <v>6.0000000000000001E-3</v>
      </c>
      <c r="ED9" s="229">
        <v>0.93889999999999996</v>
      </c>
      <c r="EE9" s="228">
        <v>5.45</v>
      </c>
      <c r="EF9" s="229">
        <v>2.2000000000000001E-3</v>
      </c>
      <c r="EG9" s="230">
        <v>373095</v>
      </c>
      <c r="EH9" s="230">
        <v>74780</v>
      </c>
      <c r="EI9" s="229">
        <v>3.9891999999999999</v>
      </c>
      <c r="EJ9" s="229">
        <v>0.2392</v>
      </c>
      <c r="EK9" s="231">
        <v>4803.91</v>
      </c>
      <c r="EL9" s="231">
        <v>2779.48</v>
      </c>
      <c r="EM9" s="231">
        <v>2555.25</v>
      </c>
      <c r="EN9" s="228">
        <v>0</v>
      </c>
      <c r="EO9" s="231">
        <v>10138.65</v>
      </c>
      <c r="EP9" s="231">
        <v>4432.72</v>
      </c>
      <c r="EQ9" s="231">
        <v>5705.92</v>
      </c>
      <c r="ER9" s="229">
        <v>1.2871999999999999</v>
      </c>
      <c r="ES9" s="231">
        <v>1190.8800000000001</v>
      </c>
      <c r="ET9" s="231">
        <v>1261.71</v>
      </c>
      <c r="EU9" s="231">
        <v>4413.22</v>
      </c>
      <c r="EV9" s="231">
        <v>60081955</v>
      </c>
      <c r="EW9" s="231">
        <v>6865.81</v>
      </c>
      <c r="EX9" s="231">
        <v>8596.75</v>
      </c>
      <c r="EY9" s="231">
        <v>-1730.94</v>
      </c>
      <c r="EZ9" s="229">
        <v>-0.20130000000000001</v>
      </c>
      <c r="FA9" s="229">
        <v>0.45839999999999997</v>
      </c>
      <c r="FB9" s="227" t="s">
        <v>568</v>
      </c>
      <c r="FC9">
        <f t="shared" si="0"/>
        <v>4126</v>
      </c>
    </row>
    <row r="10" spans="1:159" ht="17.25" thickBot="1" x14ac:dyDescent="0.3">
      <c r="A10" s="226">
        <v>45869</v>
      </c>
      <c r="B10" s="227" t="s">
        <v>161</v>
      </c>
      <c r="C10" s="227" t="s">
        <v>607</v>
      </c>
      <c r="D10" s="228">
        <v>600</v>
      </c>
      <c r="E10" s="228">
        <v>0</v>
      </c>
      <c r="F10" s="228">
        <v>988.2</v>
      </c>
      <c r="G10" s="231">
        <v>1015.8</v>
      </c>
      <c r="H10" s="228">
        <v>-27.6</v>
      </c>
      <c r="I10" s="229">
        <v>-2.7199999999999998E-2</v>
      </c>
      <c r="J10" s="228">
        <v>984.7</v>
      </c>
      <c r="K10" s="231">
        <v>1009.7</v>
      </c>
      <c r="L10" s="228">
        <v>-25</v>
      </c>
      <c r="M10" s="229">
        <v>-2.4799999999999999E-2</v>
      </c>
      <c r="N10" s="228">
        <v>983.3</v>
      </c>
      <c r="O10" s="231">
        <v>1010.2</v>
      </c>
      <c r="P10" s="228">
        <v>-26.9</v>
      </c>
      <c r="Q10" s="229">
        <v>-2.6599999999999999E-2</v>
      </c>
      <c r="R10" s="228">
        <v>988.2</v>
      </c>
      <c r="S10" s="231">
        <v>1015.8</v>
      </c>
      <c r="T10" s="228">
        <v>-27.6</v>
      </c>
      <c r="U10" s="229">
        <v>-2.7199999999999998E-2</v>
      </c>
      <c r="V10" s="228">
        <v>994.5</v>
      </c>
      <c r="W10" s="231">
        <v>1022.6</v>
      </c>
      <c r="X10" s="228">
        <v>-28.1</v>
      </c>
      <c r="Y10" s="229">
        <v>-2.75E-2</v>
      </c>
      <c r="Z10" s="228">
        <v>3.5</v>
      </c>
      <c r="AA10" s="228">
        <v>0.5</v>
      </c>
      <c r="AB10" s="228">
        <v>3</v>
      </c>
      <c r="AC10" s="229">
        <v>3.5999999999999999E-3</v>
      </c>
      <c r="AD10" s="228">
        <v>-1.4</v>
      </c>
      <c r="AE10" s="228">
        <v>0.5</v>
      </c>
      <c r="AF10" s="228">
        <v>-1.9</v>
      </c>
      <c r="AG10" s="229">
        <v>-1.4E-3</v>
      </c>
      <c r="AH10" s="228">
        <v>3.5</v>
      </c>
      <c r="AI10" s="228">
        <v>6.1</v>
      </c>
      <c r="AJ10" s="228">
        <v>-2.6</v>
      </c>
      <c r="AK10" s="229">
        <v>3.5999999999999999E-3</v>
      </c>
      <c r="AL10" s="228">
        <v>9.8000000000000007</v>
      </c>
      <c r="AM10" s="228">
        <v>12.9</v>
      </c>
      <c r="AN10" s="228">
        <v>-3.1</v>
      </c>
      <c r="AO10" s="229">
        <v>0.01</v>
      </c>
      <c r="AP10" s="228">
        <v>996.83</v>
      </c>
      <c r="AQ10" s="231">
        <v>1001.21</v>
      </c>
      <c r="AR10" s="228">
        <v>0</v>
      </c>
      <c r="AS10" s="230">
        <v>1148</v>
      </c>
      <c r="AT10" s="228">
        <v>955</v>
      </c>
      <c r="AU10" s="228">
        <v>193</v>
      </c>
      <c r="AV10" s="229">
        <v>0.2016</v>
      </c>
      <c r="AW10" s="228">
        <v>469</v>
      </c>
      <c r="AX10" s="228">
        <v>456</v>
      </c>
      <c r="AY10" s="228">
        <v>14</v>
      </c>
      <c r="AZ10" s="229">
        <v>3.0200000000000001E-2</v>
      </c>
      <c r="BA10" s="228">
        <v>665</v>
      </c>
      <c r="BB10" s="228">
        <v>489</v>
      </c>
      <c r="BC10" s="228">
        <v>176</v>
      </c>
      <c r="BD10" s="229">
        <v>0.35899999999999999</v>
      </c>
      <c r="BE10" s="228">
        <v>14</v>
      </c>
      <c r="BF10" s="228">
        <v>11</v>
      </c>
      <c r="BG10" s="228">
        <v>3</v>
      </c>
      <c r="BH10" s="229">
        <v>0.31280000000000002</v>
      </c>
      <c r="BI10" s="230">
        <v>1025</v>
      </c>
      <c r="BJ10" s="230">
        <v>1079</v>
      </c>
      <c r="BK10" s="228">
        <v>-54</v>
      </c>
      <c r="BL10" s="229">
        <v>-5.04E-2</v>
      </c>
      <c r="BM10" s="228">
        <v>715</v>
      </c>
      <c r="BN10" s="228">
        <v>602</v>
      </c>
      <c r="BO10" s="228">
        <v>113</v>
      </c>
      <c r="BP10" s="229">
        <v>0.18809999999999999</v>
      </c>
      <c r="BQ10" s="230">
        <v>2888</v>
      </c>
      <c r="BR10" s="230">
        <v>2637</v>
      </c>
      <c r="BS10" s="228">
        <v>252</v>
      </c>
      <c r="BT10" s="229">
        <v>9.5399999999999999E-2</v>
      </c>
      <c r="BU10" s="230">
        <v>2420584</v>
      </c>
      <c r="BV10" s="230">
        <v>1487809</v>
      </c>
      <c r="BW10" s="230">
        <v>932775</v>
      </c>
      <c r="BX10" s="229">
        <v>0.62690000000000001</v>
      </c>
      <c r="BY10" s="230">
        <v>1958</v>
      </c>
      <c r="BZ10" s="230">
        <v>2013</v>
      </c>
      <c r="CA10" s="228">
        <v>-55</v>
      </c>
      <c r="CB10" s="229">
        <v>-2.7199999999999998E-2</v>
      </c>
      <c r="CC10" s="228">
        <v>80</v>
      </c>
      <c r="CD10" s="228">
        <v>378</v>
      </c>
      <c r="CE10" s="228">
        <v>-297</v>
      </c>
      <c r="CF10" s="229">
        <v>-0.7873</v>
      </c>
      <c r="CG10" s="230">
        <v>1931</v>
      </c>
      <c r="CH10" s="230">
        <v>1615</v>
      </c>
      <c r="CI10" s="228">
        <v>316</v>
      </c>
      <c r="CJ10" s="229">
        <v>0.19550000000000001</v>
      </c>
      <c r="CK10" s="228">
        <v>28</v>
      </c>
      <c r="CL10" s="228">
        <v>21</v>
      </c>
      <c r="CM10" s="228">
        <v>7</v>
      </c>
      <c r="CN10" s="229">
        <v>0.33910000000000001</v>
      </c>
      <c r="CO10" s="228">
        <v>344</v>
      </c>
      <c r="CP10" s="228">
        <v>757</v>
      </c>
      <c r="CQ10" s="228">
        <v>-413</v>
      </c>
      <c r="CR10" s="229">
        <v>-0.54579999999999995</v>
      </c>
      <c r="CS10" s="228">
        <v>215</v>
      </c>
      <c r="CT10" s="228">
        <v>470</v>
      </c>
      <c r="CU10" s="228">
        <v>-255</v>
      </c>
      <c r="CV10" s="229">
        <v>-0.54290000000000005</v>
      </c>
      <c r="CW10" s="230">
        <v>2517</v>
      </c>
      <c r="CX10" s="230">
        <v>3240</v>
      </c>
      <c r="CY10" s="228">
        <v>-723</v>
      </c>
      <c r="CZ10" s="229">
        <v>-0.22320000000000001</v>
      </c>
      <c r="DA10" s="228">
        <v>37.11</v>
      </c>
      <c r="DB10" s="228">
        <v>36.700000000000003</v>
      </c>
      <c r="DC10" s="228">
        <v>0.41</v>
      </c>
      <c r="DD10" s="228">
        <v>0.41</v>
      </c>
      <c r="DE10" s="228">
        <v>61.9</v>
      </c>
      <c r="DF10" s="228">
        <v>61.95</v>
      </c>
      <c r="DG10" s="228">
        <v>-24.79</v>
      </c>
      <c r="DH10" s="228">
        <v>-0.05</v>
      </c>
      <c r="DI10" s="228">
        <v>37.020000000000003</v>
      </c>
      <c r="DJ10" s="228">
        <v>36.71</v>
      </c>
      <c r="DK10" s="228">
        <v>0.31</v>
      </c>
      <c r="DL10" s="228">
        <v>0.31</v>
      </c>
      <c r="DM10" s="228">
        <v>37.28</v>
      </c>
      <c r="DN10" s="228">
        <v>36.67</v>
      </c>
      <c r="DO10" s="228">
        <v>0.61</v>
      </c>
      <c r="DP10" s="228">
        <v>0.61</v>
      </c>
      <c r="DQ10" s="228">
        <v>0.63</v>
      </c>
      <c r="DR10" s="228">
        <v>0.62</v>
      </c>
      <c r="DS10" s="228">
        <v>0.01</v>
      </c>
      <c r="DT10" s="229">
        <v>1.61E-2</v>
      </c>
      <c r="DU10" s="231">
        <v>1000</v>
      </c>
      <c r="DV10" s="231">
        <v>1000</v>
      </c>
      <c r="DW10" s="228">
        <v>0.7</v>
      </c>
      <c r="DX10" s="228">
        <v>0.56000000000000005</v>
      </c>
      <c r="DY10" s="228">
        <v>0.14000000000000001</v>
      </c>
      <c r="DZ10" s="229">
        <v>0.25</v>
      </c>
      <c r="EA10" s="229">
        <v>0.96060000000000001</v>
      </c>
      <c r="EB10" s="230">
        <v>16551000</v>
      </c>
      <c r="EC10" s="229">
        <v>5.0000000000000001E-3</v>
      </c>
      <c r="ED10" s="229">
        <v>0.96060000000000001</v>
      </c>
      <c r="EE10" s="228">
        <v>4.38</v>
      </c>
      <c r="EF10" s="229">
        <v>4.4000000000000003E-3</v>
      </c>
      <c r="EG10" s="230">
        <v>659901</v>
      </c>
      <c r="EH10" s="230">
        <v>371280</v>
      </c>
      <c r="EI10" s="229">
        <v>0.77739999999999998</v>
      </c>
      <c r="EJ10" s="229">
        <v>0.27260000000000001</v>
      </c>
      <c r="EK10" s="231">
        <v>1090.4000000000001</v>
      </c>
      <c r="EL10" s="228">
        <v>734.55</v>
      </c>
      <c r="EM10" s="231">
        <v>1161.1199999999999</v>
      </c>
      <c r="EN10" s="228">
        <v>0</v>
      </c>
      <c r="EO10" s="231">
        <v>2986.08</v>
      </c>
      <c r="EP10" s="231">
        <v>2750.38</v>
      </c>
      <c r="EQ10" s="228">
        <v>235.7</v>
      </c>
      <c r="ER10" s="229">
        <v>8.5699999999999998E-2</v>
      </c>
      <c r="ES10" s="228">
        <v>368.81</v>
      </c>
      <c r="ET10" s="228">
        <v>216.12</v>
      </c>
      <c r="EU10" s="231">
        <v>1958.41</v>
      </c>
      <c r="EV10" s="231">
        <v>123755903</v>
      </c>
      <c r="EW10" s="231">
        <v>2543.34</v>
      </c>
      <c r="EX10" s="231">
        <v>3349.18</v>
      </c>
      <c r="EY10" s="228">
        <v>-805.84</v>
      </c>
      <c r="EZ10" s="229">
        <v>-0.24060000000000001</v>
      </c>
      <c r="FA10" s="229">
        <v>0.20580000000000001</v>
      </c>
      <c r="FB10" s="227" t="s">
        <v>568</v>
      </c>
      <c r="FC10">
        <f t="shared" si="0"/>
        <v>1878</v>
      </c>
    </row>
    <row r="11" spans="1:159" ht="17.25" thickBot="1" x14ac:dyDescent="0.3">
      <c r="A11" s="226">
        <v>45869</v>
      </c>
      <c r="B11" s="227" t="s">
        <v>215</v>
      </c>
      <c r="C11" s="227" t="s">
        <v>160</v>
      </c>
      <c r="D11" s="228">
        <v>475</v>
      </c>
      <c r="E11" s="228">
        <v>0</v>
      </c>
      <c r="F11" s="231">
        <v>1380.9</v>
      </c>
      <c r="G11" s="231">
        <v>1402.8</v>
      </c>
      <c r="H11" s="228">
        <v>-21.9</v>
      </c>
      <c r="I11" s="229">
        <v>-1.5599999999999999E-2</v>
      </c>
      <c r="J11" s="231">
        <v>1373.1</v>
      </c>
      <c r="K11" s="231">
        <v>1394</v>
      </c>
      <c r="L11" s="228">
        <v>-20.9</v>
      </c>
      <c r="M11" s="229">
        <v>-1.4999999999999999E-2</v>
      </c>
      <c r="N11" s="231">
        <v>1375</v>
      </c>
      <c r="O11" s="231">
        <v>1395.6</v>
      </c>
      <c r="P11" s="228">
        <v>-20.6</v>
      </c>
      <c r="Q11" s="229">
        <v>-1.4800000000000001E-2</v>
      </c>
      <c r="R11" s="231">
        <v>1380.9</v>
      </c>
      <c r="S11" s="231">
        <v>1402.8</v>
      </c>
      <c r="T11" s="228">
        <v>-21.9</v>
      </c>
      <c r="U11" s="229">
        <v>-1.5599999999999999E-2</v>
      </c>
      <c r="V11" s="231">
        <v>1390</v>
      </c>
      <c r="W11" s="231">
        <v>1413.8</v>
      </c>
      <c r="X11" s="228">
        <v>-23.8</v>
      </c>
      <c r="Y11" s="229">
        <v>-1.6799999999999999E-2</v>
      </c>
      <c r="Z11" s="228">
        <v>7.8</v>
      </c>
      <c r="AA11" s="228">
        <v>1.6</v>
      </c>
      <c r="AB11" s="228">
        <v>6.2</v>
      </c>
      <c r="AC11" s="229">
        <v>5.7000000000000002E-3</v>
      </c>
      <c r="AD11" s="228">
        <v>1.9</v>
      </c>
      <c r="AE11" s="228">
        <v>1.6</v>
      </c>
      <c r="AF11" s="228">
        <v>0.3</v>
      </c>
      <c r="AG11" s="229">
        <v>1.4E-3</v>
      </c>
      <c r="AH11" s="228">
        <v>7.8</v>
      </c>
      <c r="AI11" s="228">
        <v>8.8000000000000007</v>
      </c>
      <c r="AJ11" s="228">
        <v>-1</v>
      </c>
      <c r="AK11" s="229">
        <v>5.7000000000000002E-3</v>
      </c>
      <c r="AL11" s="228">
        <v>16.899999999999999</v>
      </c>
      <c r="AM11" s="228">
        <v>19.8</v>
      </c>
      <c r="AN11" s="228">
        <v>-2.9</v>
      </c>
      <c r="AO11" s="229">
        <v>1.23E-2</v>
      </c>
      <c r="AP11" s="231">
        <v>1385.49</v>
      </c>
      <c r="AQ11" s="231">
        <v>1391.63</v>
      </c>
      <c r="AR11" s="228">
        <v>0</v>
      </c>
      <c r="AS11" s="230">
        <v>1246</v>
      </c>
      <c r="AT11" s="230">
        <v>1749</v>
      </c>
      <c r="AU11" s="228">
        <v>-503</v>
      </c>
      <c r="AV11" s="229">
        <v>-0.28749999999999998</v>
      </c>
      <c r="AW11" s="228">
        <v>492</v>
      </c>
      <c r="AX11" s="228">
        <v>847</v>
      </c>
      <c r="AY11" s="228">
        <v>-355</v>
      </c>
      <c r="AZ11" s="229">
        <v>-0.41899999999999998</v>
      </c>
      <c r="BA11" s="228">
        <v>721</v>
      </c>
      <c r="BB11" s="228">
        <v>897</v>
      </c>
      <c r="BC11" s="228">
        <v>-176</v>
      </c>
      <c r="BD11" s="229">
        <v>-0.1961</v>
      </c>
      <c r="BE11" s="228">
        <v>34</v>
      </c>
      <c r="BF11" s="228">
        <v>6</v>
      </c>
      <c r="BG11" s="228">
        <v>28</v>
      </c>
      <c r="BH11" s="229">
        <v>4.7416</v>
      </c>
      <c r="BI11" s="230">
        <v>1103</v>
      </c>
      <c r="BJ11" s="228">
        <v>863</v>
      </c>
      <c r="BK11" s="228">
        <v>240</v>
      </c>
      <c r="BL11" s="229">
        <v>0.27800000000000002</v>
      </c>
      <c r="BM11" s="228">
        <v>952</v>
      </c>
      <c r="BN11" s="228">
        <v>503</v>
      </c>
      <c r="BO11" s="228">
        <v>449</v>
      </c>
      <c r="BP11" s="229">
        <v>0.89119999999999999</v>
      </c>
      <c r="BQ11" s="230">
        <v>3301</v>
      </c>
      <c r="BR11" s="230">
        <v>3115</v>
      </c>
      <c r="BS11" s="228">
        <v>185</v>
      </c>
      <c r="BT11" s="229">
        <v>5.9499999999999997E-2</v>
      </c>
      <c r="BU11" s="230">
        <v>1493510</v>
      </c>
      <c r="BV11" s="230">
        <v>656568</v>
      </c>
      <c r="BW11" s="230">
        <v>836942</v>
      </c>
      <c r="BX11" s="229">
        <v>1.2746999999999999</v>
      </c>
      <c r="BY11" s="230">
        <v>2999</v>
      </c>
      <c r="BZ11" s="230">
        <v>3099</v>
      </c>
      <c r="CA11" s="228">
        <v>-100</v>
      </c>
      <c r="CB11" s="229">
        <v>-3.2199999999999999E-2</v>
      </c>
      <c r="CC11" s="228">
        <v>184</v>
      </c>
      <c r="CD11" s="228">
        <v>490</v>
      </c>
      <c r="CE11" s="228">
        <v>-306</v>
      </c>
      <c r="CF11" s="229">
        <v>-0.62380000000000002</v>
      </c>
      <c r="CG11" s="230">
        <v>2884</v>
      </c>
      <c r="CH11" s="230">
        <v>2520</v>
      </c>
      <c r="CI11" s="228">
        <v>364</v>
      </c>
      <c r="CJ11" s="229">
        <v>0.1444</v>
      </c>
      <c r="CK11" s="228">
        <v>116</v>
      </c>
      <c r="CL11" s="228">
        <v>90</v>
      </c>
      <c r="CM11" s="228">
        <v>26</v>
      </c>
      <c r="CN11" s="229">
        <v>0.29360000000000003</v>
      </c>
      <c r="CO11" s="228">
        <v>383</v>
      </c>
      <c r="CP11" s="230">
        <v>1021</v>
      </c>
      <c r="CQ11" s="228">
        <v>-638</v>
      </c>
      <c r="CR11" s="229">
        <v>-0.625</v>
      </c>
      <c r="CS11" s="228">
        <v>423</v>
      </c>
      <c r="CT11" s="228">
        <v>809</v>
      </c>
      <c r="CU11" s="228">
        <v>-386</v>
      </c>
      <c r="CV11" s="229">
        <v>-0.4768</v>
      </c>
      <c r="CW11" s="230">
        <v>3805</v>
      </c>
      <c r="CX11" s="230">
        <v>4929</v>
      </c>
      <c r="CY11" s="230">
        <v>-1124</v>
      </c>
      <c r="CZ11" s="229">
        <v>-0.22800000000000001</v>
      </c>
      <c r="DA11" s="228">
        <v>25.36</v>
      </c>
      <c r="DB11" s="228">
        <v>24.73</v>
      </c>
      <c r="DC11" s="228">
        <v>0.63</v>
      </c>
      <c r="DD11" s="228">
        <v>0.63</v>
      </c>
      <c r="DE11" s="228">
        <v>42.45</v>
      </c>
      <c r="DF11" s="228">
        <v>42.5</v>
      </c>
      <c r="DG11" s="228">
        <v>-17.09</v>
      </c>
      <c r="DH11" s="228">
        <v>-0.05</v>
      </c>
      <c r="DI11" s="228">
        <v>25.64</v>
      </c>
      <c r="DJ11" s="228">
        <v>24.65</v>
      </c>
      <c r="DK11" s="228">
        <v>0.99</v>
      </c>
      <c r="DL11" s="228">
        <v>0.99</v>
      </c>
      <c r="DM11" s="228">
        <v>25.1</v>
      </c>
      <c r="DN11" s="228">
        <v>24.81</v>
      </c>
      <c r="DO11" s="228">
        <v>0.28999999999999998</v>
      </c>
      <c r="DP11" s="228">
        <v>0.28999999999999998</v>
      </c>
      <c r="DQ11" s="228">
        <v>1.1000000000000001</v>
      </c>
      <c r="DR11" s="228">
        <v>0.79</v>
      </c>
      <c r="DS11" s="228">
        <v>0.31</v>
      </c>
      <c r="DT11" s="229">
        <v>0.39240000000000003</v>
      </c>
      <c r="DU11" s="231">
        <v>1400</v>
      </c>
      <c r="DV11" s="231">
        <v>1400</v>
      </c>
      <c r="DW11" s="228">
        <v>0.86</v>
      </c>
      <c r="DX11" s="228">
        <v>0.57999999999999996</v>
      </c>
      <c r="DY11" s="228">
        <v>0.28000000000000003</v>
      </c>
      <c r="DZ11" s="229">
        <v>0.48280000000000001</v>
      </c>
      <c r="EA11" s="229">
        <v>0.94210000000000005</v>
      </c>
      <c r="EB11" s="230">
        <v>18895025</v>
      </c>
      <c r="EC11" s="229">
        <v>4.3E-3</v>
      </c>
      <c r="ED11" s="229">
        <v>0.94210000000000005</v>
      </c>
      <c r="EE11" s="228">
        <v>6.14</v>
      </c>
      <c r="EF11" s="229">
        <v>4.4000000000000003E-3</v>
      </c>
      <c r="EG11" s="230">
        <v>693260</v>
      </c>
      <c r="EH11" s="230">
        <v>294831</v>
      </c>
      <c r="EI11" s="229">
        <v>1.3513999999999999</v>
      </c>
      <c r="EJ11" s="229">
        <v>0.4642</v>
      </c>
      <c r="EK11" s="231">
        <v>1147.6500000000001</v>
      </c>
      <c r="EL11" s="228">
        <v>960.3</v>
      </c>
      <c r="EM11" s="231">
        <v>1253.94</v>
      </c>
      <c r="EN11" s="228">
        <v>0</v>
      </c>
      <c r="EO11" s="231">
        <v>3361.89</v>
      </c>
      <c r="EP11" s="231">
        <v>3174.66</v>
      </c>
      <c r="EQ11" s="228">
        <v>187.23</v>
      </c>
      <c r="ER11" s="229">
        <v>5.8999999999999997E-2</v>
      </c>
      <c r="ES11" s="228">
        <v>401.5</v>
      </c>
      <c r="ET11" s="228">
        <v>421.68</v>
      </c>
      <c r="EU11" s="231">
        <v>3000.19</v>
      </c>
      <c r="EV11" s="231">
        <v>147352572</v>
      </c>
      <c r="EW11" s="231">
        <v>3823.37</v>
      </c>
      <c r="EX11" s="231">
        <v>5034.33</v>
      </c>
      <c r="EY11" s="231">
        <v>-1210.96</v>
      </c>
      <c r="EZ11" s="229">
        <v>-0.24049999999999999</v>
      </c>
      <c r="FA11" s="229">
        <v>0.187</v>
      </c>
      <c r="FB11" s="227" t="s">
        <v>568</v>
      </c>
      <c r="FC11">
        <f t="shared" si="0"/>
        <v>2815</v>
      </c>
    </row>
    <row r="12" spans="1:159" ht="17.25" thickBot="1" x14ac:dyDescent="0.3">
      <c r="A12" s="226">
        <v>45869</v>
      </c>
      <c r="B12" s="227" t="s">
        <v>170</v>
      </c>
      <c r="C12" s="227" t="s">
        <v>497</v>
      </c>
      <c r="D12" s="228">
        <v>125</v>
      </c>
      <c r="E12" s="228">
        <v>0</v>
      </c>
      <c r="F12" s="231">
        <v>5039.3999999999996</v>
      </c>
      <c r="G12" s="231">
        <v>5120.8</v>
      </c>
      <c r="H12" s="228">
        <v>-81.400000000000006</v>
      </c>
      <c r="I12" s="229">
        <v>-1.5900000000000001E-2</v>
      </c>
      <c r="J12" s="231">
        <v>5031.1000000000004</v>
      </c>
      <c r="K12" s="231">
        <v>5099.6000000000004</v>
      </c>
      <c r="L12" s="228">
        <v>-68.5</v>
      </c>
      <c r="M12" s="229">
        <v>-1.34E-2</v>
      </c>
      <c r="N12" s="231">
        <v>5020.5</v>
      </c>
      <c r="O12" s="231">
        <v>5098.2</v>
      </c>
      <c r="P12" s="228">
        <v>-77.7</v>
      </c>
      <c r="Q12" s="229">
        <v>-1.52E-2</v>
      </c>
      <c r="R12" s="231">
        <v>5039.3999999999996</v>
      </c>
      <c r="S12" s="231">
        <v>5120.8</v>
      </c>
      <c r="T12" s="228">
        <v>-81.400000000000006</v>
      </c>
      <c r="U12" s="229">
        <v>-1.5900000000000001E-2</v>
      </c>
      <c r="V12" s="231">
        <v>5053.3</v>
      </c>
      <c r="W12" s="231">
        <v>5133.8</v>
      </c>
      <c r="X12" s="228">
        <v>-80.5</v>
      </c>
      <c r="Y12" s="229">
        <v>-1.5699999999999999E-2</v>
      </c>
      <c r="Z12" s="228">
        <v>8.3000000000000007</v>
      </c>
      <c r="AA12" s="228">
        <v>-1.4</v>
      </c>
      <c r="AB12" s="228">
        <v>9.6999999999999993</v>
      </c>
      <c r="AC12" s="229">
        <v>1.6000000000000001E-3</v>
      </c>
      <c r="AD12" s="228">
        <v>-10.6</v>
      </c>
      <c r="AE12" s="228">
        <v>-1.4</v>
      </c>
      <c r="AF12" s="228">
        <v>-9.1999999999999993</v>
      </c>
      <c r="AG12" s="229">
        <v>-2.0999999999999999E-3</v>
      </c>
      <c r="AH12" s="228">
        <v>8.3000000000000007</v>
      </c>
      <c r="AI12" s="228">
        <v>21.2</v>
      </c>
      <c r="AJ12" s="228">
        <v>-12.9</v>
      </c>
      <c r="AK12" s="229">
        <v>1.6000000000000001E-3</v>
      </c>
      <c r="AL12" s="228">
        <v>22.2</v>
      </c>
      <c r="AM12" s="228">
        <v>34.200000000000003</v>
      </c>
      <c r="AN12" s="228">
        <v>-12</v>
      </c>
      <c r="AO12" s="229">
        <v>4.4000000000000003E-3</v>
      </c>
      <c r="AP12" s="231">
        <v>5036.67</v>
      </c>
      <c r="AQ12" s="231">
        <v>5055.7299999999996</v>
      </c>
      <c r="AR12" s="228">
        <v>0</v>
      </c>
      <c r="AS12" s="228">
        <v>279</v>
      </c>
      <c r="AT12" s="228">
        <v>480</v>
      </c>
      <c r="AU12" s="228">
        <v>-201</v>
      </c>
      <c r="AV12" s="229">
        <v>-0.41899999999999998</v>
      </c>
      <c r="AW12" s="228">
        <v>104</v>
      </c>
      <c r="AX12" s="228">
        <v>226</v>
      </c>
      <c r="AY12" s="228">
        <v>-123</v>
      </c>
      <c r="AZ12" s="229">
        <v>-0.54239999999999999</v>
      </c>
      <c r="BA12" s="228">
        <v>174</v>
      </c>
      <c r="BB12" s="228">
        <v>253</v>
      </c>
      <c r="BC12" s="228">
        <v>-79</v>
      </c>
      <c r="BD12" s="229">
        <v>-0.31059999999999999</v>
      </c>
      <c r="BE12" s="228">
        <v>1</v>
      </c>
      <c r="BF12" s="228">
        <v>1</v>
      </c>
      <c r="BG12" s="228">
        <v>0</v>
      </c>
      <c r="BH12" s="229">
        <v>0.1333</v>
      </c>
      <c r="BI12" s="228">
        <v>155</v>
      </c>
      <c r="BJ12" s="228">
        <v>165</v>
      </c>
      <c r="BK12" s="228">
        <v>-10</v>
      </c>
      <c r="BL12" s="229">
        <v>-6.25E-2</v>
      </c>
      <c r="BM12" s="228">
        <v>90</v>
      </c>
      <c r="BN12" s="228">
        <v>94</v>
      </c>
      <c r="BO12" s="228">
        <v>-4</v>
      </c>
      <c r="BP12" s="229">
        <v>-4.0399999999999998E-2</v>
      </c>
      <c r="BQ12" s="228">
        <v>524</v>
      </c>
      <c r="BR12" s="228">
        <v>739</v>
      </c>
      <c r="BS12" s="228">
        <v>-215</v>
      </c>
      <c r="BT12" s="229">
        <v>-0.2913</v>
      </c>
      <c r="BU12" s="230">
        <v>156087</v>
      </c>
      <c r="BV12" s="230">
        <v>72657</v>
      </c>
      <c r="BW12" s="230">
        <v>83430</v>
      </c>
      <c r="BX12" s="229">
        <v>1.1483000000000001</v>
      </c>
      <c r="BY12" s="228">
        <v>574</v>
      </c>
      <c r="BZ12" s="228">
        <v>615</v>
      </c>
      <c r="CA12" s="228">
        <v>-41</v>
      </c>
      <c r="CB12" s="229">
        <v>-6.7100000000000007E-2</v>
      </c>
      <c r="CC12" s="228">
        <v>33</v>
      </c>
      <c r="CD12" s="228">
        <v>93</v>
      </c>
      <c r="CE12" s="228">
        <v>-61</v>
      </c>
      <c r="CF12" s="229">
        <v>-0.65139999999999998</v>
      </c>
      <c r="CG12" s="228">
        <v>571</v>
      </c>
      <c r="CH12" s="228">
        <v>519</v>
      </c>
      <c r="CI12" s="228">
        <v>52</v>
      </c>
      <c r="CJ12" s="229">
        <v>0.1</v>
      </c>
      <c r="CK12" s="228">
        <v>3</v>
      </c>
      <c r="CL12" s="228">
        <v>3</v>
      </c>
      <c r="CM12" s="228">
        <v>0</v>
      </c>
      <c r="CN12" s="229">
        <v>2.1700000000000001E-2</v>
      </c>
      <c r="CO12" s="228">
        <v>50</v>
      </c>
      <c r="CP12" s="228">
        <v>150</v>
      </c>
      <c r="CQ12" s="228">
        <v>-100</v>
      </c>
      <c r="CR12" s="229">
        <v>-0.66359999999999997</v>
      </c>
      <c r="CS12" s="228">
        <v>30</v>
      </c>
      <c r="CT12" s="228">
        <v>103</v>
      </c>
      <c r="CU12" s="228">
        <v>-73</v>
      </c>
      <c r="CV12" s="229">
        <v>-0.71279999999999999</v>
      </c>
      <c r="CW12" s="228">
        <v>654</v>
      </c>
      <c r="CX12" s="228">
        <v>868</v>
      </c>
      <c r="CY12" s="228">
        <v>-214</v>
      </c>
      <c r="CZ12" s="229">
        <v>-0.2467</v>
      </c>
      <c r="DA12" s="228">
        <v>30.69</v>
      </c>
      <c r="DB12" s="228">
        <v>29.68</v>
      </c>
      <c r="DC12" s="228">
        <v>1.01</v>
      </c>
      <c r="DD12" s="228">
        <v>1.01</v>
      </c>
      <c r="DE12" s="228">
        <v>28.56</v>
      </c>
      <c r="DF12" s="228">
        <v>28.58</v>
      </c>
      <c r="DG12" s="228">
        <v>2.13</v>
      </c>
      <c r="DH12" s="228">
        <v>-0.02</v>
      </c>
      <c r="DI12" s="228">
        <v>30.86</v>
      </c>
      <c r="DJ12" s="228">
        <v>29.71</v>
      </c>
      <c r="DK12" s="228">
        <v>1.1499999999999999</v>
      </c>
      <c r="DL12" s="228">
        <v>1.1499999999999999</v>
      </c>
      <c r="DM12" s="228">
        <v>30.33</v>
      </c>
      <c r="DN12" s="228">
        <v>29.63</v>
      </c>
      <c r="DO12" s="228">
        <v>0.7</v>
      </c>
      <c r="DP12" s="228">
        <v>0.7</v>
      </c>
      <c r="DQ12" s="228">
        <v>0.59</v>
      </c>
      <c r="DR12" s="228">
        <v>0.69</v>
      </c>
      <c r="DS12" s="228">
        <v>-0.1</v>
      </c>
      <c r="DT12" s="229">
        <v>-0.1449</v>
      </c>
      <c r="DU12" s="231">
        <v>5100</v>
      </c>
      <c r="DV12" s="231">
        <v>5000</v>
      </c>
      <c r="DW12" s="228">
        <v>0.57999999999999996</v>
      </c>
      <c r="DX12" s="228">
        <v>0.56999999999999995</v>
      </c>
      <c r="DY12" s="228">
        <v>0.01</v>
      </c>
      <c r="DZ12" s="229">
        <v>1.7500000000000002E-2</v>
      </c>
      <c r="EA12" s="229">
        <v>0.94640000000000002</v>
      </c>
      <c r="EB12" s="230">
        <v>1035375</v>
      </c>
      <c r="EC12" s="229">
        <v>3.8E-3</v>
      </c>
      <c r="ED12" s="229">
        <v>0.94640000000000002</v>
      </c>
      <c r="EE12" s="228">
        <v>19.059999999999999</v>
      </c>
      <c r="EF12" s="229">
        <v>3.8E-3</v>
      </c>
      <c r="EG12" s="230">
        <v>98558</v>
      </c>
      <c r="EH12" s="230">
        <v>44951</v>
      </c>
      <c r="EI12" s="229">
        <v>1.1926000000000001</v>
      </c>
      <c r="EJ12" s="229">
        <v>0.63139999999999996</v>
      </c>
      <c r="EK12" s="228">
        <v>160.63</v>
      </c>
      <c r="EL12" s="228">
        <v>88.27</v>
      </c>
      <c r="EM12" s="228">
        <v>279.51</v>
      </c>
      <c r="EN12" s="228">
        <v>0</v>
      </c>
      <c r="EO12" s="228">
        <v>528.41</v>
      </c>
      <c r="EP12" s="228">
        <v>747.61</v>
      </c>
      <c r="EQ12" s="228">
        <v>-219.2</v>
      </c>
      <c r="ER12" s="229">
        <v>-0.29320000000000002</v>
      </c>
      <c r="ES12" s="228">
        <v>52.53</v>
      </c>
      <c r="ET12" s="228">
        <v>28.73</v>
      </c>
      <c r="EU12" s="228">
        <v>573.74</v>
      </c>
      <c r="EV12" s="231">
        <v>10730378</v>
      </c>
      <c r="EW12" s="228">
        <v>655</v>
      </c>
      <c r="EX12" s="228">
        <v>875.57</v>
      </c>
      <c r="EY12" s="228">
        <v>-220.57</v>
      </c>
      <c r="EZ12" s="229">
        <v>-0.25190000000000001</v>
      </c>
      <c r="FA12" s="229">
        <v>0.12089999999999999</v>
      </c>
      <c r="FB12" s="227" t="s">
        <v>568</v>
      </c>
      <c r="FC12">
        <f t="shared" si="0"/>
        <v>541</v>
      </c>
    </row>
    <row r="13" spans="1:159" ht="17.25" thickBot="1" x14ac:dyDescent="0.3">
      <c r="A13" s="226">
        <v>45869</v>
      </c>
      <c r="B13" s="227" t="s">
        <v>184</v>
      </c>
      <c r="C13" s="227" t="s">
        <v>683</v>
      </c>
      <c r="D13" s="228">
        <v>100</v>
      </c>
      <c r="E13" s="228">
        <v>0</v>
      </c>
      <c r="F13" s="231">
        <v>7995</v>
      </c>
      <c r="G13" s="231">
        <v>8067.5</v>
      </c>
      <c r="H13" s="228">
        <v>-72.5</v>
      </c>
      <c r="I13" s="229">
        <v>-8.9999999999999993E-3</v>
      </c>
      <c r="J13" s="231">
        <v>7963.5</v>
      </c>
      <c r="K13" s="231">
        <v>8040.5</v>
      </c>
      <c r="L13" s="228">
        <v>-77</v>
      </c>
      <c r="M13" s="229">
        <v>-9.5999999999999992E-3</v>
      </c>
      <c r="N13" s="231">
        <v>7962</v>
      </c>
      <c r="O13" s="231">
        <v>8027</v>
      </c>
      <c r="P13" s="228">
        <v>-65</v>
      </c>
      <c r="Q13" s="229">
        <v>-8.0999999999999996E-3</v>
      </c>
      <c r="R13" s="231">
        <v>7995</v>
      </c>
      <c r="S13" s="231">
        <v>8067.5</v>
      </c>
      <c r="T13" s="228">
        <v>-72.5</v>
      </c>
      <c r="U13" s="229">
        <v>-8.9999999999999993E-3</v>
      </c>
      <c r="V13" s="231">
        <v>8022</v>
      </c>
      <c r="W13" s="231">
        <v>8086.5</v>
      </c>
      <c r="X13" s="228">
        <v>-64.5</v>
      </c>
      <c r="Y13" s="229">
        <v>-8.0000000000000002E-3</v>
      </c>
      <c r="Z13" s="228">
        <v>31.5</v>
      </c>
      <c r="AA13" s="228">
        <v>-13.5</v>
      </c>
      <c r="AB13" s="228">
        <v>45</v>
      </c>
      <c r="AC13" s="229">
        <v>4.0000000000000001E-3</v>
      </c>
      <c r="AD13" s="228">
        <v>-1.5</v>
      </c>
      <c r="AE13" s="228">
        <v>-13.5</v>
      </c>
      <c r="AF13" s="228">
        <v>12</v>
      </c>
      <c r="AG13" s="229">
        <v>-2.0000000000000001E-4</v>
      </c>
      <c r="AH13" s="228">
        <v>31.5</v>
      </c>
      <c r="AI13" s="228">
        <v>27</v>
      </c>
      <c r="AJ13" s="228">
        <v>4.5</v>
      </c>
      <c r="AK13" s="229">
        <v>4.0000000000000001E-3</v>
      </c>
      <c r="AL13" s="228">
        <v>58.5</v>
      </c>
      <c r="AM13" s="228">
        <v>46</v>
      </c>
      <c r="AN13" s="228">
        <v>12.5</v>
      </c>
      <c r="AO13" s="229">
        <v>7.3000000000000001E-3</v>
      </c>
      <c r="AP13" s="231">
        <v>7930.93</v>
      </c>
      <c r="AQ13" s="231">
        <v>7970.51</v>
      </c>
      <c r="AR13" s="228">
        <v>0</v>
      </c>
      <c r="AS13" s="228">
        <v>404</v>
      </c>
      <c r="AT13" s="228">
        <v>607</v>
      </c>
      <c r="AU13" s="228">
        <v>-202</v>
      </c>
      <c r="AV13" s="229">
        <v>-0.3332</v>
      </c>
      <c r="AW13" s="228">
        <v>121</v>
      </c>
      <c r="AX13" s="228">
        <v>241</v>
      </c>
      <c r="AY13" s="228">
        <v>-121</v>
      </c>
      <c r="AZ13" s="229">
        <v>-0.50070000000000003</v>
      </c>
      <c r="BA13" s="228">
        <v>281</v>
      </c>
      <c r="BB13" s="228">
        <v>362</v>
      </c>
      <c r="BC13" s="228">
        <v>-81</v>
      </c>
      <c r="BD13" s="229">
        <v>-0.22409999999999999</v>
      </c>
      <c r="BE13" s="228">
        <v>3</v>
      </c>
      <c r="BF13" s="228">
        <v>3</v>
      </c>
      <c r="BG13" s="228">
        <v>0</v>
      </c>
      <c r="BH13" s="229">
        <v>-2.7E-2</v>
      </c>
      <c r="BI13" s="228">
        <v>781</v>
      </c>
      <c r="BJ13" s="230">
        <v>3455</v>
      </c>
      <c r="BK13" s="230">
        <v>-2674</v>
      </c>
      <c r="BL13" s="229">
        <v>-0.77400000000000002</v>
      </c>
      <c r="BM13" s="228">
        <v>494</v>
      </c>
      <c r="BN13" s="230">
        <v>1075</v>
      </c>
      <c r="BO13" s="228">
        <v>-581</v>
      </c>
      <c r="BP13" s="229">
        <v>-0.54059999999999997</v>
      </c>
      <c r="BQ13" s="230">
        <v>1679</v>
      </c>
      <c r="BR13" s="230">
        <v>5136</v>
      </c>
      <c r="BS13" s="230">
        <v>-3457</v>
      </c>
      <c r="BT13" s="229">
        <v>-0.67310000000000003</v>
      </c>
      <c r="BU13" s="230">
        <v>421070</v>
      </c>
      <c r="BV13" s="230">
        <v>940087</v>
      </c>
      <c r="BW13" s="230">
        <v>-519017</v>
      </c>
      <c r="BX13" s="229">
        <v>-0.55210000000000004</v>
      </c>
      <c r="BY13" s="228">
        <v>389</v>
      </c>
      <c r="BZ13" s="228">
        <v>451</v>
      </c>
      <c r="CA13" s="228">
        <v>-62</v>
      </c>
      <c r="CB13" s="229">
        <v>-0.13739999999999999</v>
      </c>
      <c r="CC13" s="228">
        <v>21</v>
      </c>
      <c r="CD13" s="228">
        <v>60</v>
      </c>
      <c r="CE13" s="228">
        <v>-40</v>
      </c>
      <c r="CF13" s="229">
        <v>-0.65559999999999996</v>
      </c>
      <c r="CG13" s="228">
        <v>385</v>
      </c>
      <c r="CH13" s="228">
        <v>388</v>
      </c>
      <c r="CI13" s="228">
        <v>-2</v>
      </c>
      <c r="CJ13" s="229">
        <v>-6.0000000000000001E-3</v>
      </c>
      <c r="CK13" s="228">
        <v>4</v>
      </c>
      <c r="CL13" s="228">
        <v>3</v>
      </c>
      <c r="CM13" s="228">
        <v>1</v>
      </c>
      <c r="CN13" s="229">
        <v>0.22500000000000001</v>
      </c>
      <c r="CO13" s="228">
        <v>182</v>
      </c>
      <c r="CP13" s="228">
        <v>370</v>
      </c>
      <c r="CQ13" s="228">
        <v>-189</v>
      </c>
      <c r="CR13" s="229">
        <v>-0.50919999999999999</v>
      </c>
      <c r="CS13" s="228">
        <v>114</v>
      </c>
      <c r="CT13" s="228">
        <v>298</v>
      </c>
      <c r="CU13" s="228">
        <v>-184</v>
      </c>
      <c r="CV13" s="229">
        <v>-0.61709999999999998</v>
      </c>
      <c r="CW13" s="228">
        <v>685</v>
      </c>
      <c r="CX13" s="230">
        <v>1119</v>
      </c>
      <c r="CY13" s="228">
        <v>-434</v>
      </c>
      <c r="CZ13" s="229">
        <v>-0.38800000000000001</v>
      </c>
      <c r="DA13" s="228">
        <v>31.22</v>
      </c>
      <c r="DB13" s="228">
        <v>32.369999999999997</v>
      </c>
      <c r="DC13" s="228">
        <v>-1.1499999999999999</v>
      </c>
      <c r="DD13" s="228">
        <v>-1.1499999999999999</v>
      </c>
      <c r="DE13" s="228">
        <v>57.66</v>
      </c>
      <c r="DF13" s="228">
        <v>57.79</v>
      </c>
      <c r="DG13" s="228">
        <v>-26.44</v>
      </c>
      <c r="DH13" s="228">
        <v>-0.13</v>
      </c>
      <c r="DI13" s="228">
        <v>30.66</v>
      </c>
      <c r="DJ13" s="228">
        <v>32.21</v>
      </c>
      <c r="DK13" s="228">
        <v>-1.55</v>
      </c>
      <c r="DL13" s="228">
        <v>-1.55</v>
      </c>
      <c r="DM13" s="228">
        <v>32.31</v>
      </c>
      <c r="DN13" s="228">
        <v>33.159999999999997</v>
      </c>
      <c r="DO13" s="228">
        <v>-0.85</v>
      </c>
      <c r="DP13" s="228">
        <v>-0.85</v>
      </c>
      <c r="DQ13" s="228">
        <v>0.63</v>
      </c>
      <c r="DR13" s="228">
        <v>0.8</v>
      </c>
      <c r="DS13" s="228">
        <v>-0.17</v>
      </c>
      <c r="DT13" s="229">
        <v>-0.21249999999999999</v>
      </c>
      <c r="DU13" s="231">
        <v>8000</v>
      </c>
      <c r="DV13" s="231">
        <v>8000</v>
      </c>
      <c r="DW13" s="228">
        <v>0.63</v>
      </c>
      <c r="DX13" s="228">
        <v>0.31</v>
      </c>
      <c r="DY13" s="228">
        <v>0.32</v>
      </c>
      <c r="DZ13" s="229">
        <v>1.0323</v>
      </c>
      <c r="EA13" s="229">
        <v>0.94930000000000003</v>
      </c>
      <c r="EB13" s="230">
        <v>488700</v>
      </c>
      <c r="EC13" s="229">
        <v>4.1000000000000003E-3</v>
      </c>
      <c r="ED13" s="229">
        <v>0.94930000000000003</v>
      </c>
      <c r="EE13" s="228">
        <v>39.58</v>
      </c>
      <c r="EF13" s="229">
        <v>5.0000000000000001E-3</v>
      </c>
      <c r="EG13" s="230">
        <v>125402</v>
      </c>
      <c r="EH13" s="230">
        <v>221698</v>
      </c>
      <c r="EI13" s="229">
        <v>-0.43440000000000001</v>
      </c>
      <c r="EJ13" s="229">
        <v>0.29780000000000001</v>
      </c>
      <c r="EK13" s="228">
        <v>806.25</v>
      </c>
      <c r="EL13" s="228">
        <v>476.89</v>
      </c>
      <c r="EM13" s="228">
        <v>402.56</v>
      </c>
      <c r="EN13" s="228">
        <v>0</v>
      </c>
      <c r="EO13" s="231">
        <v>1685.7</v>
      </c>
      <c r="EP13" s="231">
        <v>5204.22</v>
      </c>
      <c r="EQ13" s="231">
        <v>-3518.53</v>
      </c>
      <c r="ER13" s="229">
        <v>-0.67610000000000003</v>
      </c>
      <c r="ES13" s="228">
        <v>182.23</v>
      </c>
      <c r="ET13" s="228">
        <v>108.64</v>
      </c>
      <c r="EU13" s="228">
        <v>389.13</v>
      </c>
      <c r="EV13" s="231">
        <v>4078053</v>
      </c>
      <c r="EW13" s="228">
        <v>680</v>
      </c>
      <c r="EX13" s="231">
        <v>1103.2</v>
      </c>
      <c r="EY13" s="228">
        <v>-423.2</v>
      </c>
      <c r="EZ13" s="229">
        <v>-0.3836</v>
      </c>
      <c r="FA13" s="229">
        <v>0.21</v>
      </c>
      <c r="FB13" s="227" t="s">
        <v>568</v>
      </c>
      <c r="FC13">
        <f t="shared" si="0"/>
        <v>368</v>
      </c>
    </row>
    <row r="14" spans="1:159" ht="17.25" thickBot="1" x14ac:dyDescent="0.3">
      <c r="A14" s="226">
        <v>45869</v>
      </c>
      <c r="B14" s="227" t="s">
        <v>157</v>
      </c>
      <c r="C14" s="227" t="s">
        <v>164</v>
      </c>
      <c r="D14" s="228">
        <v>1050</v>
      </c>
      <c r="E14" s="228">
        <v>0</v>
      </c>
      <c r="F14" s="228">
        <v>594.65</v>
      </c>
      <c r="G14" s="228">
        <v>621.15</v>
      </c>
      <c r="H14" s="228">
        <v>-26.5</v>
      </c>
      <c r="I14" s="229">
        <v>-4.2700000000000002E-2</v>
      </c>
      <c r="J14" s="228">
        <v>592.70000000000005</v>
      </c>
      <c r="K14" s="228">
        <v>617.85</v>
      </c>
      <c r="L14" s="228">
        <v>-25.15</v>
      </c>
      <c r="M14" s="229">
        <v>-4.07E-2</v>
      </c>
      <c r="N14" s="228">
        <v>592.25</v>
      </c>
      <c r="O14" s="228">
        <v>617.25</v>
      </c>
      <c r="P14" s="228">
        <v>-25</v>
      </c>
      <c r="Q14" s="229">
        <v>-4.0500000000000001E-2</v>
      </c>
      <c r="R14" s="228">
        <v>594.65</v>
      </c>
      <c r="S14" s="228">
        <v>621.15</v>
      </c>
      <c r="T14" s="228">
        <v>-26.5</v>
      </c>
      <c r="U14" s="229">
        <v>-4.2700000000000002E-2</v>
      </c>
      <c r="V14" s="228">
        <v>597.70000000000005</v>
      </c>
      <c r="W14" s="228">
        <v>624.75</v>
      </c>
      <c r="X14" s="228">
        <v>-27.05</v>
      </c>
      <c r="Y14" s="229">
        <v>-4.3299999999999998E-2</v>
      </c>
      <c r="Z14" s="228">
        <v>1.95</v>
      </c>
      <c r="AA14" s="228">
        <v>-0.6</v>
      </c>
      <c r="AB14" s="228">
        <v>2.5499999999999998</v>
      </c>
      <c r="AC14" s="229">
        <v>3.3E-3</v>
      </c>
      <c r="AD14" s="228">
        <v>-0.45</v>
      </c>
      <c r="AE14" s="228">
        <v>-0.6</v>
      </c>
      <c r="AF14" s="228">
        <v>0.15</v>
      </c>
      <c r="AG14" s="229">
        <v>-8.0000000000000004E-4</v>
      </c>
      <c r="AH14" s="228">
        <v>1.95</v>
      </c>
      <c r="AI14" s="228">
        <v>3.3</v>
      </c>
      <c r="AJ14" s="228">
        <v>-1.35</v>
      </c>
      <c r="AK14" s="229">
        <v>3.3E-3</v>
      </c>
      <c r="AL14" s="228">
        <v>5</v>
      </c>
      <c r="AM14" s="228">
        <v>6.9</v>
      </c>
      <c r="AN14" s="228">
        <v>-1.9</v>
      </c>
      <c r="AO14" s="229">
        <v>8.3999999999999995E-3</v>
      </c>
      <c r="AP14" s="228">
        <v>610.85</v>
      </c>
      <c r="AQ14" s="228">
        <v>611.95000000000005</v>
      </c>
      <c r="AR14" s="228">
        <v>0</v>
      </c>
      <c r="AS14" s="230">
        <v>1611</v>
      </c>
      <c r="AT14" s="230">
        <v>1118</v>
      </c>
      <c r="AU14" s="228">
        <v>493</v>
      </c>
      <c r="AV14" s="229">
        <v>0.44109999999999999</v>
      </c>
      <c r="AW14" s="228">
        <v>473</v>
      </c>
      <c r="AX14" s="228">
        <v>502</v>
      </c>
      <c r="AY14" s="228">
        <v>-29</v>
      </c>
      <c r="AZ14" s="229">
        <v>-5.8000000000000003E-2</v>
      </c>
      <c r="BA14" s="230">
        <v>1112</v>
      </c>
      <c r="BB14" s="228">
        <v>611</v>
      </c>
      <c r="BC14" s="228">
        <v>500</v>
      </c>
      <c r="BD14" s="229">
        <v>0.81840000000000002</v>
      </c>
      <c r="BE14" s="228">
        <v>26</v>
      </c>
      <c r="BF14" s="228">
        <v>4</v>
      </c>
      <c r="BG14" s="228">
        <v>22</v>
      </c>
      <c r="BH14" s="229">
        <v>5.4531000000000001</v>
      </c>
      <c r="BI14" s="230">
        <v>2389</v>
      </c>
      <c r="BJ14" s="228">
        <v>511</v>
      </c>
      <c r="BK14" s="230">
        <v>1878</v>
      </c>
      <c r="BL14" s="229">
        <v>3.6785999999999999</v>
      </c>
      <c r="BM14" s="228">
        <v>972</v>
      </c>
      <c r="BN14" s="228">
        <v>216</v>
      </c>
      <c r="BO14" s="228">
        <v>756</v>
      </c>
      <c r="BP14" s="229">
        <v>3.4912000000000001</v>
      </c>
      <c r="BQ14" s="230">
        <v>4972</v>
      </c>
      <c r="BR14" s="230">
        <v>1845</v>
      </c>
      <c r="BS14" s="230">
        <v>3127</v>
      </c>
      <c r="BT14" s="229">
        <v>1.6950000000000001</v>
      </c>
      <c r="BU14" s="230">
        <v>6191298</v>
      </c>
      <c r="BV14" s="230">
        <v>2720150</v>
      </c>
      <c r="BW14" s="230">
        <v>3471148</v>
      </c>
      <c r="BX14" s="229">
        <v>1.2761</v>
      </c>
      <c r="BY14" s="230">
        <v>1747</v>
      </c>
      <c r="BZ14" s="230">
        <v>1631</v>
      </c>
      <c r="CA14" s="228">
        <v>116</v>
      </c>
      <c r="CB14" s="229">
        <v>7.1199999999999999E-2</v>
      </c>
      <c r="CC14" s="228">
        <v>102</v>
      </c>
      <c r="CD14" s="228">
        <v>237</v>
      </c>
      <c r="CE14" s="228">
        <v>-134</v>
      </c>
      <c r="CF14" s="229">
        <v>-0.56740000000000002</v>
      </c>
      <c r="CG14" s="230">
        <v>1726</v>
      </c>
      <c r="CH14" s="230">
        <v>1387</v>
      </c>
      <c r="CI14" s="228">
        <v>339</v>
      </c>
      <c r="CJ14" s="229">
        <v>0.24460000000000001</v>
      </c>
      <c r="CK14" s="228">
        <v>21</v>
      </c>
      <c r="CL14" s="228">
        <v>8</v>
      </c>
      <c r="CM14" s="228">
        <v>13</v>
      </c>
      <c r="CN14" s="229">
        <v>1.7705</v>
      </c>
      <c r="CO14" s="228">
        <v>465</v>
      </c>
      <c r="CP14" s="228">
        <v>432</v>
      </c>
      <c r="CQ14" s="228">
        <v>34</v>
      </c>
      <c r="CR14" s="229">
        <v>7.7799999999999994E-2</v>
      </c>
      <c r="CS14" s="228">
        <v>267</v>
      </c>
      <c r="CT14" s="228">
        <v>382</v>
      </c>
      <c r="CU14" s="228">
        <v>-115</v>
      </c>
      <c r="CV14" s="229">
        <v>-0.30109999999999998</v>
      </c>
      <c r="CW14" s="230">
        <v>2480</v>
      </c>
      <c r="CX14" s="230">
        <v>2445</v>
      </c>
      <c r="CY14" s="228">
        <v>35</v>
      </c>
      <c r="CZ14" s="229">
        <v>1.43E-2</v>
      </c>
      <c r="DA14" s="228">
        <v>28.67</v>
      </c>
      <c r="DB14" s="228">
        <v>27.64</v>
      </c>
      <c r="DC14" s="228">
        <v>1.03</v>
      </c>
      <c r="DD14" s="228">
        <v>1.03</v>
      </c>
      <c r="DE14" s="228">
        <v>36.950000000000003</v>
      </c>
      <c r="DF14" s="228">
        <v>36.57</v>
      </c>
      <c r="DG14" s="228">
        <v>-8.2799999999999994</v>
      </c>
      <c r="DH14" s="228">
        <v>0.38</v>
      </c>
      <c r="DI14" s="228">
        <v>28.77</v>
      </c>
      <c r="DJ14" s="228">
        <v>27.83</v>
      </c>
      <c r="DK14" s="228">
        <v>0.94</v>
      </c>
      <c r="DL14" s="228">
        <v>0.94</v>
      </c>
      <c r="DM14" s="228">
        <v>28.39</v>
      </c>
      <c r="DN14" s="228">
        <v>27.14</v>
      </c>
      <c r="DO14" s="228">
        <v>1.25</v>
      </c>
      <c r="DP14" s="228">
        <v>1.25</v>
      </c>
      <c r="DQ14" s="228">
        <v>0.56999999999999995</v>
      </c>
      <c r="DR14" s="228">
        <v>0.88</v>
      </c>
      <c r="DS14" s="228">
        <v>-0.31</v>
      </c>
      <c r="DT14" s="229">
        <v>-0.3523</v>
      </c>
      <c r="DU14" s="228">
        <v>620</v>
      </c>
      <c r="DV14" s="228">
        <v>650</v>
      </c>
      <c r="DW14" s="228">
        <v>0.41</v>
      </c>
      <c r="DX14" s="228">
        <v>0.42</v>
      </c>
      <c r="DY14" s="228">
        <v>-0.01</v>
      </c>
      <c r="DZ14" s="229">
        <v>-2.3800000000000002E-2</v>
      </c>
      <c r="EA14" s="229">
        <v>0.94469999999999998</v>
      </c>
      <c r="EB14" s="230">
        <v>23451750</v>
      </c>
      <c r="EC14" s="229">
        <v>4.1000000000000003E-3</v>
      </c>
      <c r="ED14" s="229">
        <v>0.94469999999999998</v>
      </c>
      <c r="EE14" s="228">
        <v>1.1000000000000001</v>
      </c>
      <c r="EF14" s="229">
        <v>1.8E-3</v>
      </c>
      <c r="EG14" s="230">
        <v>1734983</v>
      </c>
      <c r="EH14" s="230">
        <v>1752341</v>
      </c>
      <c r="EI14" s="229">
        <v>-9.9000000000000008E-3</v>
      </c>
      <c r="EJ14" s="229">
        <v>0.2802</v>
      </c>
      <c r="EK14" s="231">
        <v>2563.4499999999998</v>
      </c>
      <c r="EL14" s="231">
        <v>1001.72</v>
      </c>
      <c r="EM14" s="231">
        <v>1657.09</v>
      </c>
      <c r="EN14" s="228">
        <v>0</v>
      </c>
      <c r="EO14" s="231">
        <v>5222.26</v>
      </c>
      <c r="EP14" s="231">
        <v>1929.39</v>
      </c>
      <c r="EQ14" s="231">
        <v>3292.87</v>
      </c>
      <c r="ER14" s="229">
        <v>1.7067000000000001</v>
      </c>
      <c r="ES14" s="228">
        <v>493.95</v>
      </c>
      <c r="ET14" s="228">
        <v>272.25</v>
      </c>
      <c r="EU14" s="231">
        <v>1747.44</v>
      </c>
      <c r="EV14" s="231">
        <v>159683698</v>
      </c>
      <c r="EW14" s="231">
        <v>2513.64</v>
      </c>
      <c r="EX14" s="231">
        <v>2531.94</v>
      </c>
      <c r="EY14" s="228">
        <v>-18.3</v>
      </c>
      <c r="EZ14" s="229">
        <v>-7.1999999999999998E-3</v>
      </c>
      <c r="FA14" s="229">
        <v>0.2611</v>
      </c>
      <c r="FB14" s="227" t="s">
        <v>567</v>
      </c>
      <c r="FC14">
        <f t="shared" si="0"/>
        <v>1645</v>
      </c>
    </row>
    <row r="15" spans="1:159" ht="17.25" thickBot="1" x14ac:dyDescent="0.3">
      <c r="A15" s="226">
        <v>45869</v>
      </c>
      <c r="B15" s="227" t="s">
        <v>175</v>
      </c>
      <c r="C15" s="227" t="s">
        <v>610</v>
      </c>
      <c r="D15" s="228">
        <v>250</v>
      </c>
      <c r="E15" s="228">
        <v>0</v>
      </c>
      <c r="F15" s="231">
        <v>2611.8000000000002</v>
      </c>
      <c r="G15" s="231">
        <v>2652.4</v>
      </c>
      <c r="H15" s="228">
        <v>-40.6</v>
      </c>
      <c r="I15" s="229">
        <v>-1.5299999999999999E-2</v>
      </c>
      <c r="J15" s="231">
        <v>2600.9</v>
      </c>
      <c r="K15" s="231">
        <v>2641.2</v>
      </c>
      <c r="L15" s="228">
        <v>-40.299999999999997</v>
      </c>
      <c r="M15" s="229">
        <v>-1.5299999999999999E-2</v>
      </c>
      <c r="N15" s="231">
        <v>2602.6999999999998</v>
      </c>
      <c r="O15" s="231">
        <v>2646.8</v>
      </c>
      <c r="P15" s="228">
        <v>-44.1</v>
      </c>
      <c r="Q15" s="229">
        <v>-1.67E-2</v>
      </c>
      <c r="R15" s="231">
        <v>2611.8000000000002</v>
      </c>
      <c r="S15" s="231">
        <v>2652.4</v>
      </c>
      <c r="T15" s="228">
        <v>-40.6</v>
      </c>
      <c r="U15" s="229">
        <v>-1.5299999999999999E-2</v>
      </c>
      <c r="V15" s="231">
        <v>2612.6</v>
      </c>
      <c r="W15" s="231">
        <v>2658.5</v>
      </c>
      <c r="X15" s="228">
        <v>-45.9</v>
      </c>
      <c r="Y15" s="229">
        <v>-1.7299999999999999E-2</v>
      </c>
      <c r="Z15" s="228">
        <v>10.9</v>
      </c>
      <c r="AA15" s="228">
        <v>5.6</v>
      </c>
      <c r="AB15" s="228">
        <v>5.3</v>
      </c>
      <c r="AC15" s="229">
        <v>4.1999999999999997E-3</v>
      </c>
      <c r="AD15" s="228">
        <v>1.8</v>
      </c>
      <c r="AE15" s="228">
        <v>5.6</v>
      </c>
      <c r="AF15" s="228">
        <v>-3.8</v>
      </c>
      <c r="AG15" s="229">
        <v>6.9999999999999999E-4</v>
      </c>
      <c r="AH15" s="228">
        <v>10.9</v>
      </c>
      <c r="AI15" s="228">
        <v>11.2</v>
      </c>
      <c r="AJ15" s="228">
        <v>-0.3</v>
      </c>
      <c r="AK15" s="229">
        <v>4.1999999999999997E-3</v>
      </c>
      <c r="AL15" s="228">
        <v>11.7</v>
      </c>
      <c r="AM15" s="228">
        <v>17.3</v>
      </c>
      <c r="AN15" s="228">
        <v>-5.6</v>
      </c>
      <c r="AO15" s="229">
        <v>4.4999999999999997E-3</v>
      </c>
      <c r="AP15" s="231">
        <v>2615.02</v>
      </c>
      <c r="AQ15" s="231">
        <v>2623.25</v>
      </c>
      <c r="AR15" s="228">
        <v>0</v>
      </c>
      <c r="AS15" s="228">
        <v>419</v>
      </c>
      <c r="AT15" s="228">
        <v>498</v>
      </c>
      <c r="AU15" s="228">
        <v>-79</v>
      </c>
      <c r="AV15" s="229">
        <v>-0.159</v>
      </c>
      <c r="AW15" s="228">
        <v>205</v>
      </c>
      <c r="AX15" s="228">
        <v>234</v>
      </c>
      <c r="AY15" s="228">
        <v>-29</v>
      </c>
      <c r="AZ15" s="229">
        <v>-0.12559999999999999</v>
      </c>
      <c r="BA15" s="228">
        <v>207</v>
      </c>
      <c r="BB15" s="228">
        <v>261</v>
      </c>
      <c r="BC15" s="228">
        <v>-55</v>
      </c>
      <c r="BD15" s="229">
        <v>-0.20880000000000001</v>
      </c>
      <c r="BE15" s="228">
        <v>8</v>
      </c>
      <c r="BF15" s="228">
        <v>3</v>
      </c>
      <c r="BG15" s="228">
        <v>5</v>
      </c>
      <c r="BH15" s="229">
        <v>1.7381</v>
      </c>
      <c r="BI15" s="228">
        <v>558</v>
      </c>
      <c r="BJ15" s="228">
        <v>789</v>
      </c>
      <c r="BK15" s="228">
        <v>-231</v>
      </c>
      <c r="BL15" s="229">
        <v>-0.2928</v>
      </c>
      <c r="BM15" s="228">
        <v>357</v>
      </c>
      <c r="BN15" s="228">
        <v>447</v>
      </c>
      <c r="BO15" s="228">
        <v>-90</v>
      </c>
      <c r="BP15" s="229">
        <v>-0.2011</v>
      </c>
      <c r="BQ15" s="230">
        <v>1334</v>
      </c>
      <c r="BR15" s="230">
        <v>1734</v>
      </c>
      <c r="BS15" s="228">
        <v>-400</v>
      </c>
      <c r="BT15" s="229">
        <v>-0.23069999999999999</v>
      </c>
      <c r="BU15" s="230">
        <v>472198</v>
      </c>
      <c r="BV15" s="230">
        <v>522734</v>
      </c>
      <c r="BW15" s="230">
        <v>-50536</v>
      </c>
      <c r="BX15" s="229">
        <v>-9.6699999999999994E-2</v>
      </c>
      <c r="BY15" s="228">
        <v>558</v>
      </c>
      <c r="BZ15" s="228">
        <v>708</v>
      </c>
      <c r="CA15" s="228">
        <v>-150</v>
      </c>
      <c r="CB15" s="229">
        <v>-0.21190000000000001</v>
      </c>
      <c r="CC15" s="228">
        <v>106</v>
      </c>
      <c r="CD15" s="228">
        <v>194</v>
      </c>
      <c r="CE15" s="228">
        <v>-88</v>
      </c>
      <c r="CF15" s="229">
        <v>-0.45340000000000003</v>
      </c>
      <c r="CG15" s="228">
        <v>535</v>
      </c>
      <c r="CH15" s="228">
        <v>495</v>
      </c>
      <c r="CI15" s="228">
        <v>40</v>
      </c>
      <c r="CJ15" s="229">
        <v>8.1299999999999997E-2</v>
      </c>
      <c r="CK15" s="228">
        <v>23</v>
      </c>
      <c r="CL15" s="228">
        <v>19</v>
      </c>
      <c r="CM15" s="228">
        <v>4</v>
      </c>
      <c r="CN15" s="229">
        <v>0.2069</v>
      </c>
      <c r="CO15" s="228">
        <v>172</v>
      </c>
      <c r="CP15" s="228">
        <v>715</v>
      </c>
      <c r="CQ15" s="228">
        <v>-542</v>
      </c>
      <c r="CR15" s="229">
        <v>-0.75880000000000003</v>
      </c>
      <c r="CS15" s="228">
        <v>141</v>
      </c>
      <c r="CT15" s="228">
        <v>452</v>
      </c>
      <c r="CU15" s="228">
        <v>-311</v>
      </c>
      <c r="CV15" s="229">
        <v>-0.68730000000000002</v>
      </c>
      <c r="CW15" s="228">
        <v>872</v>
      </c>
      <c r="CX15" s="230">
        <v>1875</v>
      </c>
      <c r="CY15" s="230">
        <v>-1003</v>
      </c>
      <c r="CZ15" s="229">
        <v>-0.53500000000000003</v>
      </c>
      <c r="DA15" s="228">
        <v>35.869999999999997</v>
      </c>
      <c r="DB15" s="228">
        <v>35.159999999999997</v>
      </c>
      <c r="DC15" s="228">
        <v>0.71</v>
      </c>
      <c r="DD15" s="228">
        <v>0.71</v>
      </c>
      <c r="DE15" s="228">
        <v>58.82</v>
      </c>
      <c r="DF15" s="228">
        <v>58.93</v>
      </c>
      <c r="DG15" s="228">
        <v>-22.95</v>
      </c>
      <c r="DH15" s="228">
        <v>-0.11</v>
      </c>
      <c r="DI15" s="228">
        <v>35.29</v>
      </c>
      <c r="DJ15" s="228">
        <v>34.83</v>
      </c>
      <c r="DK15" s="228">
        <v>0.46</v>
      </c>
      <c r="DL15" s="228">
        <v>0.46</v>
      </c>
      <c r="DM15" s="228">
        <v>36.799999999999997</v>
      </c>
      <c r="DN15" s="228">
        <v>35.549999999999997</v>
      </c>
      <c r="DO15" s="228">
        <v>1.25</v>
      </c>
      <c r="DP15" s="228">
        <v>1.25</v>
      </c>
      <c r="DQ15" s="228">
        <v>0.82</v>
      </c>
      <c r="DR15" s="228">
        <v>0.63</v>
      </c>
      <c r="DS15" s="228">
        <v>0.19</v>
      </c>
      <c r="DT15" s="229">
        <v>0.30159999999999998</v>
      </c>
      <c r="DU15" s="231">
        <v>2800</v>
      </c>
      <c r="DV15" s="231">
        <v>2800</v>
      </c>
      <c r="DW15" s="228">
        <v>0.64</v>
      </c>
      <c r="DX15" s="228">
        <v>0.56999999999999995</v>
      </c>
      <c r="DY15" s="228">
        <v>7.0000000000000007E-2</v>
      </c>
      <c r="DZ15" s="229">
        <v>0.12280000000000001</v>
      </c>
      <c r="EA15" s="229">
        <v>0.84019999999999995</v>
      </c>
      <c r="EB15" s="230">
        <v>1967000</v>
      </c>
      <c r="EC15" s="229">
        <v>3.5000000000000001E-3</v>
      </c>
      <c r="ED15" s="229">
        <v>0.84019999999999995</v>
      </c>
      <c r="EE15" s="228">
        <v>8.23</v>
      </c>
      <c r="EF15" s="229">
        <v>3.0999999999999999E-3</v>
      </c>
      <c r="EG15" s="230">
        <v>143218</v>
      </c>
      <c r="EH15" s="230">
        <v>131910</v>
      </c>
      <c r="EI15" s="229">
        <v>8.5699999999999998E-2</v>
      </c>
      <c r="EJ15" s="229">
        <v>0.30330000000000001</v>
      </c>
      <c r="EK15" s="228">
        <v>614.05999999999995</v>
      </c>
      <c r="EL15" s="228">
        <v>351.89</v>
      </c>
      <c r="EM15" s="228">
        <v>420.14</v>
      </c>
      <c r="EN15" s="228">
        <v>0</v>
      </c>
      <c r="EO15" s="231">
        <v>1386.09</v>
      </c>
      <c r="EP15" s="231">
        <v>1798.52</v>
      </c>
      <c r="EQ15" s="228">
        <v>-412.43</v>
      </c>
      <c r="ER15" s="229">
        <v>-0.2293</v>
      </c>
      <c r="ES15" s="228">
        <v>185.69</v>
      </c>
      <c r="ET15" s="228">
        <v>142.12</v>
      </c>
      <c r="EU15" s="228">
        <v>557.89</v>
      </c>
      <c r="EV15" s="231">
        <v>11638502</v>
      </c>
      <c r="EW15" s="228">
        <v>885.69</v>
      </c>
      <c r="EX15" s="231">
        <v>1973.39</v>
      </c>
      <c r="EY15" s="231">
        <v>-1087.7</v>
      </c>
      <c r="EZ15" s="229">
        <v>-0.55120000000000002</v>
      </c>
      <c r="FA15" s="229">
        <v>0.28670000000000001</v>
      </c>
      <c r="FB15" s="227" t="s">
        <v>568</v>
      </c>
      <c r="FC15">
        <f t="shared" si="0"/>
        <v>452</v>
      </c>
    </row>
    <row r="16" spans="1:159" ht="17.25" thickBot="1" x14ac:dyDescent="0.3">
      <c r="A16" s="226">
        <v>45869</v>
      </c>
      <c r="B16" s="227" t="s">
        <v>227</v>
      </c>
      <c r="C16" s="227" t="s">
        <v>599</v>
      </c>
      <c r="D16" s="228">
        <v>350</v>
      </c>
      <c r="E16" s="228">
        <v>0</v>
      </c>
      <c r="F16" s="231">
        <v>1600.6</v>
      </c>
      <c r="G16" s="231">
        <v>1568</v>
      </c>
      <c r="H16" s="228">
        <v>32.6</v>
      </c>
      <c r="I16" s="229">
        <v>2.0799999999999999E-2</v>
      </c>
      <c r="J16" s="231">
        <v>1601.2</v>
      </c>
      <c r="K16" s="231">
        <v>1566.3</v>
      </c>
      <c r="L16" s="228">
        <v>34.9</v>
      </c>
      <c r="M16" s="229">
        <v>2.23E-2</v>
      </c>
      <c r="N16" s="231">
        <v>1598.4</v>
      </c>
      <c r="O16" s="231">
        <v>1564.3</v>
      </c>
      <c r="P16" s="228">
        <v>34.1</v>
      </c>
      <c r="Q16" s="229">
        <v>2.18E-2</v>
      </c>
      <c r="R16" s="231">
        <v>1600.6</v>
      </c>
      <c r="S16" s="231">
        <v>1568</v>
      </c>
      <c r="T16" s="228">
        <v>32.6</v>
      </c>
      <c r="U16" s="229">
        <v>2.0799999999999999E-2</v>
      </c>
      <c r="V16" s="231">
        <v>1605.4</v>
      </c>
      <c r="W16" s="231">
        <v>1573.4</v>
      </c>
      <c r="X16" s="228">
        <v>32</v>
      </c>
      <c r="Y16" s="229">
        <v>2.0299999999999999E-2</v>
      </c>
      <c r="Z16" s="228">
        <v>-0.6</v>
      </c>
      <c r="AA16" s="228">
        <v>-2</v>
      </c>
      <c r="AB16" s="228">
        <v>1.4</v>
      </c>
      <c r="AC16" s="229">
        <v>-4.0000000000000002E-4</v>
      </c>
      <c r="AD16" s="228">
        <v>-2.8</v>
      </c>
      <c r="AE16" s="228">
        <v>-2</v>
      </c>
      <c r="AF16" s="228">
        <v>-0.8</v>
      </c>
      <c r="AG16" s="229">
        <v>-1.6999999999999999E-3</v>
      </c>
      <c r="AH16" s="228">
        <v>-0.6</v>
      </c>
      <c r="AI16" s="228">
        <v>1.7</v>
      </c>
      <c r="AJ16" s="228">
        <v>-2.2999999999999998</v>
      </c>
      <c r="AK16" s="229">
        <v>-4.0000000000000002E-4</v>
      </c>
      <c r="AL16" s="228">
        <v>4.2</v>
      </c>
      <c r="AM16" s="228">
        <v>7.1</v>
      </c>
      <c r="AN16" s="228">
        <v>-2.9</v>
      </c>
      <c r="AO16" s="229">
        <v>2.5999999999999999E-3</v>
      </c>
      <c r="AP16" s="231">
        <v>1581.18</v>
      </c>
      <c r="AQ16" s="231">
        <v>1588.61</v>
      </c>
      <c r="AR16" s="228">
        <v>0</v>
      </c>
      <c r="AS16" s="228">
        <v>534</v>
      </c>
      <c r="AT16" s="230">
        <v>1016</v>
      </c>
      <c r="AU16" s="228">
        <v>-482</v>
      </c>
      <c r="AV16" s="229">
        <v>-0.4743</v>
      </c>
      <c r="AW16" s="228">
        <v>165</v>
      </c>
      <c r="AX16" s="228">
        <v>464</v>
      </c>
      <c r="AY16" s="228">
        <v>-300</v>
      </c>
      <c r="AZ16" s="229">
        <v>-0.64490000000000003</v>
      </c>
      <c r="BA16" s="228">
        <v>365</v>
      </c>
      <c r="BB16" s="228">
        <v>549</v>
      </c>
      <c r="BC16" s="228">
        <v>-184</v>
      </c>
      <c r="BD16" s="229">
        <v>-0.33439999999999998</v>
      </c>
      <c r="BE16" s="228">
        <v>4</v>
      </c>
      <c r="BF16" s="228">
        <v>3</v>
      </c>
      <c r="BG16" s="228">
        <v>1</v>
      </c>
      <c r="BH16" s="229">
        <v>0.4667</v>
      </c>
      <c r="BI16" s="228">
        <v>796</v>
      </c>
      <c r="BJ16" s="230">
        <v>1960</v>
      </c>
      <c r="BK16" s="230">
        <v>-1164</v>
      </c>
      <c r="BL16" s="229">
        <v>-0.59389999999999998</v>
      </c>
      <c r="BM16" s="228">
        <v>219</v>
      </c>
      <c r="BN16" s="228">
        <v>535</v>
      </c>
      <c r="BO16" s="228">
        <v>-316</v>
      </c>
      <c r="BP16" s="229">
        <v>-0.5907</v>
      </c>
      <c r="BQ16" s="230">
        <v>1549</v>
      </c>
      <c r="BR16" s="230">
        <v>3511</v>
      </c>
      <c r="BS16" s="230">
        <v>-1962</v>
      </c>
      <c r="BT16" s="229">
        <v>-0.55879999999999996</v>
      </c>
      <c r="BU16" s="230">
        <v>1736273</v>
      </c>
      <c r="BV16" s="230">
        <v>1282818</v>
      </c>
      <c r="BW16" s="230">
        <v>453455</v>
      </c>
      <c r="BX16" s="229">
        <v>0.35349999999999998</v>
      </c>
      <c r="BY16" s="228">
        <v>780</v>
      </c>
      <c r="BZ16" s="228">
        <v>852</v>
      </c>
      <c r="CA16" s="228">
        <v>-72</v>
      </c>
      <c r="CB16" s="229">
        <v>-8.4199999999999997E-2</v>
      </c>
      <c r="CC16" s="228">
        <v>90</v>
      </c>
      <c r="CD16" s="228">
        <v>160</v>
      </c>
      <c r="CE16" s="228">
        <v>-70</v>
      </c>
      <c r="CF16" s="229">
        <v>-0.43569999999999998</v>
      </c>
      <c r="CG16" s="228">
        <v>767</v>
      </c>
      <c r="CH16" s="228">
        <v>679</v>
      </c>
      <c r="CI16" s="228">
        <v>88</v>
      </c>
      <c r="CJ16" s="229">
        <v>0.12970000000000001</v>
      </c>
      <c r="CK16" s="228">
        <v>13</v>
      </c>
      <c r="CL16" s="228">
        <v>13</v>
      </c>
      <c r="CM16" s="228">
        <v>1</v>
      </c>
      <c r="CN16" s="229">
        <v>3.9300000000000002E-2</v>
      </c>
      <c r="CO16" s="228">
        <v>201</v>
      </c>
      <c r="CP16" s="228">
        <v>584</v>
      </c>
      <c r="CQ16" s="228">
        <v>-383</v>
      </c>
      <c r="CR16" s="229">
        <v>-0.65539999999999998</v>
      </c>
      <c r="CS16" s="228">
        <v>220</v>
      </c>
      <c r="CT16" s="228">
        <v>421</v>
      </c>
      <c r="CU16" s="228">
        <v>-201</v>
      </c>
      <c r="CV16" s="229">
        <v>-0.47710000000000002</v>
      </c>
      <c r="CW16" s="230">
        <v>1202</v>
      </c>
      <c r="CX16" s="230">
        <v>1858</v>
      </c>
      <c r="CY16" s="228">
        <v>-656</v>
      </c>
      <c r="CZ16" s="229">
        <v>-0.35289999999999999</v>
      </c>
      <c r="DA16" s="228">
        <v>22.97</v>
      </c>
      <c r="DB16" s="228">
        <v>23.97</v>
      </c>
      <c r="DC16" s="228">
        <v>-1</v>
      </c>
      <c r="DD16" s="228">
        <v>-1</v>
      </c>
      <c r="DE16" s="228">
        <v>38.21</v>
      </c>
      <c r="DF16" s="228">
        <v>38.21</v>
      </c>
      <c r="DG16" s="228">
        <v>-15.24</v>
      </c>
      <c r="DH16" s="228">
        <v>0</v>
      </c>
      <c r="DI16" s="228">
        <v>22.85</v>
      </c>
      <c r="DJ16" s="228">
        <v>24.15</v>
      </c>
      <c r="DK16" s="228">
        <v>-1.3</v>
      </c>
      <c r="DL16" s="228">
        <v>-1.3</v>
      </c>
      <c r="DM16" s="228">
        <v>23.34</v>
      </c>
      <c r="DN16" s="228">
        <v>23.41</v>
      </c>
      <c r="DO16" s="228">
        <v>-7.0000000000000007E-2</v>
      </c>
      <c r="DP16" s="228">
        <v>-7.0000000000000007E-2</v>
      </c>
      <c r="DQ16" s="228">
        <v>1.0900000000000001</v>
      </c>
      <c r="DR16" s="228">
        <v>0.72</v>
      </c>
      <c r="DS16" s="228">
        <v>0.37</v>
      </c>
      <c r="DT16" s="229">
        <v>0.51390000000000002</v>
      </c>
      <c r="DU16" s="231">
        <v>1800</v>
      </c>
      <c r="DV16" s="231">
        <v>1600</v>
      </c>
      <c r="DW16" s="228">
        <v>0.27</v>
      </c>
      <c r="DX16" s="228">
        <v>0.27</v>
      </c>
      <c r="DY16" s="228">
        <v>0</v>
      </c>
      <c r="DZ16" s="229">
        <v>0</v>
      </c>
      <c r="EA16" s="229">
        <v>0.89610000000000001</v>
      </c>
      <c r="EB16" s="230">
        <v>4322850</v>
      </c>
      <c r="EC16" s="229">
        <v>1.4E-3</v>
      </c>
      <c r="ED16" s="229">
        <v>0.89610000000000001</v>
      </c>
      <c r="EE16" s="228">
        <v>7.43</v>
      </c>
      <c r="EF16" s="229">
        <v>4.7000000000000002E-3</v>
      </c>
      <c r="EG16" s="230">
        <v>1056676</v>
      </c>
      <c r="EH16" s="230">
        <v>562758</v>
      </c>
      <c r="EI16" s="229">
        <v>0.87770000000000004</v>
      </c>
      <c r="EJ16" s="229">
        <v>0.60860000000000003</v>
      </c>
      <c r="EK16" s="228">
        <v>821.73</v>
      </c>
      <c r="EL16" s="228">
        <v>217.57</v>
      </c>
      <c r="EM16" s="228">
        <v>529.37</v>
      </c>
      <c r="EN16" s="228">
        <v>0</v>
      </c>
      <c r="EO16" s="231">
        <v>1568.66</v>
      </c>
      <c r="EP16" s="231">
        <v>3516.1</v>
      </c>
      <c r="EQ16" s="231">
        <v>-1947.44</v>
      </c>
      <c r="ER16" s="229">
        <v>-0.55389999999999995</v>
      </c>
      <c r="ES16" s="228">
        <v>207.91</v>
      </c>
      <c r="ET16" s="228">
        <v>217.71</v>
      </c>
      <c r="EU16" s="228">
        <v>780.52</v>
      </c>
      <c r="EV16" s="231">
        <v>39789217</v>
      </c>
      <c r="EW16" s="231">
        <v>1206.1400000000001</v>
      </c>
      <c r="EX16" s="231">
        <v>1880.21</v>
      </c>
      <c r="EY16" s="228">
        <v>-674.07</v>
      </c>
      <c r="EZ16" s="229">
        <v>-0.35849999999999999</v>
      </c>
      <c r="FA16" s="229">
        <v>0.18870000000000001</v>
      </c>
      <c r="FB16" s="227" t="s">
        <v>556</v>
      </c>
      <c r="FC16">
        <f t="shared" si="0"/>
        <v>690</v>
      </c>
    </row>
    <row r="17" spans="1:159" ht="17.25" thickBot="1" x14ac:dyDescent="0.3">
      <c r="A17" s="226">
        <v>45869</v>
      </c>
      <c r="B17" s="227" t="s">
        <v>170</v>
      </c>
      <c r="C17" s="227" t="s">
        <v>165</v>
      </c>
      <c r="D17" s="228">
        <v>125</v>
      </c>
      <c r="E17" s="228">
        <v>0</v>
      </c>
      <c r="F17" s="231">
        <v>7517.5</v>
      </c>
      <c r="G17" s="231">
        <v>7473</v>
      </c>
      <c r="H17" s="228">
        <v>44.5</v>
      </c>
      <c r="I17" s="229">
        <v>6.0000000000000001E-3</v>
      </c>
      <c r="J17" s="231">
        <v>7498</v>
      </c>
      <c r="K17" s="231">
        <v>7450</v>
      </c>
      <c r="L17" s="228">
        <v>48</v>
      </c>
      <c r="M17" s="229">
        <v>6.4000000000000003E-3</v>
      </c>
      <c r="N17" s="231">
        <v>7485.5</v>
      </c>
      <c r="O17" s="231">
        <v>7442</v>
      </c>
      <c r="P17" s="228">
        <v>43.5</v>
      </c>
      <c r="Q17" s="229">
        <v>5.7999999999999996E-3</v>
      </c>
      <c r="R17" s="231">
        <v>7517.5</v>
      </c>
      <c r="S17" s="231">
        <v>7473</v>
      </c>
      <c r="T17" s="228">
        <v>44.5</v>
      </c>
      <c r="U17" s="229">
        <v>6.0000000000000001E-3</v>
      </c>
      <c r="V17" s="231">
        <v>7553</v>
      </c>
      <c r="W17" s="231">
        <v>7507</v>
      </c>
      <c r="X17" s="228">
        <v>46</v>
      </c>
      <c r="Y17" s="229">
        <v>6.1000000000000004E-3</v>
      </c>
      <c r="Z17" s="228">
        <v>19.5</v>
      </c>
      <c r="AA17" s="228">
        <v>-8</v>
      </c>
      <c r="AB17" s="228">
        <v>27.5</v>
      </c>
      <c r="AC17" s="229">
        <v>2.5999999999999999E-3</v>
      </c>
      <c r="AD17" s="228">
        <v>-12.5</v>
      </c>
      <c r="AE17" s="228">
        <v>-8</v>
      </c>
      <c r="AF17" s="228">
        <v>-4.5</v>
      </c>
      <c r="AG17" s="229">
        <v>-1.6999999999999999E-3</v>
      </c>
      <c r="AH17" s="228">
        <v>19.5</v>
      </c>
      <c r="AI17" s="228">
        <v>23</v>
      </c>
      <c r="AJ17" s="228">
        <v>-3.5</v>
      </c>
      <c r="AK17" s="229">
        <v>2.5999999999999999E-3</v>
      </c>
      <c r="AL17" s="228">
        <v>55</v>
      </c>
      <c r="AM17" s="228">
        <v>57</v>
      </c>
      <c r="AN17" s="228">
        <v>-2</v>
      </c>
      <c r="AO17" s="229">
        <v>7.3000000000000001E-3</v>
      </c>
      <c r="AP17" s="231">
        <v>7443.8</v>
      </c>
      <c r="AQ17" s="231">
        <v>7472.92</v>
      </c>
      <c r="AR17" s="228">
        <v>0</v>
      </c>
      <c r="AS17" s="228">
        <v>854</v>
      </c>
      <c r="AT17" s="228">
        <v>999</v>
      </c>
      <c r="AU17" s="228">
        <v>-145</v>
      </c>
      <c r="AV17" s="229">
        <v>-0.1449</v>
      </c>
      <c r="AW17" s="228">
        <v>404</v>
      </c>
      <c r="AX17" s="228">
        <v>490</v>
      </c>
      <c r="AY17" s="228">
        <v>-86</v>
      </c>
      <c r="AZ17" s="229">
        <v>-0.17519999999999999</v>
      </c>
      <c r="BA17" s="228">
        <v>446</v>
      </c>
      <c r="BB17" s="228">
        <v>504</v>
      </c>
      <c r="BC17" s="228">
        <v>-58</v>
      </c>
      <c r="BD17" s="229">
        <v>-0.11509999999999999</v>
      </c>
      <c r="BE17" s="228">
        <v>4</v>
      </c>
      <c r="BF17" s="228">
        <v>5</v>
      </c>
      <c r="BG17" s="228">
        <v>-1</v>
      </c>
      <c r="BH17" s="229">
        <v>-0.1852</v>
      </c>
      <c r="BI17" s="228">
        <v>956</v>
      </c>
      <c r="BJ17" s="228">
        <v>953</v>
      </c>
      <c r="BK17" s="228">
        <v>3</v>
      </c>
      <c r="BL17" s="229">
        <v>3.3999999999999998E-3</v>
      </c>
      <c r="BM17" s="228">
        <v>350</v>
      </c>
      <c r="BN17" s="228">
        <v>475</v>
      </c>
      <c r="BO17" s="228">
        <v>-125</v>
      </c>
      <c r="BP17" s="229">
        <v>-0.26290000000000002</v>
      </c>
      <c r="BQ17" s="230">
        <v>2160</v>
      </c>
      <c r="BR17" s="230">
        <v>2427</v>
      </c>
      <c r="BS17" s="228">
        <v>-267</v>
      </c>
      <c r="BT17" s="229">
        <v>-0.10979999999999999</v>
      </c>
      <c r="BU17" s="230">
        <v>346269</v>
      </c>
      <c r="BV17" s="230">
        <v>299364</v>
      </c>
      <c r="BW17" s="230">
        <v>46905</v>
      </c>
      <c r="BX17" s="229">
        <v>0.15670000000000001</v>
      </c>
      <c r="BY17" s="230">
        <v>1845</v>
      </c>
      <c r="BZ17" s="230">
        <v>1977</v>
      </c>
      <c r="CA17" s="228">
        <v>-132</v>
      </c>
      <c r="CB17" s="229">
        <v>-6.6699999999999995E-2</v>
      </c>
      <c r="CC17" s="228">
        <v>135</v>
      </c>
      <c r="CD17" s="228">
        <v>332</v>
      </c>
      <c r="CE17" s="228">
        <v>-197</v>
      </c>
      <c r="CF17" s="229">
        <v>-0.59289999999999998</v>
      </c>
      <c r="CG17" s="230">
        <v>1833</v>
      </c>
      <c r="CH17" s="230">
        <v>1633</v>
      </c>
      <c r="CI17" s="228">
        <v>200</v>
      </c>
      <c r="CJ17" s="229">
        <v>0.12239999999999999</v>
      </c>
      <c r="CK17" s="228">
        <v>12</v>
      </c>
      <c r="CL17" s="228">
        <v>12</v>
      </c>
      <c r="CM17" s="228">
        <v>1</v>
      </c>
      <c r="CN17" s="229">
        <v>4.8399999999999999E-2</v>
      </c>
      <c r="CO17" s="228">
        <v>163</v>
      </c>
      <c r="CP17" s="230">
        <v>1187</v>
      </c>
      <c r="CQ17" s="230">
        <v>-1024</v>
      </c>
      <c r="CR17" s="229">
        <v>-0.86270000000000002</v>
      </c>
      <c r="CS17" s="228">
        <v>105</v>
      </c>
      <c r="CT17" s="228">
        <v>659</v>
      </c>
      <c r="CU17" s="228">
        <v>-554</v>
      </c>
      <c r="CV17" s="229">
        <v>-0.84119999999999995</v>
      </c>
      <c r="CW17" s="230">
        <v>2113</v>
      </c>
      <c r="CX17" s="230">
        <v>3823</v>
      </c>
      <c r="CY17" s="230">
        <v>-1710</v>
      </c>
      <c r="CZ17" s="229">
        <v>-0.44740000000000002</v>
      </c>
      <c r="DA17" s="228">
        <v>24.77</v>
      </c>
      <c r="DB17" s="228">
        <v>24.28</v>
      </c>
      <c r="DC17" s="228">
        <v>0.49</v>
      </c>
      <c r="DD17" s="228">
        <v>0.49</v>
      </c>
      <c r="DE17" s="228">
        <v>26.52</v>
      </c>
      <c r="DF17" s="228">
        <v>26.57</v>
      </c>
      <c r="DG17" s="228">
        <v>-1.75</v>
      </c>
      <c r="DH17" s="228">
        <v>-0.05</v>
      </c>
      <c r="DI17" s="228">
        <v>24.84</v>
      </c>
      <c r="DJ17" s="228">
        <v>24.19</v>
      </c>
      <c r="DK17" s="228">
        <v>0.65</v>
      </c>
      <c r="DL17" s="228">
        <v>0.65</v>
      </c>
      <c r="DM17" s="228">
        <v>24.6</v>
      </c>
      <c r="DN17" s="228">
        <v>24.47</v>
      </c>
      <c r="DO17" s="228">
        <v>0.13</v>
      </c>
      <c r="DP17" s="228">
        <v>0.13</v>
      </c>
      <c r="DQ17" s="228">
        <v>0.64</v>
      </c>
      <c r="DR17" s="228">
        <v>0.56000000000000005</v>
      </c>
      <c r="DS17" s="228">
        <v>0.08</v>
      </c>
      <c r="DT17" s="229">
        <v>0.1429</v>
      </c>
      <c r="DU17" s="231">
        <v>8000</v>
      </c>
      <c r="DV17" s="231">
        <v>7000</v>
      </c>
      <c r="DW17" s="228">
        <v>0.37</v>
      </c>
      <c r="DX17" s="228">
        <v>0.5</v>
      </c>
      <c r="DY17" s="228">
        <v>-0.13</v>
      </c>
      <c r="DZ17" s="229">
        <v>-0.26</v>
      </c>
      <c r="EA17" s="229">
        <v>0.93169999999999997</v>
      </c>
      <c r="EB17" s="230">
        <v>2187500</v>
      </c>
      <c r="EC17" s="229">
        <v>4.3E-3</v>
      </c>
      <c r="ED17" s="229">
        <v>0.93169999999999997</v>
      </c>
      <c r="EE17" s="228">
        <v>29.12</v>
      </c>
      <c r="EF17" s="229">
        <v>3.8999999999999998E-3</v>
      </c>
      <c r="EG17" s="230">
        <v>212128</v>
      </c>
      <c r="EH17" s="230">
        <v>228105</v>
      </c>
      <c r="EI17" s="229">
        <v>-7.0000000000000007E-2</v>
      </c>
      <c r="EJ17" s="229">
        <v>0.61260000000000003</v>
      </c>
      <c r="EK17" s="228">
        <v>979.31</v>
      </c>
      <c r="EL17" s="228">
        <v>339.85</v>
      </c>
      <c r="EM17" s="228">
        <v>847.67</v>
      </c>
      <c r="EN17" s="228">
        <v>0</v>
      </c>
      <c r="EO17" s="231">
        <v>2166.8200000000002</v>
      </c>
      <c r="EP17" s="231">
        <v>2420.0700000000002</v>
      </c>
      <c r="EQ17" s="228">
        <v>-253.25</v>
      </c>
      <c r="ER17" s="229">
        <v>-0.1046</v>
      </c>
      <c r="ES17" s="228">
        <v>166.57</v>
      </c>
      <c r="ET17" s="228">
        <v>100.51</v>
      </c>
      <c r="EU17" s="231">
        <v>1844.95</v>
      </c>
      <c r="EV17" s="231">
        <v>20320323</v>
      </c>
      <c r="EW17" s="231">
        <v>2112.0300000000002</v>
      </c>
      <c r="EX17" s="231">
        <v>3812.96</v>
      </c>
      <c r="EY17" s="231">
        <v>-1700.93</v>
      </c>
      <c r="EZ17" s="229">
        <v>-0.4461</v>
      </c>
      <c r="FA17" s="229">
        <v>0.13830000000000001</v>
      </c>
      <c r="FB17" s="227" t="s">
        <v>556</v>
      </c>
      <c r="FC17">
        <f t="shared" si="0"/>
        <v>1710</v>
      </c>
    </row>
    <row r="18" spans="1:159" ht="17.25" thickBot="1" x14ac:dyDescent="0.3">
      <c r="A18" s="226">
        <v>45869</v>
      </c>
      <c r="B18" s="227" t="s">
        <v>162</v>
      </c>
      <c r="C18" s="227" t="s">
        <v>167</v>
      </c>
      <c r="D18" s="228">
        <v>5000</v>
      </c>
      <c r="E18" s="228">
        <v>0</v>
      </c>
      <c r="F18" s="228">
        <v>121.75</v>
      </c>
      <c r="G18" s="228">
        <v>122.75</v>
      </c>
      <c r="H18" s="228">
        <v>-1</v>
      </c>
      <c r="I18" s="229">
        <v>-8.0999999999999996E-3</v>
      </c>
      <c r="J18" s="228">
        <v>121.05</v>
      </c>
      <c r="K18" s="228">
        <v>121.9</v>
      </c>
      <c r="L18" s="228">
        <v>-0.85</v>
      </c>
      <c r="M18" s="229">
        <v>-7.0000000000000001E-3</v>
      </c>
      <c r="N18" s="228">
        <v>121.3</v>
      </c>
      <c r="O18" s="228">
        <v>122.25</v>
      </c>
      <c r="P18" s="228">
        <v>-0.95</v>
      </c>
      <c r="Q18" s="229">
        <v>-7.7999999999999996E-3</v>
      </c>
      <c r="R18" s="228">
        <v>121.75</v>
      </c>
      <c r="S18" s="228">
        <v>122.75</v>
      </c>
      <c r="T18" s="228">
        <v>-1</v>
      </c>
      <c r="U18" s="229">
        <v>-8.0999999999999996E-3</v>
      </c>
      <c r="V18" s="228">
        <v>122.45</v>
      </c>
      <c r="W18" s="228">
        <v>123.7</v>
      </c>
      <c r="X18" s="228">
        <v>-1.25</v>
      </c>
      <c r="Y18" s="229">
        <v>-1.01E-2</v>
      </c>
      <c r="Z18" s="228">
        <v>0.7</v>
      </c>
      <c r="AA18" s="228">
        <v>0.35</v>
      </c>
      <c r="AB18" s="228">
        <v>0.35</v>
      </c>
      <c r="AC18" s="229">
        <v>5.7999999999999996E-3</v>
      </c>
      <c r="AD18" s="228">
        <v>0.25</v>
      </c>
      <c r="AE18" s="228">
        <v>0.35</v>
      </c>
      <c r="AF18" s="228">
        <v>-0.1</v>
      </c>
      <c r="AG18" s="229">
        <v>2.0999999999999999E-3</v>
      </c>
      <c r="AH18" s="228">
        <v>0.7</v>
      </c>
      <c r="AI18" s="228">
        <v>0.85</v>
      </c>
      <c r="AJ18" s="228">
        <v>-0.15</v>
      </c>
      <c r="AK18" s="229">
        <v>5.7999999999999996E-3</v>
      </c>
      <c r="AL18" s="228">
        <v>1.4</v>
      </c>
      <c r="AM18" s="228">
        <v>1.8</v>
      </c>
      <c r="AN18" s="228">
        <v>-0.4</v>
      </c>
      <c r="AO18" s="229">
        <v>1.1599999999999999E-2</v>
      </c>
      <c r="AP18" s="228">
        <v>121.18</v>
      </c>
      <c r="AQ18" s="228">
        <v>121.73</v>
      </c>
      <c r="AR18" s="228">
        <v>0</v>
      </c>
      <c r="AS18" s="228">
        <v>583</v>
      </c>
      <c r="AT18" s="228">
        <v>623</v>
      </c>
      <c r="AU18" s="228">
        <v>-39</v>
      </c>
      <c r="AV18" s="229">
        <v>-6.3E-2</v>
      </c>
      <c r="AW18" s="228">
        <v>251</v>
      </c>
      <c r="AX18" s="228">
        <v>291</v>
      </c>
      <c r="AY18" s="228">
        <v>-41</v>
      </c>
      <c r="AZ18" s="229">
        <v>-0.13969999999999999</v>
      </c>
      <c r="BA18" s="228">
        <v>328</v>
      </c>
      <c r="BB18" s="228">
        <v>329</v>
      </c>
      <c r="BC18" s="228">
        <v>-2</v>
      </c>
      <c r="BD18" s="229">
        <v>-5.1999999999999998E-3</v>
      </c>
      <c r="BE18" s="228">
        <v>5</v>
      </c>
      <c r="BF18" s="228">
        <v>2</v>
      </c>
      <c r="BG18" s="228">
        <v>3</v>
      </c>
      <c r="BH18" s="229">
        <v>1.8929</v>
      </c>
      <c r="BI18" s="228">
        <v>256</v>
      </c>
      <c r="BJ18" s="228">
        <v>222</v>
      </c>
      <c r="BK18" s="228">
        <v>34</v>
      </c>
      <c r="BL18" s="229">
        <v>0.15529999999999999</v>
      </c>
      <c r="BM18" s="228">
        <v>254</v>
      </c>
      <c r="BN18" s="228">
        <v>166</v>
      </c>
      <c r="BO18" s="228">
        <v>88</v>
      </c>
      <c r="BP18" s="229">
        <v>0.53259999999999996</v>
      </c>
      <c r="BQ18" s="230">
        <v>1094</v>
      </c>
      <c r="BR18" s="230">
        <v>1010</v>
      </c>
      <c r="BS18" s="228">
        <v>84</v>
      </c>
      <c r="BT18" s="229">
        <v>8.2799999999999999E-2</v>
      </c>
      <c r="BU18" s="230">
        <v>11620594</v>
      </c>
      <c r="BV18" s="230">
        <v>5657017</v>
      </c>
      <c r="BW18" s="230">
        <v>5963577</v>
      </c>
      <c r="BX18" s="229">
        <v>1.0542</v>
      </c>
      <c r="BY18" s="230">
        <v>1032</v>
      </c>
      <c r="BZ18" s="230">
        <v>1104</v>
      </c>
      <c r="CA18" s="228">
        <v>-73</v>
      </c>
      <c r="CB18" s="229">
        <v>-6.59E-2</v>
      </c>
      <c r="CC18" s="228">
        <v>42</v>
      </c>
      <c r="CD18" s="228">
        <v>203</v>
      </c>
      <c r="CE18" s="228">
        <v>-161</v>
      </c>
      <c r="CF18" s="229">
        <v>-0.79469999999999996</v>
      </c>
      <c r="CG18" s="230">
        <v>1021</v>
      </c>
      <c r="CH18" s="228">
        <v>894</v>
      </c>
      <c r="CI18" s="228">
        <v>128</v>
      </c>
      <c r="CJ18" s="229">
        <v>0.14280000000000001</v>
      </c>
      <c r="CK18" s="228">
        <v>11</v>
      </c>
      <c r="CL18" s="228">
        <v>8</v>
      </c>
      <c r="CM18" s="228">
        <v>2</v>
      </c>
      <c r="CN18" s="229">
        <v>0.29849999999999999</v>
      </c>
      <c r="CO18" s="228">
        <v>129</v>
      </c>
      <c r="CP18" s="228">
        <v>370</v>
      </c>
      <c r="CQ18" s="228">
        <v>-241</v>
      </c>
      <c r="CR18" s="229">
        <v>-0.65149999999999997</v>
      </c>
      <c r="CS18" s="228">
        <v>102</v>
      </c>
      <c r="CT18" s="228">
        <v>251</v>
      </c>
      <c r="CU18" s="228">
        <v>-149</v>
      </c>
      <c r="CV18" s="229">
        <v>-0.59370000000000001</v>
      </c>
      <c r="CW18" s="230">
        <v>1263</v>
      </c>
      <c r="CX18" s="230">
        <v>1726</v>
      </c>
      <c r="CY18" s="228">
        <v>-463</v>
      </c>
      <c r="CZ18" s="229">
        <v>-0.26829999999999998</v>
      </c>
      <c r="DA18" s="228">
        <v>25.11</v>
      </c>
      <c r="DB18" s="228">
        <v>25.42</v>
      </c>
      <c r="DC18" s="228">
        <v>-0.31</v>
      </c>
      <c r="DD18" s="228">
        <v>-0.31</v>
      </c>
      <c r="DE18" s="228">
        <v>35.01</v>
      </c>
      <c r="DF18" s="228">
        <v>35.090000000000003</v>
      </c>
      <c r="DG18" s="228">
        <v>-9.9</v>
      </c>
      <c r="DH18" s="228">
        <v>-0.08</v>
      </c>
      <c r="DI18" s="228">
        <v>25.33</v>
      </c>
      <c r="DJ18" s="228">
        <v>25.38</v>
      </c>
      <c r="DK18" s="228">
        <v>-0.05</v>
      </c>
      <c r="DL18" s="228">
        <v>-0.05</v>
      </c>
      <c r="DM18" s="228">
        <v>24.82</v>
      </c>
      <c r="DN18" s="228">
        <v>25.46</v>
      </c>
      <c r="DO18" s="228">
        <v>-0.64</v>
      </c>
      <c r="DP18" s="228">
        <v>-0.64</v>
      </c>
      <c r="DQ18" s="228">
        <v>0.79</v>
      </c>
      <c r="DR18" s="228">
        <v>0.68</v>
      </c>
      <c r="DS18" s="228">
        <v>0.11</v>
      </c>
      <c r="DT18" s="229">
        <v>0.1618</v>
      </c>
      <c r="DU18" s="228">
        <v>130</v>
      </c>
      <c r="DV18" s="228">
        <v>125</v>
      </c>
      <c r="DW18" s="228">
        <v>0.99</v>
      </c>
      <c r="DX18" s="228">
        <v>0.75</v>
      </c>
      <c r="DY18" s="228">
        <v>0.24</v>
      </c>
      <c r="DZ18" s="229">
        <v>0.32</v>
      </c>
      <c r="EA18" s="229">
        <v>0.96120000000000005</v>
      </c>
      <c r="EB18" s="230">
        <v>74060000</v>
      </c>
      <c r="EC18" s="229">
        <v>3.7000000000000002E-3</v>
      </c>
      <c r="ED18" s="229">
        <v>0.96120000000000005</v>
      </c>
      <c r="EE18" s="228">
        <v>0.55000000000000004</v>
      </c>
      <c r="EF18" s="229">
        <v>4.4999999999999997E-3</v>
      </c>
      <c r="EG18" s="230">
        <v>6091859</v>
      </c>
      <c r="EH18" s="230">
        <v>3539406</v>
      </c>
      <c r="EI18" s="229">
        <v>0.72119999999999995</v>
      </c>
      <c r="EJ18" s="229">
        <v>0.5242</v>
      </c>
      <c r="EK18" s="228">
        <v>265.63</v>
      </c>
      <c r="EL18" s="228">
        <v>258.44</v>
      </c>
      <c r="EM18" s="228">
        <v>582.15</v>
      </c>
      <c r="EN18" s="228">
        <v>0</v>
      </c>
      <c r="EO18" s="231">
        <v>1106.22</v>
      </c>
      <c r="EP18" s="231">
        <v>1023.83</v>
      </c>
      <c r="EQ18" s="228">
        <v>82.4</v>
      </c>
      <c r="ER18" s="229">
        <v>8.0500000000000002E-2</v>
      </c>
      <c r="ES18" s="228">
        <v>134.91</v>
      </c>
      <c r="ET18" s="228">
        <v>100.71</v>
      </c>
      <c r="EU18" s="231">
        <v>1031.77</v>
      </c>
      <c r="EV18" s="231">
        <v>564878806</v>
      </c>
      <c r="EW18" s="231">
        <v>1267.3900000000001</v>
      </c>
      <c r="EX18" s="231">
        <v>1750.29</v>
      </c>
      <c r="EY18" s="228">
        <v>-482.9</v>
      </c>
      <c r="EZ18" s="229">
        <v>-0.27589999999999998</v>
      </c>
      <c r="FA18" s="229">
        <v>0.18360000000000001</v>
      </c>
      <c r="FB18" s="227" t="s">
        <v>568</v>
      </c>
      <c r="FC18">
        <f t="shared" si="0"/>
        <v>990</v>
      </c>
    </row>
    <row r="19" spans="1:159" ht="17.25" thickBot="1" x14ac:dyDescent="0.3">
      <c r="A19" s="226">
        <v>45869</v>
      </c>
      <c r="B19" s="227" t="s">
        <v>168</v>
      </c>
      <c r="C19" s="227" t="s">
        <v>169</v>
      </c>
      <c r="D19" s="228">
        <v>250</v>
      </c>
      <c r="E19" s="228">
        <v>0</v>
      </c>
      <c r="F19" s="231">
        <v>2404.6</v>
      </c>
      <c r="G19" s="231">
        <v>2426</v>
      </c>
      <c r="H19" s="228">
        <v>-21.4</v>
      </c>
      <c r="I19" s="229">
        <v>-8.8000000000000005E-3</v>
      </c>
      <c r="J19" s="231">
        <v>2396.1</v>
      </c>
      <c r="K19" s="231">
        <v>2415.8000000000002</v>
      </c>
      <c r="L19" s="228">
        <v>-19.7</v>
      </c>
      <c r="M19" s="229">
        <v>-8.2000000000000007E-3</v>
      </c>
      <c r="N19" s="231">
        <v>2394.3000000000002</v>
      </c>
      <c r="O19" s="231">
        <v>2414</v>
      </c>
      <c r="P19" s="228">
        <v>-19.7</v>
      </c>
      <c r="Q19" s="229">
        <v>-8.2000000000000007E-3</v>
      </c>
      <c r="R19" s="231">
        <v>2404.6</v>
      </c>
      <c r="S19" s="231">
        <v>2426</v>
      </c>
      <c r="T19" s="228">
        <v>-21.4</v>
      </c>
      <c r="U19" s="229">
        <v>-8.8000000000000005E-3</v>
      </c>
      <c r="V19" s="231">
        <v>2417.3000000000002</v>
      </c>
      <c r="W19" s="231">
        <v>2439</v>
      </c>
      <c r="X19" s="228">
        <v>-21.7</v>
      </c>
      <c r="Y19" s="229">
        <v>-8.8999999999999999E-3</v>
      </c>
      <c r="Z19" s="228">
        <v>8.5</v>
      </c>
      <c r="AA19" s="228">
        <v>-1.8</v>
      </c>
      <c r="AB19" s="228">
        <v>10.3</v>
      </c>
      <c r="AC19" s="229">
        <v>3.5000000000000001E-3</v>
      </c>
      <c r="AD19" s="228">
        <v>-1.8</v>
      </c>
      <c r="AE19" s="228">
        <v>-1.8</v>
      </c>
      <c r="AF19" s="228">
        <v>0</v>
      </c>
      <c r="AG19" s="229">
        <v>-8.0000000000000004E-4</v>
      </c>
      <c r="AH19" s="228">
        <v>8.5</v>
      </c>
      <c r="AI19" s="228">
        <v>10.199999999999999</v>
      </c>
      <c r="AJ19" s="228">
        <v>-1.7</v>
      </c>
      <c r="AK19" s="229">
        <v>3.5000000000000001E-3</v>
      </c>
      <c r="AL19" s="228">
        <v>21.2</v>
      </c>
      <c r="AM19" s="228">
        <v>23.2</v>
      </c>
      <c r="AN19" s="228">
        <v>-2</v>
      </c>
      <c r="AO19" s="229">
        <v>8.8000000000000005E-3</v>
      </c>
      <c r="AP19" s="231">
        <v>2397.92</v>
      </c>
      <c r="AQ19" s="231">
        <v>2407.67</v>
      </c>
      <c r="AR19" s="228">
        <v>0</v>
      </c>
      <c r="AS19" s="230">
        <v>1043</v>
      </c>
      <c r="AT19" s="230">
        <v>2470</v>
      </c>
      <c r="AU19" s="230">
        <v>-1426</v>
      </c>
      <c r="AV19" s="229">
        <v>-0.57750000000000001</v>
      </c>
      <c r="AW19" s="228">
        <v>421</v>
      </c>
      <c r="AX19" s="230">
        <v>1052</v>
      </c>
      <c r="AY19" s="228">
        <v>-632</v>
      </c>
      <c r="AZ19" s="229">
        <v>-0.60040000000000004</v>
      </c>
      <c r="BA19" s="228">
        <v>607</v>
      </c>
      <c r="BB19" s="230">
        <v>1390</v>
      </c>
      <c r="BC19" s="228">
        <v>-783</v>
      </c>
      <c r="BD19" s="229">
        <v>-0.56330000000000002</v>
      </c>
      <c r="BE19" s="228">
        <v>16</v>
      </c>
      <c r="BF19" s="228">
        <v>27</v>
      </c>
      <c r="BG19" s="228">
        <v>-11</v>
      </c>
      <c r="BH19" s="229">
        <v>-0.41789999999999999</v>
      </c>
      <c r="BI19" s="230">
        <v>1446</v>
      </c>
      <c r="BJ19" s="230">
        <v>5673</v>
      </c>
      <c r="BK19" s="230">
        <v>-4227</v>
      </c>
      <c r="BL19" s="229">
        <v>-0.74509999999999998</v>
      </c>
      <c r="BM19" s="230">
        <v>1086</v>
      </c>
      <c r="BN19" s="230">
        <v>2778</v>
      </c>
      <c r="BO19" s="230">
        <v>-1692</v>
      </c>
      <c r="BP19" s="229">
        <v>-0.60919999999999996</v>
      </c>
      <c r="BQ19" s="230">
        <v>3575</v>
      </c>
      <c r="BR19" s="230">
        <v>10920</v>
      </c>
      <c r="BS19" s="230">
        <v>-7345</v>
      </c>
      <c r="BT19" s="229">
        <v>-0.67259999999999998</v>
      </c>
      <c r="BU19" s="230">
        <v>1296275</v>
      </c>
      <c r="BV19" s="230">
        <v>1758511</v>
      </c>
      <c r="BW19" s="230">
        <v>-462236</v>
      </c>
      <c r="BX19" s="229">
        <v>-0.26290000000000002</v>
      </c>
      <c r="BY19" s="230">
        <v>3338</v>
      </c>
      <c r="BZ19" s="230">
        <v>3681</v>
      </c>
      <c r="CA19" s="228">
        <v>-343</v>
      </c>
      <c r="CB19" s="229">
        <v>-9.3200000000000005E-2</v>
      </c>
      <c r="CC19" s="228">
        <v>345</v>
      </c>
      <c r="CD19" s="228">
        <v>494</v>
      </c>
      <c r="CE19" s="228">
        <v>-148</v>
      </c>
      <c r="CF19" s="229">
        <v>-0.30030000000000001</v>
      </c>
      <c r="CG19" s="230">
        <v>3281</v>
      </c>
      <c r="CH19" s="230">
        <v>3135</v>
      </c>
      <c r="CI19" s="228">
        <v>146</v>
      </c>
      <c r="CJ19" s="229">
        <v>4.6600000000000003E-2</v>
      </c>
      <c r="CK19" s="228">
        <v>57</v>
      </c>
      <c r="CL19" s="228">
        <v>53</v>
      </c>
      <c r="CM19" s="228">
        <v>4</v>
      </c>
      <c r="CN19" s="229">
        <v>8.1199999999999994E-2</v>
      </c>
      <c r="CO19" s="228">
        <v>645</v>
      </c>
      <c r="CP19" s="230">
        <v>1959</v>
      </c>
      <c r="CQ19" s="230">
        <v>-1313</v>
      </c>
      <c r="CR19" s="229">
        <v>-0.67049999999999998</v>
      </c>
      <c r="CS19" s="228">
        <v>506</v>
      </c>
      <c r="CT19" s="230">
        <v>1125</v>
      </c>
      <c r="CU19" s="228">
        <v>-619</v>
      </c>
      <c r="CV19" s="229">
        <v>-0.55049999999999999</v>
      </c>
      <c r="CW19" s="230">
        <v>4489</v>
      </c>
      <c r="CX19" s="230">
        <v>6764</v>
      </c>
      <c r="CY19" s="230">
        <v>-2275</v>
      </c>
      <c r="CZ19" s="229">
        <v>-0.33639999999999998</v>
      </c>
      <c r="DA19" s="228">
        <v>19.12</v>
      </c>
      <c r="DB19" s="228">
        <v>19.420000000000002</v>
      </c>
      <c r="DC19" s="228">
        <v>-0.3</v>
      </c>
      <c r="DD19" s="228">
        <v>-0.3</v>
      </c>
      <c r="DE19" s="228">
        <v>24.21</v>
      </c>
      <c r="DF19" s="228">
        <v>24.24</v>
      </c>
      <c r="DG19" s="228">
        <v>-5.09</v>
      </c>
      <c r="DH19" s="228">
        <v>-0.03</v>
      </c>
      <c r="DI19" s="228">
        <v>19.16</v>
      </c>
      <c r="DJ19" s="228">
        <v>19.2</v>
      </c>
      <c r="DK19" s="228">
        <v>-0.04</v>
      </c>
      <c r="DL19" s="228">
        <v>-0.04</v>
      </c>
      <c r="DM19" s="228">
        <v>19.05</v>
      </c>
      <c r="DN19" s="228">
        <v>19.89</v>
      </c>
      <c r="DO19" s="228">
        <v>-0.84</v>
      </c>
      <c r="DP19" s="228">
        <v>-0.84</v>
      </c>
      <c r="DQ19" s="228">
        <v>0.78</v>
      </c>
      <c r="DR19" s="228">
        <v>0.56999999999999995</v>
      </c>
      <c r="DS19" s="228">
        <v>0.21</v>
      </c>
      <c r="DT19" s="229">
        <v>0.36840000000000001</v>
      </c>
      <c r="DU19" s="231">
        <v>2500</v>
      </c>
      <c r="DV19" s="231">
        <v>2400</v>
      </c>
      <c r="DW19" s="228">
        <v>0.75</v>
      </c>
      <c r="DX19" s="228">
        <v>0.49</v>
      </c>
      <c r="DY19" s="228">
        <v>0.26</v>
      </c>
      <c r="DZ19" s="229">
        <v>0.53059999999999996</v>
      </c>
      <c r="EA19" s="229">
        <v>0.90620000000000001</v>
      </c>
      <c r="EB19" s="230">
        <v>13256000</v>
      </c>
      <c r="EC19" s="229">
        <v>4.3E-3</v>
      </c>
      <c r="ED19" s="229">
        <v>0.90620000000000001</v>
      </c>
      <c r="EE19" s="228">
        <v>9.75</v>
      </c>
      <c r="EF19" s="229">
        <v>4.1000000000000003E-3</v>
      </c>
      <c r="EG19" s="230">
        <v>802347</v>
      </c>
      <c r="EH19" s="230">
        <v>847538</v>
      </c>
      <c r="EI19" s="229">
        <v>-5.33E-2</v>
      </c>
      <c r="EJ19" s="229">
        <v>0.61899999999999999</v>
      </c>
      <c r="EK19" s="231">
        <v>1496.41</v>
      </c>
      <c r="EL19" s="231">
        <v>1078.69</v>
      </c>
      <c r="EM19" s="231">
        <v>1043.1500000000001</v>
      </c>
      <c r="EN19" s="228">
        <v>0</v>
      </c>
      <c r="EO19" s="231">
        <v>3618.25</v>
      </c>
      <c r="EP19" s="231">
        <v>11081.72</v>
      </c>
      <c r="EQ19" s="231">
        <v>-7463.47</v>
      </c>
      <c r="ER19" s="229">
        <v>-0.67349999999999999</v>
      </c>
      <c r="ES19" s="228">
        <v>671.86</v>
      </c>
      <c r="ET19" s="228">
        <v>495.61</v>
      </c>
      <c r="EU19" s="231">
        <v>3338.31</v>
      </c>
      <c r="EV19" s="231">
        <v>90791585</v>
      </c>
      <c r="EW19" s="231">
        <v>4505.7700000000004</v>
      </c>
      <c r="EX19" s="231">
        <v>6836.64</v>
      </c>
      <c r="EY19" s="231">
        <v>-2330.87</v>
      </c>
      <c r="EZ19" s="229">
        <v>-0.34089999999999998</v>
      </c>
      <c r="FA19" s="229">
        <v>0.2056</v>
      </c>
      <c r="FB19" s="227" t="s">
        <v>568</v>
      </c>
      <c r="FC19">
        <f t="shared" si="0"/>
        <v>2993</v>
      </c>
    </row>
    <row r="20" spans="1:159" ht="17.25" thickBot="1" x14ac:dyDescent="0.3">
      <c r="A20" s="226">
        <v>45869</v>
      </c>
      <c r="B20" s="227" t="s">
        <v>184</v>
      </c>
      <c r="C20" s="227" t="s">
        <v>503</v>
      </c>
      <c r="D20" s="228">
        <v>425</v>
      </c>
      <c r="E20" s="228">
        <v>0</v>
      </c>
      <c r="F20" s="231">
        <v>1408.6</v>
      </c>
      <c r="G20" s="231">
        <v>1427.2</v>
      </c>
      <c r="H20" s="228">
        <v>-18.600000000000001</v>
      </c>
      <c r="I20" s="229">
        <v>-1.2999999999999999E-2</v>
      </c>
      <c r="J20" s="231">
        <v>1401.2</v>
      </c>
      <c r="K20" s="231">
        <v>1430.7</v>
      </c>
      <c r="L20" s="228">
        <v>-29.5</v>
      </c>
      <c r="M20" s="229">
        <v>-2.06E-2</v>
      </c>
      <c r="N20" s="231">
        <v>1401.9</v>
      </c>
      <c r="O20" s="231">
        <v>1434.6</v>
      </c>
      <c r="P20" s="228">
        <v>-32.700000000000003</v>
      </c>
      <c r="Q20" s="229">
        <v>-2.2800000000000001E-2</v>
      </c>
      <c r="R20" s="231">
        <v>1408.6</v>
      </c>
      <c r="S20" s="231">
        <v>1427.2</v>
      </c>
      <c r="T20" s="228">
        <v>-18.600000000000001</v>
      </c>
      <c r="U20" s="229">
        <v>-1.2999999999999999E-2</v>
      </c>
      <c r="V20" s="231">
        <v>1410.8</v>
      </c>
      <c r="W20" s="231">
        <v>1429</v>
      </c>
      <c r="X20" s="228">
        <v>-18.2</v>
      </c>
      <c r="Y20" s="229">
        <v>-1.2699999999999999E-2</v>
      </c>
      <c r="Z20" s="228">
        <v>7.4</v>
      </c>
      <c r="AA20" s="228">
        <v>3.9</v>
      </c>
      <c r="AB20" s="228">
        <v>3.5</v>
      </c>
      <c r="AC20" s="229">
        <v>5.3E-3</v>
      </c>
      <c r="AD20" s="228">
        <v>0.7</v>
      </c>
      <c r="AE20" s="228">
        <v>3.9</v>
      </c>
      <c r="AF20" s="228">
        <v>-3.2</v>
      </c>
      <c r="AG20" s="229">
        <v>5.0000000000000001E-4</v>
      </c>
      <c r="AH20" s="228">
        <v>7.4</v>
      </c>
      <c r="AI20" s="228">
        <v>-3.5</v>
      </c>
      <c r="AJ20" s="228">
        <v>10.9</v>
      </c>
      <c r="AK20" s="229">
        <v>5.3E-3</v>
      </c>
      <c r="AL20" s="228">
        <v>9.6</v>
      </c>
      <c r="AM20" s="228">
        <v>-1.7</v>
      </c>
      <c r="AN20" s="228">
        <v>11.3</v>
      </c>
      <c r="AO20" s="229">
        <v>6.8999999999999999E-3</v>
      </c>
      <c r="AP20" s="231">
        <v>1409.24</v>
      </c>
      <c r="AQ20" s="231">
        <v>1413.19</v>
      </c>
      <c r="AR20" s="228">
        <v>0</v>
      </c>
      <c r="AS20" s="228">
        <v>417</v>
      </c>
      <c r="AT20" s="228">
        <v>549</v>
      </c>
      <c r="AU20" s="228">
        <v>-131</v>
      </c>
      <c r="AV20" s="229">
        <v>-0.23910000000000001</v>
      </c>
      <c r="AW20" s="228">
        <v>175</v>
      </c>
      <c r="AX20" s="228">
        <v>269</v>
      </c>
      <c r="AY20" s="228">
        <v>-94</v>
      </c>
      <c r="AZ20" s="229">
        <v>-0.34839999999999999</v>
      </c>
      <c r="BA20" s="228">
        <v>233</v>
      </c>
      <c r="BB20" s="228">
        <v>271</v>
      </c>
      <c r="BC20" s="228">
        <v>-38</v>
      </c>
      <c r="BD20" s="229">
        <v>-0.14199999999999999</v>
      </c>
      <c r="BE20" s="228">
        <v>10</v>
      </c>
      <c r="BF20" s="228">
        <v>9</v>
      </c>
      <c r="BG20" s="228">
        <v>1</v>
      </c>
      <c r="BH20" s="229">
        <v>0.10879999999999999</v>
      </c>
      <c r="BI20" s="228">
        <v>174</v>
      </c>
      <c r="BJ20" s="228">
        <v>178</v>
      </c>
      <c r="BK20" s="228">
        <v>-4</v>
      </c>
      <c r="BL20" s="229">
        <v>-2.3800000000000002E-2</v>
      </c>
      <c r="BM20" s="228">
        <v>107</v>
      </c>
      <c r="BN20" s="228">
        <v>117</v>
      </c>
      <c r="BO20" s="228">
        <v>-10</v>
      </c>
      <c r="BP20" s="229">
        <v>-8.8800000000000004E-2</v>
      </c>
      <c r="BQ20" s="228">
        <v>698</v>
      </c>
      <c r="BR20" s="228">
        <v>844</v>
      </c>
      <c r="BS20" s="228">
        <v>-146</v>
      </c>
      <c r="BT20" s="229">
        <v>-0.17280000000000001</v>
      </c>
      <c r="BU20" s="230">
        <v>881026</v>
      </c>
      <c r="BV20" s="230">
        <v>713838</v>
      </c>
      <c r="BW20" s="230">
        <v>167188</v>
      </c>
      <c r="BX20" s="229">
        <v>0.23419999999999999</v>
      </c>
      <c r="BY20" s="228">
        <v>799</v>
      </c>
      <c r="BZ20" s="228">
        <v>875</v>
      </c>
      <c r="CA20" s="228">
        <v>-76</v>
      </c>
      <c r="CB20" s="229">
        <v>-8.6499999999999994E-2</v>
      </c>
      <c r="CC20" s="228">
        <v>73</v>
      </c>
      <c r="CD20" s="228">
        <v>135</v>
      </c>
      <c r="CE20" s="228">
        <v>-62</v>
      </c>
      <c r="CF20" s="229">
        <v>-0.45729999999999998</v>
      </c>
      <c r="CG20" s="228">
        <v>766</v>
      </c>
      <c r="CH20" s="228">
        <v>711</v>
      </c>
      <c r="CI20" s="228">
        <v>55</v>
      </c>
      <c r="CJ20" s="229">
        <v>7.6899999999999996E-2</v>
      </c>
      <c r="CK20" s="228">
        <v>33</v>
      </c>
      <c r="CL20" s="228">
        <v>28</v>
      </c>
      <c r="CM20" s="228">
        <v>5</v>
      </c>
      <c r="CN20" s="229">
        <v>0.17510000000000001</v>
      </c>
      <c r="CO20" s="228">
        <v>142</v>
      </c>
      <c r="CP20" s="228">
        <v>442</v>
      </c>
      <c r="CQ20" s="228">
        <v>-300</v>
      </c>
      <c r="CR20" s="229">
        <v>-0.67849999999999999</v>
      </c>
      <c r="CS20" s="228">
        <v>108</v>
      </c>
      <c r="CT20" s="228">
        <v>196</v>
      </c>
      <c r="CU20" s="228">
        <v>-88</v>
      </c>
      <c r="CV20" s="229">
        <v>-0.44890000000000002</v>
      </c>
      <c r="CW20" s="230">
        <v>1050</v>
      </c>
      <c r="CX20" s="230">
        <v>1513</v>
      </c>
      <c r="CY20" s="228">
        <v>-464</v>
      </c>
      <c r="CZ20" s="229">
        <v>-0.30649999999999999</v>
      </c>
      <c r="DA20" s="228">
        <v>28.43</v>
      </c>
      <c r="DB20" s="228">
        <v>28.32</v>
      </c>
      <c r="DC20" s="228">
        <v>0.11</v>
      </c>
      <c r="DD20" s="228">
        <v>0.11</v>
      </c>
      <c r="DE20" s="228">
        <v>32.96</v>
      </c>
      <c r="DF20" s="228">
        <v>32.99</v>
      </c>
      <c r="DG20" s="228">
        <v>-4.53</v>
      </c>
      <c r="DH20" s="228">
        <v>-0.03</v>
      </c>
      <c r="DI20" s="228">
        <v>28.2</v>
      </c>
      <c r="DJ20" s="228">
        <v>28.27</v>
      </c>
      <c r="DK20" s="228">
        <v>-7.0000000000000007E-2</v>
      </c>
      <c r="DL20" s="228">
        <v>-7.0000000000000007E-2</v>
      </c>
      <c r="DM20" s="228">
        <v>28.88</v>
      </c>
      <c r="DN20" s="228">
        <v>28.39</v>
      </c>
      <c r="DO20" s="228">
        <v>0.49</v>
      </c>
      <c r="DP20" s="228">
        <v>0.49</v>
      </c>
      <c r="DQ20" s="228">
        <v>0.76</v>
      </c>
      <c r="DR20" s="228">
        <v>0.44</v>
      </c>
      <c r="DS20" s="228">
        <v>0.32</v>
      </c>
      <c r="DT20" s="229">
        <v>0.72729999999999995</v>
      </c>
      <c r="DU20" s="231">
        <v>1600</v>
      </c>
      <c r="DV20" s="231">
        <v>1400</v>
      </c>
      <c r="DW20" s="228">
        <v>0.61</v>
      </c>
      <c r="DX20" s="228">
        <v>0.66</v>
      </c>
      <c r="DY20" s="228">
        <v>-0.05</v>
      </c>
      <c r="DZ20" s="229">
        <v>-7.5800000000000006E-2</v>
      </c>
      <c r="EA20" s="229">
        <v>0.91579999999999995</v>
      </c>
      <c r="EB20" s="230">
        <v>5250450</v>
      </c>
      <c r="EC20" s="229">
        <v>4.7999999999999996E-3</v>
      </c>
      <c r="ED20" s="229">
        <v>0.91579999999999995</v>
      </c>
      <c r="EE20" s="228">
        <v>3.95</v>
      </c>
      <c r="EF20" s="229">
        <v>2.8E-3</v>
      </c>
      <c r="EG20" s="230">
        <v>567991</v>
      </c>
      <c r="EH20" s="230">
        <v>446253</v>
      </c>
      <c r="EI20" s="229">
        <v>0.27279999999999999</v>
      </c>
      <c r="EJ20" s="229">
        <v>0.64470000000000005</v>
      </c>
      <c r="EK20" s="228">
        <v>183.72</v>
      </c>
      <c r="EL20" s="228">
        <v>108.61</v>
      </c>
      <c r="EM20" s="228">
        <v>418.28</v>
      </c>
      <c r="EN20" s="228">
        <v>0</v>
      </c>
      <c r="EO20" s="228">
        <v>710.61</v>
      </c>
      <c r="EP20" s="228">
        <v>864.62</v>
      </c>
      <c r="EQ20" s="228">
        <v>-154.01</v>
      </c>
      <c r="ER20" s="229">
        <v>-0.17810000000000001</v>
      </c>
      <c r="ES20" s="228">
        <v>152.22999999999999</v>
      </c>
      <c r="ET20" s="228">
        <v>108.14</v>
      </c>
      <c r="EU20" s="228">
        <v>799.32</v>
      </c>
      <c r="EV20" s="231">
        <v>24660712</v>
      </c>
      <c r="EW20" s="231">
        <v>1059.69</v>
      </c>
      <c r="EX20" s="231">
        <v>1573.52</v>
      </c>
      <c r="EY20" s="228">
        <v>-513.83000000000004</v>
      </c>
      <c r="EZ20" s="229">
        <v>-0.32650000000000001</v>
      </c>
      <c r="FA20" s="229">
        <v>0.30209999999999998</v>
      </c>
      <c r="FB20" s="227" t="s">
        <v>568</v>
      </c>
      <c r="FC20">
        <f t="shared" si="0"/>
        <v>726</v>
      </c>
    </row>
    <row r="21" spans="1:159" ht="17.25" thickBot="1" x14ac:dyDescent="0.3">
      <c r="A21" s="226">
        <v>45869</v>
      </c>
      <c r="B21" s="227" t="s">
        <v>193</v>
      </c>
      <c r="C21" s="227" t="s">
        <v>590</v>
      </c>
      <c r="D21" s="228">
        <v>875</v>
      </c>
      <c r="E21" s="228">
        <v>0</v>
      </c>
      <c r="F21" s="228">
        <v>605.75</v>
      </c>
      <c r="G21" s="228">
        <v>628.35</v>
      </c>
      <c r="H21" s="228">
        <v>-22.6</v>
      </c>
      <c r="I21" s="229">
        <v>-3.5999999999999997E-2</v>
      </c>
      <c r="J21" s="228">
        <v>604.1</v>
      </c>
      <c r="K21" s="228">
        <v>625.15</v>
      </c>
      <c r="L21" s="228">
        <v>-21.05</v>
      </c>
      <c r="M21" s="229">
        <v>-3.3700000000000001E-2</v>
      </c>
      <c r="N21" s="228">
        <v>603.9</v>
      </c>
      <c r="O21" s="228">
        <v>626.15</v>
      </c>
      <c r="P21" s="228">
        <v>-22.25</v>
      </c>
      <c r="Q21" s="229">
        <v>-3.5499999999999997E-2</v>
      </c>
      <c r="R21" s="228">
        <v>605.75</v>
      </c>
      <c r="S21" s="228">
        <v>628.35</v>
      </c>
      <c r="T21" s="228">
        <v>-22.6</v>
      </c>
      <c r="U21" s="229">
        <v>-3.5999999999999997E-2</v>
      </c>
      <c r="V21" s="228">
        <v>0</v>
      </c>
      <c r="W21" s="228">
        <v>0</v>
      </c>
      <c r="X21" s="228">
        <v>0</v>
      </c>
      <c r="Y21" s="229">
        <v>0</v>
      </c>
      <c r="Z21" s="228">
        <v>1.65</v>
      </c>
      <c r="AA21" s="228">
        <v>1</v>
      </c>
      <c r="AB21" s="228">
        <v>0.65</v>
      </c>
      <c r="AC21" s="229">
        <v>2.7000000000000001E-3</v>
      </c>
      <c r="AD21" s="228">
        <v>-0.2</v>
      </c>
      <c r="AE21" s="228">
        <v>1</v>
      </c>
      <c r="AF21" s="228">
        <v>-1.2</v>
      </c>
      <c r="AG21" s="229">
        <v>-2.9999999999999997E-4</v>
      </c>
      <c r="AH21" s="228">
        <v>1.65</v>
      </c>
      <c r="AI21" s="228">
        <v>3.2</v>
      </c>
      <c r="AJ21" s="228">
        <v>-1.55</v>
      </c>
      <c r="AK21" s="229">
        <v>2.7000000000000001E-3</v>
      </c>
      <c r="AL21" s="228">
        <v>0</v>
      </c>
      <c r="AM21" s="228">
        <v>0</v>
      </c>
      <c r="AN21" s="228">
        <v>0</v>
      </c>
      <c r="AO21" s="229">
        <v>0</v>
      </c>
      <c r="AP21" s="228">
        <v>613.6</v>
      </c>
      <c r="AQ21" s="228">
        <v>615.22</v>
      </c>
      <c r="AR21" s="228">
        <v>0</v>
      </c>
      <c r="AS21" s="228">
        <v>224</v>
      </c>
      <c r="AT21" s="228">
        <v>224</v>
      </c>
      <c r="AU21" s="228">
        <v>0</v>
      </c>
      <c r="AV21" s="229">
        <v>5.0000000000000001E-4</v>
      </c>
      <c r="AW21" s="228">
        <v>109</v>
      </c>
      <c r="AX21" s="228">
        <v>114</v>
      </c>
      <c r="AY21" s="228">
        <v>-5</v>
      </c>
      <c r="AZ21" s="229">
        <v>-4.7800000000000002E-2</v>
      </c>
      <c r="BA21" s="228">
        <v>115</v>
      </c>
      <c r="BB21" s="228">
        <v>109</v>
      </c>
      <c r="BC21" s="228">
        <v>6</v>
      </c>
      <c r="BD21" s="229">
        <v>5.0799999999999998E-2</v>
      </c>
      <c r="BE21" s="228">
        <v>0</v>
      </c>
      <c r="BF21" s="228">
        <v>0</v>
      </c>
      <c r="BG21" s="228">
        <v>0</v>
      </c>
      <c r="BH21" s="229">
        <v>0</v>
      </c>
      <c r="BI21" s="228">
        <v>77</v>
      </c>
      <c r="BJ21" s="228">
        <v>110</v>
      </c>
      <c r="BK21" s="228">
        <v>-33</v>
      </c>
      <c r="BL21" s="229">
        <v>-0.3014</v>
      </c>
      <c r="BM21" s="228">
        <v>69</v>
      </c>
      <c r="BN21" s="228">
        <v>35</v>
      </c>
      <c r="BO21" s="228">
        <v>34</v>
      </c>
      <c r="BP21" s="229">
        <v>0.97130000000000005</v>
      </c>
      <c r="BQ21" s="228">
        <v>370</v>
      </c>
      <c r="BR21" s="228">
        <v>368</v>
      </c>
      <c r="BS21" s="228">
        <v>1</v>
      </c>
      <c r="BT21" s="229">
        <v>3.2000000000000002E-3</v>
      </c>
      <c r="BU21" s="230">
        <v>1099715</v>
      </c>
      <c r="BV21" s="230">
        <v>396864</v>
      </c>
      <c r="BW21" s="230">
        <v>702851</v>
      </c>
      <c r="BX21" s="229">
        <v>1.7709999999999999</v>
      </c>
      <c r="BY21" s="228">
        <v>228</v>
      </c>
      <c r="BZ21" s="228">
        <v>309</v>
      </c>
      <c r="CA21" s="228">
        <v>-81</v>
      </c>
      <c r="CB21" s="229">
        <v>-0.2631</v>
      </c>
      <c r="CC21" s="228">
        <v>49</v>
      </c>
      <c r="CD21" s="228">
        <v>99</v>
      </c>
      <c r="CE21" s="228">
        <v>-50</v>
      </c>
      <c r="CF21" s="229">
        <v>-0.50480000000000003</v>
      </c>
      <c r="CG21" s="228">
        <v>228</v>
      </c>
      <c r="CH21" s="228">
        <v>210</v>
      </c>
      <c r="CI21" s="228">
        <v>18</v>
      </c>
      <c r="CJ21" s="229">
        <v>8.48E-2</v>
      </c>
      <c r="CK21" s="228">
        <v>0</v>
      </c>
      <c r="CL21" s="228">
        <v>0</v>
      </c>
      <c r="CM21" s="228">
        <v>0</v>
      </c>
      <c r="CN21" s="229">
        <v>0</v>
      </c>
      <c r="CO21" s="228">
        <v>46</v>
      </c>
      <c r="CP21" s="228">
        <v>189</v>
      </c>
      <c r="CQ21" s="228">
        <v>-143</v>
      </c>
      <c r="CR21" s="229">
        <v>-0.7581</v>
      </c>
      <c r="CS21" s="228">
        <v>36</v>
      </c>
      <c r="CT21" s="228">
        <v>98</v>
      </c>
      <c r="CU21" s="228">
        <v>-62</v>
      </c>
      <c r="CV21" s="229">
        <v>-0.63639999999999997</v>
      </c>
      <c r="CW21" s="228">
        <v>309</v>
      </c>
      <c r="CX21" s="228">
        <v>596</v>
      </c>
      <c r="CY21" s="228">
        <v>-287</v>
      </c>
      <c r="CZ21" s="229">
        <v>-0.48149999999999998</v>
      </c>
      <c r="DA21" s="228">
        <v>36.4</v>
      </c>
      <c r="DB21" s="228">
        <v>33.57</v>
      </c>
      <c r="DC21" s="228">
        <v>2.83</v>
      </c>
      <c r="DD21" s="228">
        <v>2.83</v>
      </c>
      <c r="DE21" s="228">
        <v>56.02</v>
      </c>
      <c r="DF21" s="228">
        <v>55.94</v>
      </c>
      <c r="DG21" s="228">
        <v>-19.62</v>
      </c>
      <c r="DH21" s="228">
        <v>0.08</v>
      </c>
      <c r="DI21" s="228">
        <v>36.29</v>
      </c>
      <c r="DJ21" s="228">
        <v>33.81</v>
      </c>
      <c r="DK21" s="228">
        <v>2.48</v>
      </c>
      <c r="DL21" s="228">
        <v>2.48</v>
      </c>
      <c r="DM21" s="228">
        <v>36.49</v>
      </c>
      <c r="DN21" s="228">
        <v>32.89</v>
      </c>
      <c r="DO21" s="228">
        <v>3.6</v>
      </c>
      <c r="DP21" s="228">
        <v>3.6</v>
      </c>
      <c r="DQ21" s="228">
        <v>0.78</v>
      </c>
      <c r="DR21" s="228">
        <v>0.52</v>
      </c>
      <c r="DS21" s="228">
        <v>0.26</v>
      </c>
      <c r="DT21" s="229">
        <v>0.5</v>
      </c>
      <c r="DU21" s="228">
        <v>700</v>
      </c>
      <c r="DV21" s="228">
        <v>600</v>
      </c>
      <c r="DW21" s="228">
        <v>0.9</v>
      </c>
      <c r="DX21" s="228">
        <v>0.32</v>
      </c>
      <c r="DY21" s="228">
        <v>0.57999999999999996</v>
      </c>
      <c r="DZ21" s="229">
        <v>1.8125</v>
      </c>
      <c r="EA21" s="229">
        <v>0.82269999999999999</v>
      </c>
      <c r="EB21" s="230">
        <v>3465000</v>
      </c>
      <c r="EC21" s="229">
        <v>3.0999999999999999E-3</v>
      </c>
      <c r="ED21" s="229">
        <v>0.82269999999999999</v>
      </c>
      <c r="EE21" s="228">
        <v>1.62</v>
      </c>
      <c r="EF21" s="229">
        <v>2.5999999999999999E-3</v>
      </c>
      <c r="EG21" s="230">
        <v>486138</v>
      </c>
      <c r="EH21" s="230">
        <v>114689</v>
      </c>
      <c r="EI21" s="229">
        <v>3.2387999999999999</v>
      </c>
      <c r="EJ21" s="229">
        <v>0.44209999999999999</v>
      </c>
      <c r="EK21" s="228">
        <v>84.39</v>
      </c>
      <c r="EL21" s="228">
        <v>72.8</v>
      </c>
      <c r="EM21" s="228">
        <v>227.09</v>
      </c>
      <c r="EN21" s="228">
        <v>0</v>
      </c>
      <c r="EO21" s="228">
        <v>384.28</v>
      </c>
      <c r="EP21" s="228">
        <v>389.16</v>
      </c>
      <c r="EQ21" s="228">
        <v>-4.88</v>
      </c>
      <c r="ER21" s="229">
        <v>-1.2500000000000001E-2</v>
      </c>
      <c r="ES21" s="228">
        <v>50.18</v>
      </c>
      <c r="ET21" s="228">
        <v>36.68</v>
      </c>
      <c r="EU21" s="228">
        <v>227.7</v>
      </c>
      <c r="EV21" s="231">
        <v>55429320</v>
      </c>
      <c r="EW21" s="228">
        <v>314.56</v>
      </c>
      <c r="EX21" s="228">
        <v>642.66999999999996</v>
      </c>
      <c r="EY21" s="228">
        <v>-328.11</v>
      </c>
      <c r="EZ21" s="229">
        <v>-0.51049999999999995</v>
      </c>
      <c r="FA21" s="229">
        <v>9.2100000000000001E-2</v>
      </c>
      <c r="FB21" s="227" t="s">
        <v>568</v>
      </c>
      <c r="FC21">
        <f t="shared" si="0"/>
        <v>179</v>
      </c>
    </row>
    <row r="22" spans="1:159" ht="17.25" thickBot="1" x14ac:dyDescent="0.3">
      <c r="A22" s="226">
        <v>45869</v>
      </c>
      <c r="B22" s="227" t="s">
        <v>172</v>
      </c>
      <c r="C22" s="227" t="s">
        <v>495</v>
      </c>
      <c r="D22" s="228">
        <v>1000</v>
      </c>
      <c r="E22" s="228">
        <v>0</v>
      </c>
      <c r="F22" s="228">
        <v>746.05</v>
      </c>
      <c r="G22" s="228">
        <v>750.95</v>
      </c>
      <c r="H22" s="228">
        <v>-4.9000000000000004</v>
      </c>
      <c r="I22" s="229">
        <v>-6.4999999999999997E-3</v>
      </c>
      <c r="J22" s="228">
        <v>741.5</v>
      </c>
      <c r="K22" s="228">
        <v>746.3</v>
      </c>
      <c r="L22" s="228">
        <v>-4.8</v>
      </c>
      <c r="M22" s="229">
        <v>-6.4000000000000003E-3</v>
      </c>
      <c r="N22" s="228">
        <v>742.55</v>
      </c>
      <c r="O22" s="228">
        <v>748.3</v>
      </c>
      <c r="P22" s="228">
        <v>-5.75</v>
      </c>
      <c r="Q22" s="229">
        <v>-7.7000000000000002E-3</v>
      </c>
      <c r="R22" s="228">
        <v>746.05</v>
      </c>
      <c r="S22" s="228">
        <v>750.95</v>
      </c>
      <c r="T22" s="228">
        <v>-4.9000000000000004</v>
      </c>
      <c r="U22" s="229">
        <v>-6.4999999999999997E-3</v>
      </c>
      <c r="V22" s="228">
        <v>746.25</v>
      </c>
      <c r="W22" s="228">
        <v>752.5</v>
      </c>
      <c r="X22" s="228">
        <v>-6.25</v>
      </c>
      <c r="Y22" s="229">
        <v>-8.3000000000000001E-3</v>
      </c>
      <c r="Z22" s="228">
        <v>4.55</v>
      </c>
      <c r="AA22" s="228">
        <v>2</v>
      </c>
      <c r="AB22" s="228">
        <v>2.5499999999999998</v>
      </c>
      <c r="AC22" s="229">
        <v>6.1000000000000004E-3</v>
      </c>
      <c r="AD22" s="228">
        <v>1.05</v>
      </c>
      <c r="AE22" s="228">
        <v>2</v>
      </c>
      <c r="AF22" s="228">
        <v>-0.95</v>
      </c>
      <c r="AG22" s="229">
        <v>1.4E-3</v>
      </c>
      <c r="AH22" s="228">
        <v>4.55</v>
      </c>
      <c r="AI22" s="228">
        <v>4.6500000000000004</v>
      </c>
      <c r="AJ22" s="228">
        <v>-0.1</v>
      </c>
      <c r="AK22" s="229">
        <v>6.1000000000000004E-3</v>
      </c>
      <c r="AL22" s="228">
        <v>4.75</v>
      </c>
      <c r="AM22" s="228">
        <v>6.2</v>
      </c>
      <c r="AN22" s="228">
        <v>-1.45</v>
      </c>
      <c r="AO22" s="229">
        <v>6.4000000000000003E-3</v>
      </c>
      <c r="AP22" s="228">
        <v>744.32</v>
      </c>
      <c r="AQ22" s="228">
        <v>747.95</v>
      </c>
      <c r="AR22" s="228">
        <v>0</v>
      </c>
      <c r="AS22" s="230">
        <v>1108</v>
      </c>
      <c r="AT22" s="230">
        <v>1286</v>
      </c>
      <c r="AU22" s="228">
        <v>-178</v>
      </c>
      <c r="AV22" s="229">
        <v>-0.13869999999999999</v>
      </c>
      <c r="AW22" s="228">
        <v>366</v>
      </c>
      <c r="AX22" s="228">
        <v>546</v>
      </c>
      <c r="AY22" s="228">
        <v>-180</v>
      </c>
      <c r="AZ22" s="229">
        <v>-0.32900000000000001</v>
      </c>
      <c r="BA22" s="228">
        <v>732</v>
      </c>
      <c r="BB22" s="228">
        <v>732</v>
      </c>
      <c r="BC22" s="228">
        <v>0</v>
      </c>
      <c r="BD22" s="229">
        <v>5.9999999999999995E-4</v>
      </c>
      <c r="BE22" s="228">
        <v>9</v>
      </c>
      <c r="BF22" s="228">
        <v>8</v>
      </c>
      <c r="BG22" s="228">
        <v>1</v>
      </c>
      <c r="BH22" s="229">
        <v>0.11210000000000001</v>
      </c>
      <c r="BI22" s="228">
        <v>695</v>
      </c>
      <c r="BJ22" s="230">
        <v>1199</v>
      </c>
      <c r="BK22" s="228">
        <v>-503</v>
      </c>
      <c r="BL22" s="229">
        <v>-0.4199</v>
      </c>
      <c r="BM22" s="228">
        <v>346</v>
      </c>
      <c r="BN22" s="228">
        <v>579</v>
      </c>
      <c r="BO22" s="228">
        <v>-234</v>
      </c>
      <c r="BP22" s="229">
        <v>-0.40339999999999998</v>
      </c>
      <c r="BQ22" s="230">
        <v>2148</v>
      </c>
      <c r="BR22" s="230">
        <v>3064</v>
      </c>
      <c r="BS22" s="228">
        <v>-915</v>
      </c>
      <c r="BT22" s="229">
        <v>-0.29880000000000001</v>
      </c>
      <c r="BU22" s="230">
        <v>4771252</v>
      </c>
      <c r="BV22" s="230">
        <v>3090660</v>
      </c>
      <c r="BW22" s="230">
        <v>1680592</v>
      </c>
      <c r="BX22" s="229">
        <v>0.54379999999999995</v>
      </c>
      <c r="BY22" s="230">
        <v>1407</v>
      </c>
      <c r="BZ22" s="230">
        <v>1415</v>
      </c>
      <c r="CA22" s="228">
        <v>-8</v>
      </c>
      <c r="CB22" s="229">
        <v>-5.4999999999999997E-3</v>
      </c>
      <c r="CC22" s="228">
        <v>59</v>
      </c>
      <c r="CD22" s="228">
        <v>246</v>
      </c>
      <c r="CE22" s="228">
        <v>-186</v>
      </c>
      <c r="CF22" s="229">
        <v>-0.75819999999999999</v>
      </c>
      <c r="CG22" s="230">
        <v>1389</v>
      </c>
      <c r="CH22" s="230">
        <v>1151</v>
      </c>
      <c r="CI22" s="228">
        <v>237</v>
      </c>
      <c r="CJ22" s="229">
        <v>0.20610000000000001</v>
      </c>
      <c r="CK22" s="228">
        <v>19</v>
      </c>
      <c r="CL22" s="228">
        <v>18</v>
      </c>
      <c r="CM22" s="228">
        <v>1</v>
      </c>
      <c r="CN22" s="229">
        <v>2.87E-2</v>
      </c>
      <c r="CO22" s="228">
        <v>226</v>
      </c>
      <c r="CP22" s="228">
        <v>655</v>
      </c>
      <c r="CQ22" s="228">
        <v>-429</v>
      </c>
      <c r="CR22" s="229">
        <v>-0.65490000000000004</v>
      </c>
      <c r="CS22" s="228">
        <v>197</v>
      </c>
      <c r="CT22" s="228">
        <v>404</v>
      </c>
      <c r="CU22" s="228">
        <v>-207</v>
      </c>
      <c r="CV22" s="229">
        <v>-0.51139999999999997</v>
      </c>
      <c r="CW22" s="230">
        <v>1831</v>
      </c>
      <c r="CX22" s="230">
        <v>2475</v>
      </c>
      <c r="CY22" s="228">
        <v>-644</v>
      </c>
      <c r="CZ22" s="229">
        <v>-0.2601</v>
      </c>
      <c r="DA22" s="228">
        <v>28.97</v>
      </c>
      <c r="DB22" s="228">
        <v>27.98</v>
      </c>
      <c r="DC22" s="228">
        <v>0.99</v>
      </c>
      <c r="DD22" s="228">
        <v>0.99</v>
      </c>
      <c r="DE22" s="228">
        <v>38.44</v>
      </c>
      <c r="DF22" s="228">
        <v>38.520000000000003</v>
      </c>
      <c r="DG22" s="228">
        <v>-9.4700000000000006</v>
      </c>
      <c r="DH22" s="228">
        <v>-0.08</v>
      </c>
      <c r="DI22" s="228">
        <v>28.87</v>
      </c>
      <c r="DJ22" s="228">
        <v>28.02</v>
      </c>
      <c r="DK22" s="228">
        <v>0.85</v>
      </c>
      <c r="DL22" s="228">
        <v>0.85</v>
      </c>
      <c r="DM22" s="228">
        <v>29.16</v>
      </c>
      <c r="DN22" s="228">
        <v>27.9</v>
      </c>
      <c r="DO22" s="228">
        <v>1.26</v>
      </c>
      <c r="DP22" s="228">
        <v>1.26</v>
      </c>
      <c r="DQ22" s="228">
        <v>0.87</v>
      </c>
      <c r="DR22" s="228">
        <v>0.62</v>
      </c>
      <c r="DS22" s="228">
        <v>0.25</v>
      </c>
      <c r="DT22" s="229">
        <v>0.4032</v>
      </c>
      <c r="DU22" s="228">
        <v>750</v>
      </c>
      <c r="DV22" s="228">
        <v>750</v>
      </c>
      <c r="DW22" s="228">
        <v>0.5</v>
      </c>
      <c r="DX22" s="228">
        <v>0.48</v>
      </c>
      <c r="DY22" s="228">
        <v>0.02</v>
      </c>
      <c r="DZ22" s="229">
        <v>4.1700000000000001E-2</v>
      </c>
      <c r="EA22" s="229">
        <v>0.95950000000000002</v>
      </c>
      <c r="EB22" s="230">
        <v>15678000</v>
      </c>
      <c r="EC22" s="229">
        <v>4.7000000000000002E-3</v>
      </c>
      <c r="ED22" s="229">
        <v>0.95950000000000002</v>
      </c>
      <c r="EE22" s="228">
        <v>3.63</v>
      </c>
      <c r="EF22" s="229">
        <v>4.8999999999999998E-3</v>
      </c>
      <c r="EG22" s="230">
        <v>3180642</v>
      </c>
      <c r="EH22" s="230">
        <v>1813057</v>
      </c>
      <c r="EI22" s="229">
        <v>0.75429999999999997</v>
      </c>
      <c r="EJ22" s="229">
        <v>0.66659999999999997</v>
      </c>
      <c r="EK22" s="228">
        <v>719.59</v>
      </c>
      <c r="EL22" s="228">
        <v>346.87</v>
      </c>
      <c r="EM22" s="231">
        <v>1108.6400000000001</v>
      </c>
      <c r="EN22" s="228">
        <v>0</v>
      </c>
      <c r="EO22" s="231">
        <v>2175.1</v>
      </c>
      <c r="EP22" s="231">
        <v>3118.68</v>
      </c>
      <c r="EQ22" s="228">
        <v>-943.58</v>
      </c>
      <c r="ER22" s="229">
        <v>-0.30259999999999998</v>
      </c>
      <c r="ES22" s="228">
        <v>235.95</v>
      </c>
      <c r="ET22" s="228">
        <v>193.13</v>
      </c>
      <c r="EU22" s="231">
        <v>1407.5</v>
      </c>
      <c r="EV22" s="231">
        <v>114846423</v>
      </c>
      <c r="EW22" s="231">
        <v>1836.58</v>
      </c>
      <c r="EX22" s="231">
        <v>2528.7800000000002</v>
      </c>
      <c r="EY22" s="228">
        <v>-692.2</v>
      </c>
      <c r="EZ22" s="229">
        <v>-0.2737</v>
      </c>
      <c r="FA22" s="229">
        <v>0.2137</v>
      </c>
      <c r="FB22" s="227" t="s">
        <v>568</v>
      </c>
      <c r="FC22">
        <f t="shared" si="0"/>
        <v>1348</v>
      </c>
    </row>
    <row r="23" spans="1:159" ht="17.25" thickBot="1" x14ac:dyDescent="0.3">
      <c r="A23" s="226">
        <v>45869</v>
      </c>
      <c r="B23" s="227" t="s">
        <v>170</v>
      </c>
      <c r="C23" s="227" t="s">
        <v>171</v>
      </c>
      <c r="D23" s="228">
        <v>550</v>
      </c>
      <c r="E23" s="228">
        <v>0</v>
      </c>
      <c r="F23" s="231">
        <v>1145.9000000000001</v>
      </c>
      <c r="G23" s="231">
        <v>1161.5</v>
      </c>
      <c r="H23" s="228">
        <v>-15.6</v>
      </c>
      <c r="I23" s="229">
        <v>-1.34E-2</v>
      </c>
      <c r="J23" s="231">
        <v>1139.8</v>
      </c>
      <c r="K23" s="231">
        <v>1158</v>
      </c>
      <c r="L23" s="228">
        <v>-18.2</v>
      </c>
      <c r="M23" s="229">
        <v>-1.5699999999999999E-2</v>
      </c>
      <c r="N23" s="231">
        <v>1143.5999999999999</v>
      </c>
      <c r="O23" s="231">
        <v>1157.3</v>
      </c>
      <c r="P23" s="228">
        <v>-13.7</v>
      </c>
      <c r="Q23" s="229">
        <v>-1.18E-2</v>
      </c>
      <c r="R23" s="231">
        <v>1145.9000000000001</v>
      </c>
      <c r="S23" s="231">
        <v>1161.5</v>
      </c>
      <c r="T23" s="228">
        <v>-15.6</v>
      </c>
      <c r="U23" s="229">
        <v>-1.34E-2</v>
      </c>
      <c r="V23" s="231">
        <v>1150.9000000000001</v>
      </c>
      <c r="W23" s="231">
        <v>1167.2</v>
      </c>
      <c r="X23" s="228">
        <v>-16.3</v>
      </c>
      <c r="Y23" s="229">
        <v>-1.4E-2</v>
      </c>
      <c r="Z23" s="228">
        <v>6.1</v>
      </c>
      <c r="AA23" s="228">
        <v>-0.7</v>
      </c>
      <c r="AB23" s="228">
        <v>6.8</v>
      </c>
      <c r="AC23" s="229">
        <v>5.4000000000000003E-3</v>
      </c>
      <c r="AD23" s="228">
        <v>3.8</v>
      </c>
      <c r="AE23" s="228">
        <v>-0.7</v>
      </c>
      <c r="AF23" s="228">
        <v>4.5</v>
      </c>
      <c r="AG23" s="229">
        <v>3.3E-3</v>
      </c>
      <c r="AH23" s="228">
        <v>6.1</v>
      </c>
      <c r="AI23" s="228">
        <v>3.5</v>
      </c>
      <c r="AJ23" s="228">
        <v>2.6</v>
      </c>
      <c r="AK23" s="229">
        <v>5.4000000000000003E-3</v>
      </c>
      <c r="AL23" s="228">
        <v>11.1</v>
      </c>
      <c r="AM23" s="228">
        <v>9.1999999999999993</v>
      </c>
      <c r="AN23" s="228">
        <v>1.9</v>
      </c>
      <c r="AO23" s="229">
        <v>9.7000000000000003E-3</v>
      </c>
      <c r="AP23" s="231">
        <v>1153.49</v>
      </c>
      <c r="AQ23" s="231">
        <v>1158.17</v>
      </c>
      <c r="AR23" s="228">
        <v>0</v>
      </c>
      <c r="AS23" s="230">
        <v>1155</v>
      </c>
      <c r="AT23" s="228">
        <v>764</v>
      </c>
      <c r="AU23" s="228">
        <v>391</v>
      </c>
      <c r="AV23" s="229">
        <v>0.51119999999999999</v>
      </c>
      <c r="AW23" s="228">
        <v>453</v>
      </c>
      <c r="AX23" s="228">
        <v>389</v>
      </c>
      <c r="AY23" s="228">
        <v>64</v>
      </c>
      <c r="AZ23" s="229">
        <v>0.1646</v>
      </c>
      <c r="BA23" s="228">
        <v>695</v>
      </c>
      <c r="BB23" s="228">
        <v>373</v>
      </c>
      <c r="BC23" s="228">
        <v>322</v>
      </c>
      <c r="BD23" s="229">
        <v>0.86339999999999995</v>
      </c>
      <c r="BE23" s="228">
        <v>7</v>
      </c>
      <c r="BF23" s="228">
        <v>2</v>
      </c>
      <c r="BG23" s="228">
        <v>5</v>
      </c>
      <c r="BH23" s="229">
        <v>2.0263</v>
      </c>
      <c r="BI23" s="228">
        <v>862</v>
      </c>
      <c r="BJ23" s="228">
        <v>286</v>
      </c>
      <c r="BK23" s="228">
        <v>576</v>
      </c>
      <c r="BL23" s="229">
        <v>2.0103</v>
      </c>
      <c r="BM23" s="228">
        <v>495</v>
      </c>
      <c r="BN23" s="228">
        <v>243</v>
      </c>
      <c r="BO23" s="228">
        <v>253</v>
      </c>
      <c r="BP23" s="229">
        <v>1.0412999999999999</v>
      </c>
      <c r="BQ23" s="230">
        <v>2512</v>
      </c>
      <c r="BR23" s="230">
        <v>1293</v>
      </c>
      <c r="BS23" s="230">
        <v>1219</v>
      </c>
      <c r="BT23" s="229">
        <v>0.9425</v>
      </c>
      <c r="BU23" s="230">
        <v>5537589</v>
      </c>
      <c r="BV23" s="230">
        <v>703859</v>
      </c>
      <c r="BW23" s="230">
        <v>4833730</v>
      </c>
      <c r="BX23" s="229">
        <v>6.8674999999999997</v>
      </c>
      <c r="BY23" s="230">
        <v>2129</v>
      </c>
      <c r="BZ23" s="230">
        <v>2336</v>
      </c>
      <c r="CA23" s="228">
        <v>-207</v>
      </c>
      <c r="CB23" s="229">
        <v>-8.8700000000000001E-2</v>
      </c>
      <c r="CC23" s="228">
        <v>224</v>
      </c>
      <c r="CD23" s="228">
        <v>411</v>
      </c>
      <c r="CE23" s="228">
        <v>-187</v>
      </c>
      <c r="CF23" s="229">
        <v>-0.45550000000000002</v>
      </c>
      <c r="CG23" s="230">
        <v>2119</v>
      </c>
      <c r="CH23" s="230">
        <v>1918</v>
      </c>
      <c r="CI23" s="228">
        <v>201</v>
      </c>
      <c r="CJ23" s="229">
        <v>0.1048</v>
      </c>
      <c r="CK23" s="228">
        <v>10</v>
      </c>
      <c r="CL23" s="228">
        <v>8</v>
      </c>
      <c r="CM23" s="228">
        <v>2</v>
      </c>
      <c r="CN23" s="229">
        <v>0.30330000000000001</v>
      </c>
      <c r="CO23" s="228">
        <v>157</v>
      </c>
      <c r="CP23" s="228">
        <v>400</v>
      </c>
      <c r="CQ23" s="228">
        <v>-243</v>
      </c>
      <c r="CR23" s="229">
        <v>-0.60750000000000004</v>
      </c>
      <c r="CS23" s="228">
        <v>180</v>
      </c>
      <c r="CT23" s="228">
        <v>337</v>
      </c>
      <c r="CU23" s="228">
        <v>-157</v>
      </c>
      <c r="CV23" s="229">
        <v>-0.4662</v>
      </c>
      <c r="CW23" s="230">
        <v>2466</v>
      </c>
      <c r="CX23" s="230">
        <v>3074</v>
      </c>
      <c r="CY23" s="228">
        <v>-608</v>
      </c>
      <c r="CZ23" s="229">
        <v>-0.19769999999999999</v>
      </c>
      <c r="DA23" s="228">
        <v>33.94</v>
      </c>
      <c r="DB23" s="228">
        <v>34.93</v>
      </c>
      <c r="DC23" s="228">
        <v>-0.99</v>
      </c>
      <c r="DD23" s="228">
        <v>-0.99</v>
      </c>
      <c r="DE23" s="228">
        <v>35.19</v>
      </c>
      <c r="DF23" s="228">
        <v>35.24</v>
      </c>
      <c r="DG23" s="228">
        <v>-1.25</v>
      </c>
      <c r="DH23" s="228">
        <v>-0.05</v>
      </c>
      <c r="DI23" s="228">
        <v>33.049999999999997</v>
      </c>
      <c r="DJ23" s="228">
        <v>32.14</v>
      </c>
      <c r="DK23" s="228">
        <v>0.91</v>
      </c>
      <c r="DL23" s="228">
        <v>0.91</v>
      </c>
      <c r="DM23" s="228">
        <v>35.39</v>
      </c>
      <c r="DN23" s="228">
        <v>36.409999999999997</v>
      </c>
      <c r="DO23" s="228">
        <v>-1.02</v>
      </c>
      <c r="DP23" s="228">
        <v>-1.02</v>
      </c>
      <c r="DQ23" s="228">
        <v>1.1499999999999999</v>
      </c>
      <c r="DR23" s="228">
        <v>0.84</v>
      </c>
      <c r="DS23" s="228">
        <v>0.31</v>
      </c>
      <c r="DT23" s="229">
        <v>0.36899999999999999</v>
      </c>
      <c r="DU23" s="231">
        <v>1200</v>
      </c>
      <c r="DV23" s="231">
        <v>1000</v>
      </c>
      <c r="DW23" s="228">
        <v>0.56999999999999995</v>
      </c>
      <c r="DX23" s="228">
        <v>0.85</v>
      </c>
      <c r="DY23" s="228">
        <v>-0.28000000000000003</v>
      </c>
      <c r="DZ23" s="229">
        <v>-0.32940000000000003</v>
      </c>
      <c r="EA23" s="229">
        <v>0.90500000000000003</v>
      </c>
      <c r="EB23" s="230">
        <v>16805250</v>
      </c>
      <c r="EC23" s="229">
        <v>2E-3</v>
      </c>
      <c r="ED23" s="229">
        <v>0.90500000000000003</v>
      </c>
      <c r="EE23" s="228">
        <v>4.68</v>
      </c>
      <c r="EF23" s="229">
        <v>4.1000000000000003E-3</v>
      </c>
      <c r="EG23" s="230">
        <v>3545148</v>
      </c>
      <c r="EH23" s="230">
        <v>356966</v>
      </c>
      <c r="EI23" s="229">
        <v>8.9313000000000002</v>
      </c>
      <c r="EJ23" s="229">
        <v>0.64019999999999999</v>
      </c>
      <c r="EK23" s="228">
        <v>912.65</v>
      </c>
      <c r="EL23" s="228">
        <v>482.88</v>
      </c>
      <c r="EM23" s="231">
        <v>1165.8599999999999</v>
      </c>
      <c r="EN23" s="228">
        <v>0</v>
      </c>
      <c r="EO23" s="231">
        <v>2561.39</v>
      </c>
      <c r="EP23" s="231">
        <v>1302.75</v>
      </c>
      <c r="EQ23" s="231">
        <v>1258.6400000000001</v>
      </c>
      <c r="ER23" s="229">
        <v>0.96609999999999996</v>
      </c>
      <c r="ES23" s="228">
        <v>163.51</v>
      </c>
      <c r="ET23" s="228">
        <v>173.03</v>
      </c>
      <c r="EU23" s="231">
        <v>2129.0700000000002</v>
      </c>
      <c r="EV23" s="231">
        <v>55970580</v>
      </c>
      <c r="EW23" s="231">
        <v>2465.61</v>
      </c>
      <c r="EX23" s="231">
        <v>3106.97</v>
      </c>
      <c r="EY23" s="228">
        <v>-641.36</v>
      </c>
      <c r="EZ23" s="229">
        <v>-0.2064</v>
      </c>
      <c r="FA23" s="229">
        <v>0.38450000000000001</v>
      </c>
      <c r="FB23" s="227" t="s">
        <v>568</v>
      </c>
      <c r="FC23">
        <f t="shared" si="0"/>
        <v>1905</v>
      </c>
    </row>
    <row r="24" spans="1:159" ht="17.25" thickBot="1" x14ac:dyDescent="0.3">
      <c r="A24" s="226">
        <v>45869</v>
      </c>
      <c r="B24" s="227" t="s">
        <v>172</v>
      </c>
      <c r="C24" s="227" t="s">
        <v>173</v>
      </c>
      <c r="D24" s="228">
        <v>625</v>
      </c>
      <c r="E24" s="228">
        <v>0</v>
      </c>
      <c r="F24" s="231">
        <v>1074.4000000000001</v>
      </c>
      <c r="G24" s="231">
        <v>1079.7</v>
      </c>
      <c r="H24" s="228">
        <v>-5.3</v>
      </c>
      <c r="I24" s="229">
        <v>-4.8999999999999998E-3</v>
      </c>
      <c r="J24" s="231">
        <v>1068.4000000000001</v>
      </c>
      <c r="K24" s="231">
        <v>1073.3</v>
      </c>
      <c r="L24" s="228">
        <v>-4.9000000000000004</v>
      </c>
      <c r="M24" s="229">
        <v>-4.5999999999999999E-3</v>
      </c>
      <c r="N24" s="231">
        <v>1068.9000000000001</v>
      </c>
      <c r="O24" s="231">
        <v>1073.9000000000001</v>
      </c>
      <c r="P24" s="228">
        <v>-5</v>
      </c>
      <c r="Q24" s="229">
        <v>-4.7000000000000002E-3</v>
      </c>
      <c r="R24" s="231">
        <v>1074.4000000000001</v>
      </c>
      <c r="S24" s="231">
        <v>1079.7</v>
      </c>
      <c r="T24" s="228">
        <v>-5.3</v>
      </c>
      <c r="U24" s="229">
        <v>-4.8999999999999998E-3</v>
      </c>
      <c r="V24" s="231">
        <v>1081</v>
      </c>
      <c r="W24" s="231">
        <v>1085.8</v>
      </c>
      <c r="X24" s="228">
        <v>-4.8</v>
      </c>
      <c r="Y24" s="229">
        <v>-4.4000000000000003E-3</v>
      </c>
      <c r="Z24" s="228">
        <v>6</v>
      </c>
      <c r="AA24" s="228">
        <v>0.6</v>
      </c>
      <c r="AB24" s="228">
        <v>5.4</v>
      </c>
      <c r="AC24" s="229">
        <v>5.5999999999999999E-3</v>
      </c>
      <c r="AD24" s="228">
        <v>0.5</v>
      </c>
      <c r="AE24" s="228">
        <v>0.6</v>
      </c>
      <c r="AF24" s="228">
        <v>-0.1</v>
      </c>
      <c r="AG24" s="229">
        <v>5.0000000000000001E-4</v>
      </c>
      <c r="AH24" s="228">
        <v>6</v>
      </c>
      <c r="AI24" s="228">
        <v>6.4</v>
      </c>
      <c r="AJ24" s="228">
        <v>-0.4</v>
      </c>
      <c r="AK24" s="229">
        <v>5.5999999999999999E-3</v>
      </c>
      <c r="AL24" s="228">
        <v>12.6</v>
      </c>
      <c r="AM24" s="228">
        <v>12.5</v>
      </c>
      <c r="AN24" s="228">
        <v>0.1</v>
      </c>
      <c r="AO24" s="229">
        <v>1.18E-2</v>
      </c>
      <c r="AP24" s="231">
        <v>1072.46</v>
      </c>
      <c r="AQ24" s="231">
        <v>1077.95</v>
      </c>
      <c r="AR24" s="228">
        <v>0</v>
      </c>
      <c r="AS24" s="230">
        <v>3159</v>
      </c>
      <c r="AT24" s="230">
        <v>4084</v>
      </c>
      <c r="AU24" s="228">
        <v>-925</v>
      </c>
      <c r="AV24" s="229">
        <v>-0.22650000000000001</v>
      </c>
      <c r="AW24" s="230">
        <v>1176</v>
      </c>
      <c r="AX24" s="230">
        <v>1889</v>
      </c>
      <c r="AY24" s="228">
        <v>-713</v>
      </c>
      <c r="AZ24" s="229">
        <v>-0.37759999999999999</v>
      </c>
      <c r="BA24" s="230">
        <v>1946</v>
      </c>
      <c r="BB24" s="230">
        <v>2173</v>
      </c>
      <c r="BC24" s="228">
        <v>-226</v>
      </c>
      <c r="BD24" s="229">
        <v>-0.1042</v>
      </c>
      <c r="BE24" s="228">
        <v>37</v>
      </c>
      <c r="BF24" s="228">
        <v>22</v>
      </c>
      <c r="BG24" s="228">
        <v>15</v>
      </c>
      <c r="BH24" s="229">
        <v>0.66869999999999996</v>
      </c>
      <c r="BI24" s="230">
        <v>2510</v>
      </c>
      <c r="BJ24" s="230">
        <v>3578</v>
      </c>
      <c r="BK24" s="230">
        <v>-1068</v>
      </c>
      <c r="BL24" s="229">
        <v>-0.29849999999999999</v>
      </c>
      <c r="BM24" s="230">
        <v>1592</v>
      </c>
      <c r="BN24" s="230">
        <v>1811</v>
      </c>
      <c r="BO24" s="228">
        <v>-220</v>
      </c>
      <c r="BP24" s="229">
        <v>-0.12139999999999999</v>
      </c>
      <c r="BQ24" s="230">
        <v>7261</v>
      </c>
      <c r="BR24" s="230">
        <v>9473</v>
      </c>
      <c r="BS24" s="230">
        <v>-2213</v>
      </c>
      <c r="BT24" s="229">
        <v>-0.2336</v>
      </c>
      <c r="BU24" s="230">
        <v>7679394</v>
      </c>
      <c r="BV24" s="230">
        <v>8332598</v>
      </c>
      <c r="BW24" s="230">
        <v>-653204</v>
      </c>
      <c r="BX24" s="229">
        <v>-7.8399999999999997E-2</v>
      </c>
      <c r="BY24" s="230">
        <v>10435</v>
      </c>
      <c r="BZ24" s="230">
        <v>10441</v>
      </c>
      <c r="CA24" s="228">
        <v>-7</v>
      </c>
      <c r="CB24" s="229">
        <v>-6.9999999999999999E-4</v>
      </c>
      <c r="CC24" s="228">
        <v>353</v>
      </c>
      <c r="CD24" s="230">
        <v>1106</v>
      </c>
      <c r="CE24" s="228">
        <v>-753</v>
      </c>
      <c r="CF24" s="229">
        <v>-0.68089999999999995</v>
      </c>
      <c r="CG24" s="230">
        <v>10291</v>
      </c>
      <c r="CH24" s="230">
        <v>9206</v>
      </c>
      <c r="CI24" s="230">
        <v>1084</v>
      </c>
      <c r="CJ24" s="229">
        <v>0.1178</v>
      </c>
      <c r="CK24" s="228">
        <v>144</v>
      </c>
      <c r="CL24" s="228">
        <v>129</v>
      </c>
      <c r="CM24" s="228">
        <v>15</v>
      </c>
      <c r="CN24" s="229">
        <v>0.1152</v>
      </c>
      <c r="CO24" s="230">
        <v>1464</v>
      </c>
      <c r="CP24" s="230">
        <v>4814</v>
      </c>
      <c r="CQ24" s="230">
        <v>-3350</v>
      </c>
      <c r="CR24" s="229">
        <v>-0.69579999999999997</v>
      </c>
      <c r="CS24" s="228">
        <v>880</v>
      </c>
      <c r="CT24" s="230">
        <v>1909</v>
      </c>
      <c r="CU24" s="230">
        <v>-1029</v>
      </c>
      <c r="CV24" s="229">
        <v>-0.53900000000000003</v>
      </c>
      <c r="CW24" s="230">
        <v>12779</v>
      </c>
      <c r="CX24" s="230">
        <v>17164</v>
      </c>
      <c r="CY24" s="230">
        <v>-4385</v>
      </c>
      <c r="CZ24" s="229">
        <v>-0.2555</v>
      </c>
      <c r="DA24" s="228">
        <v>20.32</v>
      </c>
      <c r="DB24" s="228">
        <v>21.09</v>
      </c>
      <c r="DC24" s="228">
        <v>-0.77</v>
      </c>
      <c r="DD24" s="228">
        <v>-0.77</v>
      </c>
      <c r="DE24" s="228">
        <v>28.17</v>
      </c>
      <c r="DF24" s="228">
        <v>28.24</v>
      </c>
      <c r="DG24" s="228">
        <v>-7.85</v>
      </c>
      <c r="DH24" s="228">
        <v>-7.0000000000000007E-2</v>
      </c>
      <c r="DI24" s="228">
        <v>20.64</v>
      </c>
      <c r="DJ24" s="228">
        <v>21.24</v>
      </c>
      <c r="DK24" s="228">
        <v>-0.6</v>
      </c>
      <c r="DL24" s="228">
        <v>-0.6</v>
      </c>
      <c r="DM24" s="228">
        <v>19.739999999999998</v>
      </c>
      <c r="DN24" s="228">
        <v>20.72</v>
      </c>
      <c r="DO24" s="228">
        <v>-0.98</v>
      </c>
      <c r="DP24" s="228">
        <v>-0.98</v>
      </c>
      <c r="DQ24" s="228">
        <v>0.6</v>
      </c>
      <c r="DR24" s="228">
        <v>0.4</v>
      </c>
      <c r="DS24" s="228">
        <v>0.2</v>
      </c>
      <c r="DT24" s="229">
        <v>0.5</v>
      </c>
      <c r="DU24" s="231">
        <v>1200</v>
      </c>
      <c r="DV24" s="231">
        <v>1100</v>
      </c>
      <c r="DW24" s="228">
        <v>0.63</v>
      </c>
      <c r="DX24" s="228">
        <v>0.51</v>
      </c>
      <c r="DY24" s="228">
        <v>0.12</v>
      </c>
      <c r="DZ24" s="229">
        <v>0.23530000000000001</v>
      </c>
      <c r="EA24" s="229">
        <v>0.96730000000000005</v>
      </c>
      <c r="EB24" s="230">
        <v>86887500</v>
      </c>
      <c r="EC24" s="229">
        <v>5.1000000000000004E-3</v>
      </c>
      <c r="ED24" s="229">
        <v>0.96730000000000005</v>
      </c>
      <c r="EE24" s="228">
        <v>5.49</v>
      </c>
      <c r="EF24" s="229">
        <v>5.1000000000000004E-3</v>
      </c>
      <c r="EG24" s="230">
        <v>4772787</v>
      </c>
      <c r="EH24" s="230">
        <v>6056551</v>
      </c>
      <c r="EI24" s="229">
        <v>-0.21199999999999999</v>
      </c>
      <c r="EJ24" s="229">
        <v>0.62150000000000005</v>
      </c>
      <c r="EK24" s="231">
        <v>2621.62</v>
      </c>
      <c r="EL24" s="231">
        <v>1626.25</v>
      </c>
      <c r="EM24" s="231">
        <v>3163.49</v>
      </c>
      <c r="EN24" s="228">
        <v>0</v>
      </c>
      <c r="EO24" s="231">
        <v>7411.36</v>
      </c>
      <c r="EP24" s="231">
        <v>9651.51</v>
      </c>
      <c r="EQ24" s="231">
        <v>-2240.15</v>
      </c>
      <c r="ER24" s="229">
        <v>-0.2321</v>
      </c>
      <c r="ES24" s="231">
        <v>1565.7</v>
      </c>
      <c r="ET24" s="228">
        <v>880.97</v>
      </c>
      <c r="EU24" s="231">
        <v>10435.39</v>
      </c>
      <c r="EV24" s="231">
        <v>549885930</v>
      </c>
      <c r="EW24" s="231">
        <v>12882.06</v>
      </c>
      <c r="EX24" s="231">
        <v>17714.02</v>
      </c>
      <c r="EY24" s="231">
        <v>-4831.96</v>
      </c>
      <c r="EZ24" s="229">
        <v>-0.27279999999999999</v>
      </c>
      <c r="FA24" s="229">
        <v>0.21629999999999999</v>
      </c>
      <c r="FB24" s="227" t="s">
        <v>568</v>
      </c>
      <c r="FC24">
        <f t="shared" si="0"/>
        <v>10082</v>
      </c>
    </row>
    <row r="25" spans="1:159" ht="17.25" thickBot="1" x14ac:dyDescent="0.3">
      <c r="A25" s="226">
        <v>45869</v>
      </c>
      <c r="B25" s="227" t="s">
        <v>162</v>
      </c>
      <c r="C25" s="227" t="s">
        <v>174</v>
      </c>
      <c r="D25" s="228">
        <v>75</v>
      </c>
      <c r="E25" s="228">
        <v>0</v>
      </c>
      <c r="F25" s="231">
        <v>8051</v>
      </c>
      <c r="G25" s="231">
        <v>8087</v>
      </c>
      <c r="H25" s="228">
        <v>-36</v>
      </c>
      <c r="I25" s="229">
        <v>-4.4999999999999997E-3</v>
      </c>
      <c r="J25" s="231">
        <v>8008</v>
      </c>
      <c r="K25" s="231">
        <v>8043.5</v>
      </c>
      <c r="L25" s="228">
        <v>-35.5</v>
      </c>
      <c r="M25" s="229">
        <v>-4.4000000000000003E-3</v>
      </c>
      <c r="N25" s="231">
        <v>8002</v>
      </c>
      <c r="O25" s="231">
        <v>8056</v>
      </c>
      <c r="P25" s="228">
        <v>-54</v>
      </c>
      <c r="Q25" s="229">
        <v>-6.7000000000000002E-3</v>
      </c>
      <c r="R25" s="231">
        <v>8051</v>
      </c>
      <c r="S25" s="231">
        <v>8087</v>
      </c>
      <c r="T25" s="228">
        <v>-36</v>
      </c>
      <c r="U25" s="229">
        <v>-4.4999999999999997E-3</v>
      </c>
      <c r="V25" s="231">
        <v>8096</v>
      </c>
      <c r="W25" s="231">
        <v>8138</v>
      </c>
      <c r="X25" s="228">
        <v>-42</v>
      </c>
      <c r="Y25" s="229">
        <v>-5.1999999999999998E-3</v>
      </c>
      <c r="Z25" s="228">
        <v>43</v>
      </c>
      <c r="AA25" s="228">
        <v>12.5</v>
      </c>
      <c r="AB25" s="228">
        <v>30.5</v>
      </c>
      <c r="AC25" s="229">
        <v>5.4000000000000003E-3</v>
      </c>
      <c r="AD25" s="228">
        <v>-6</v>
      </c>
      <c r="AE25" s="228">
        <v>12.5</v>
      </c>
      <c r="AF25" s="228">
        <v>-18.5</v>
      </c>
      <c r="AG25" s="229">
        <v>-6.9999999999999999E-4</v>
      </c>
      <c r="AH25" s="228">
        <v>43</v>
      </c>
      <c r="AI25" s="228">
        <v>43.5</v>
      </c>
      <c r="AJ25" s="228">
        <v>-0.5</v>
      </c>
      <c r="AK25" s="229">
        <v>5.4000000000000003E-3</v>
      </c>
      <c r="AL25" s="228">
        <v>88</v>
      </c>
      <c r="AM25" s="228">
        <v>94.5</v>
      </c>
      <c r="AN25" s="228">
        <v>-6.5</v>
      </c>
      <c r="AO25" s="229">
        <v>1.0999999999999999E-2</v>
      </c>
      <c r="AP25" s="231">
        <v>8021.52</v>
      </c>
      <c r="AQ25" s="231">
        <v>8064.6</v>
      </c>
      <c r="AR25" s="228">
        <v>0</v>
      </c>
      <c r="AS25" s="230">
        <v>1123</v>
      </c>
      <c r="AT25" s="230">
        <v>1432</v>
      </c>
      <c r="AU25" s="228">
        <v>-308</v>
      </c>
      <c r="AV25" s="229">
        <v>-0.2152</v>
      </c>
      <c r="AW25" s="228">
        <v>449</v>
      </c>
      <c r="AX25" s="228">
        <v>690</v>
      </c>
      <c r="AY25" s="228">
        <v>-240</v>
      </c>
      <c r="AZ25" s="229">
        <v>-0.34849999999999998</v>
      </c>
      <c r="BA25" s="228">
        <v>657</v>
      </c>
      <c r="BB25" s="228">
        <v>734</v>
      </c>
      <c r="BC25" s="228">
        <v>-77</v>
      </c>
      <c r="BD25" s="229">
        <v>-0.1046</v>
      </c>
      <c r="BE25" s="228">
        <v>17</v>
      </c>
      <c r="BF25" s="228">
        <v>8</v>
      </c>
      <c r="BG25" s="228">
        <v>9</v>
      </c>
      <c r="BH25" s="229">
        <v>1.145</v>
      </c>
      <c r="BI25" s="230">
        <v>1339</v>
      </c>
      <c r="BJ25" s="230">
        <v>1226</v>
      </c>
      <c r="BK25" s="228">
        <v>113</v>
      </c>
      <c r="BL25" s="229">
        <v>9.2100000000000001E-2</v>
      </c>
      <c r="BM25" s="230">
        <v>1065</v>
      </c>
      <c r="BN25" s="228">
        <v>674</v>
      </c>
      <c r="BO25" s="228">
        <v>392</v>
      </c>
      <c r="BP25" s="229">
        <v>0.58099999999999996</v>
      </c>
      <c r="BQ25" s="230">
        <v>3528</v>
      </c>
      <c r="BR25" s="230">
        <v>3332</v>
      </c>
      <c r="BS25" s="228">
        <v>196</v>
      </c>
      <c r="BT25" s="229">
        <v>5.8999999999999997E-2</v>
      </c>
      <c r="BU25" s="230">
        <v>308619</v>
      </c>
      <c r="BV25" s="230">
        <v>237630</v>
      </c>
      <c r="BW25" s="230">
        <v>70989</v>
      </c>
      <c r="BX25" s="229">
        <v>0.29870000000000002</v>
      </c>
      <c r="BY25" s="230">
        <v>2204</v>
      </c>
      <c r="BZ25" s="230">
        <v>2336</v>
      </c>
      <c r="CA25" s="228">
        <v>-132</v>
      </c>
      <c r="CB25" s="229">
        <v>-5.6500000000000002E-2</v>
      </c>
      <c r="CC25" s="228">
        <v>178</v>
      </c>
      <c r="CD25" s="228">
        <v>398</v>
      </c>
      <c r="CE25" s="228">
        <v>-219</v>
      </c>
      <c r="CF25" s="229">
        <v>-0.55179999999999996</v>
      </c>
      <c r="CG25" s="230">
        <v>2165</v>
      </c>
      <c r="CH25" s="230">
        <v>1908</v>
      </c>
      <c r="CI25" s="228">
        <v>257</v>
      </c>
      <c r="CJ25" s="229">
        <v>0.13450000000000001</v>
      </c>
      <c r="CK25" s="228">
        <v>39</v>
      </c>
      <c r="CL25" s="228">
        <v>30</v>
      </c>
      <c r="CM25" s="228">
        <v>9</v>
      </c>
      <c r="CN25" s="229">
        <v>0.29959999999999998</v>
      </c>
      <c r="CO25" s="228">
        <v>358</v>
      </c>
      <c r="CP25" s="230">
        <v>1123</v>
      </c>
      <c r="CQ25" s="228">
        <v>-765</v>
      </c>
      <c r="CR25" s="229">
        <v>-0.68140000000000001</v>
      </c>
      <c r="CS25" s="228">
        <v>336</v>
      </c>
      <c r="CT25" s="228">
        <v>738</v>
      </c>
      <c r="CU25" s="228">
        <v>-403</v>
      </c>
      <c r="CV25" s="229">
        <v>-0.54549999999999998</v>
      </c>
      <c r="CW25" s="230">
        <v>2897</v>
      </c>
      <c r="CX25" s="230">
        <v>4197</v>
      </c>
      <c r="CY25" s="230">
        <v>-1300</v>
      </c>
      <c r="CZ25" s="229">
        <v>-0.30969999999999998</v>
      </c>
      <c r="DA25" s="228">
        <v>26.65</v>
      </c>
      <c r="DB25" s="228">
        <v>27.12</v>
      </c>
      <c r="DC25" s="228">
        <v>-0.47</v>
      </c>
      <c r="DD25" s="228">
        <v>-0.47</v>
      </c>
      <c r="DE25" s="228">
        <v>31.82</v>
      </c>
      <c r="DF25" s="228">
        <v>31.9</v>
      </c>
      <c r="DG25" s="228">
        <v>-5.17</v>
      </c>
      <c r="DH25" s="228">
        <v>-0.08</v>
      </c>
      <c r="DI25" s="228">
        <v>26.52</v>
      </c>
      <c r="DJ25" s="228">
        <v>27.07</v>
      </c>
      <c r="DK25" s="228">
        <v>-0.55000000000000004</v>
      </c>
      <c r="DL25" s="228">
        <v>-0.55000000000000004</v>
      </c>
      <c r="DM25" s="228">
        <v>26.79</v>
      </c>
      <c r="DN25" s="228">
        <v>27.17</v>
      </c>
      <c r="DO25" s="228">
        <v>-0.38</v>
      </c>
      <c r="DP25" s="228">
        <v>-0.38</v>
      </c>
      <c r="DQ25" s="228">
        <v>0.94</v>
      </c>
      <c r="DR25" s="228">
        <v>0.66</v>
      </c>
      <c r="DS25" s="228">
        <v>0.28000000000000003</v>
      </c>
      <c r="DT25" s="229">
        <v>0.42420000000000002</v>
      </c>
      <c r="DU25" s="231">
        <v>9000</v>
      </c>
      <c r="DV25" s="231">
        <v>8000</v>
      </c>
      <c r="DW25" s="228">
        <v>0.8</v>
      </c>
      <c r="DX25" s="228">
        <v>0.55000000000000004</v>
      </c>
      <c r="DY25" s="228">
        <v>0.25</v>
      </c>
      <c r="DZ25" s="229">
        <v>0.45450000000000002</v>
      </c>
      <c r="EA25" s="229">
        <v>0.92520000000000002</v>
      </c>
      <c r="EB25" s="230">
        <v>2407425</v>
      </c>
      <c r="EC25" s="229">
        <v>6.1000000000000004E-3</v>
      </c>
      <c r="ED25" s="229">
        <v>0.92520000000000002</v>
      </c>
      <c r="EE25" s="228">
        <v>43.08</v>
      </c>
      <c r="EF25" s="229">
        <v>5.4000000000000003E-3</v>
      </c>
      <c r="EG25" s="230">
        <v>118269</v>
      </c>
      <c r="EH25" s="230">
        <v>135883</v>
      </c>
      <c r="EI25" s="229">
        <v>-0.12959999999999999</v>
      </c>
      <c r="EJ25" s="229">
        <v>0.38319999999999999</v>
      </c>
      <c r="EK25" s="231">
        <v>1397.34</v>
      </c>
      <c r="EL25" s="231">
        <v>1072.24</v>
      </c>
      <c r="EM25" s="231">
        <v>1123.02</v>
      </c>
      <c r="EN25" s="228">
        <v>0</v>
      </c>
      <c r="EO25" s="231">
        <v>3592.6</v>
      </c>
      <c r="EP25" s="231">
        <v>3395.43</v>
      </c>
      <c r="EQ25" s="228">
        <v>197.17</v>
      </c>
      <c r="ER25" s="229">
        <v>5.8099999999999999E-2</v>
      </c>
      <c r="ES25" s="228">
        <v>377.94</v>
      </c>
      <c r="ET25" s="228">
        <v>334.22</v>
      </c>
      <c r="EU25" s="231">
        <v>2204.12</v>
      </c>
      <c r="EV25" s="231">
        <v>25086000</v>
      </c>
      <c r="EW25" s="231">
        <v>2916.28</v>
      </c>
      <c r="EX25" s="231">
        <v>4288.3</v>
      </c>
      <c r="EY25" s="231">
        <v>-1372.02</v>
      </c>
      <c r="EZ25" s="229">
        <v>-0.31990000000000002</v>
      </c>
      <c r="FA25" s="229">
        <v>0.1434</v>
      </c>
      <c r="FB25" s="227" t="s">
        <v>568</v>
      </c>
      <c r="FC25">
        <f t="shared" si="0"/>
        <v>2026</v>
      </c>
    </row>
    <row r="26" spans="1:159" ht="17.25" thickBot="1" x14ac:dyDescent="0.3">
      <c r="A26" s="226">
        <v>45869</v>
      </c>
      <c r="B26" s="227" t="s">
        <v>175</v>
      </c>
      <c r="C26" s="227" t="s">
        <v>176</v>
      </c>
      <c r="D26" s="228">
        <v>500</v>
      </c>
      <c r="E26" s="228">
        <v>0</v>
      </c>
      <c r="F26" s="231">
        <v>1954.2</v>
      </c>
      <c r="G26" s="231">
        <v>1969.1</v>
      </c>
      <c r="H26" s="228">
        <v>-14.9</v>
      </c>
      <c r="I26" s="229">
        <v>-7.6E-3</v>
      </c>
      <c r="J26" s="231">
        <v>1948</v>
      </c>
      <c r="K26" s="231">
        <v>1959.8</v>
      </c>
      <c r="L26" s="228">
        <v>-11.8</v>
      </c>
      <c r="M26" s="229">
        <v>-6.0000000000000001E-3</v>
      </c>
      <c r="N26" s="231">
        <v>1945.7</v>
      </c>
      <c r="O26" s="231">
        <v>1957.1</v>
      </c>
      <c r="P26" s="228">
        <v>-11.4</v>
      </c>
      <c r="Q26" s="229">
        <v>-5.7999999999999996E-3</v>
      </c>
      <c r="R26" s="231">
        <v>1954.2</v>
      </c>
      <c r="S26" s="231">
        <v>1969.1</v>
      </c>
      <c r="T26" s="228">
        <v>-14.9</v>
      </c>
      <c r="U26" s="229">
        <v>-7.6E-3</v>
      </c>
      <c r="V26" s="231">
        <v>1966.1</v>
      </c>
      <c r="W26" s="231">
        <v>1981</v>
      </c>
      <c r="X26" s="228">
        <v>-14.9</v>
      </c>
      <c r="Y26" s="229">
        <v>-7.4999999999999997E-3</v>
      </c>
      <c r="Z26" s="228">
        <v>6.2</v>
      </c>
      <c r="AA26" s="228">
        <v>-2.7</v>
      </c>
      <c r="AB26" s="228">
        <v>8.9</v>
      </c>
      <c r="AC26" s="229">
        <v>3.2000000000000002E-3</v>
      </c>
      <c r="AD26" s="228">
        <v>-2.2999999999999998</v>
      </c>
      <c r="AE26" s="228">
        <v>-2.7</v>
      </c>
      <c r="AF26" s="228">
        <v>0.4</v>
      </c>
      <c r="AG26" s="229">
        <v>-1.1999999999999999E-3</v>
      </c>
      <c r="AH26" s="228">
        <v>6.2</v>
      </c>
      <c r="AI26" s="228">
        <v>9.3000000000000007</v>
      </c>
      <c r="AJ26" s="228">
        <v>-3.1</v>
      </c>
      <c r="AK26" s="229">
        <v>3.2000000000000002E-3</v>
      </c>
      <c r="AL26" s="228">
        <v>18.100000000000001</v>
      </c>
      <c r="AM26" s="228">
        <v>21.2</v>
      </c>
      <c r="AN26" s="228">
        <v>-3.1</v>
      </c>
      <c r="AO26" s="229">
        <v>9.2999999999999992E-3</v>
      </c>
      <c r="AP26" s="231">
        <v>1952.92</v>
      </c>
      <c r="AQ26" s="231">
        <v>1962.69</v>
      </c>
      <c r="AR26" s="228">
        <v>0</v>
      </c>
      <c r="AS26" s="230">
        <v>1689</v>
      </c>
      <c r="AT26" s="230">
        <v>1720</v>
      </c>
      <c r="AU26" s="228">
        <v>-31</v>
      </c>
      <c r="AV26" s="229">
        <v>-1.78E-2</v>
      </c>
      <c r="AW26" s="228">
        <v>768</v>
      </c>
      <c r="AX26" s="228">
        <v>827</v>
      </c>
      <c r="AY26" s="228">
        <v>-59</v>
      </c>
      <c r="AZ26" s="229">
        <v>-7.0900000000000005E-2</v>
      </c>
      <c r="BA26" s="228">
        <v>912</v>
      </c>
      <c r="BB26" s="228">
        <v>879</v>
      </c>
      <c r="BC26" s="228">
        <v>33</v>
      </c>
      <c r="BD26" s="229">
        <v>3.7900000000000003E-2</v>
      </c>
      <c r="BE26" s="228">
        <v>9</v>
      </c>
      <c r="BF26" s="228">
        <v>15</v>
      </c>
      <c r="BG26" s="228">
        <v>-5</v>
      </c>
      <c r="BH26" s="229">
        <v>-0.3624</v>
      </c>
      <c r="BI26" s="230">
        <v>1417</v>
      </c>
      <c r="BJ26" s="230">
        <v>1713</v>
      </c>
      <c r="BK26" s="228">
        <v>-296</v>
      </c>
      <c r="BL26" s="229">
        <v>-0.1729</v>
      </c>
      <c r="BM26" s="228">
        <v>721</v>
      </c>
      <c r="BN26" s="228">
        <v>915</v>
      </c>
      <c r="BO26" s="228">
        <v>-194</v>
      </c>
      <c r="BP26" s="229">
        <v>-0.21199999999999999</v>
      </c>
      <c r="BQ26" s="230">
        <v>3827</v>
      </c>
      <c r="BR26" s="230">
        <v>4348</v>
      </c>
      <c r="BS26" s="228">
        <v>-521</v>
      </c>
      <c r="BT26" s="229">
        <v>-0.1198</v>
      </c>
      <c r="BU26" s="230">
        <v>1008038</v>
      </c>
      <c r="BV26" s="230">
        <v>963291</v>
      </c>
      <c r="BW26" s="230">
        <v>44747</v>
      </c>
      <c r="BX26" s="229">
        <v>4.65E-2</v>
      </c>
      <c r="BY26" s="230">
        <v>3173</v>
      </c>
      <c r="BZ26" s="230">
        <v>3235</v>
      </c>
      <c r="CA26" s="228">
        <v>-62</v>
      </c>
      <c r="CB26" s="229">
        <v>-1.9099999999999999E-2</v>
      </c>
      <c r="CC26" s="228">
        <v>194</v>
      </c>
      <c r="CD26" s="228">
        <v>482</v>
      </c>
      <c r="CE26" s="228">
        <v>-288</v>
      </c>
      <c r="CF26" s="229">
        <v>-0.5978</v>
      </c>
      <c r="CG26" s="230">
        <v>3147</v>
      </c>
      <c r="CH26" s="230">
        <v>2730</v>
      </c>
      <c r="CI26" s="228">
        <v>417</v>
      </c>
      <c r="CJ26" s="229">
        <v>0.1527</v>
      </c>
      <c r="CK26" s="228">
        <v>26</v>
      </c>
      <c r="CL26" s="228">
        <v>22</v>
      </c>
      <c r="CM26" s="228">
        <v>4</v>
      </c>
      <c r="CN26" s="229">
        <v>0.1565</v>
      </c>
      <c r="CO26" s="228">
        <v>643</v>
      </c>
      <c r="CP26" s="230">
        <v>1968</v>
      </c>
      <c r="CQ26" s="230">
        <v>-1325</v>
      </c>
      <c r="CR26" s="229">
        <v>-0.67320000000000002</v>
      </c>
      <c r="CS26" s="228">
        <v>403</v>
      </c>
      <c r="CT26" s="228">
        <v>869</v>
      </c>
      <c r="CU26" s="228">
        <v>-467</v>
      </c>
      <c r="CV26" s="229">
        <v>-0.53680000000000005</v>
      </c>
      <c r="CW26" s="230">
        <v>4219</v>
      </c>
      <c r="CX26" s="230">
        <v>6072</v>
      </c>
      <c r="CY26" s="230">
        <v>-1853</v>
      </c>
      <c r="CZ26" s="229">
        <v>-0.30520000000000003</v>
      </c>
      <c r="DA26" s="228">
        <v>24.05</v>
      </c>
      <c r="DB26" s="228">
        <v>24.02</v>
      </c>
      <c r="DC26" s="228">
        <v>0.03</v>
      </c>
      <c r="DD26" s="228">
        <v>0.03</v>
      </c>
      <c r="DE26" s="228">
        <v>29.92</v>
      </c>
      <c r="DF26" s="228">
        <v>29.98</v>
      </c>
      <c r="DG26" s="228">
        <v>-5.87</v>
      </c>
      <c r="DH26" s="228">
        <v>-0.06</v>
      </c>
      <c r="DI26" s="228">
        <v>24.45</v>
      </c>
      <c r="DJ26" s="228">
        <v>24.1</v>
      </c>
      <c r="DK26" s="228">
        <v>0.35</v>
      </c>
      <c r="DL26" s="228">
        <v>0.35</v>
      </c>
      <c r="DM26" s="228">
        <v>23.21</v>
      </c>
      <c r="DN26" s="228">
        <v>23.9</v>
      </c>
      <c r="DO26" s="228">
        <v>-0.69</v>
      </c>
      <c r="DP26" s="228">
        <v>-0.69</v>
      </c>
      <c r="DQ26" s="228">
        <v>0.63</v>
      </c>
      <c r="DR26" s="228">
        <v>0.44</v>
      </c>
      <c r="DS26" s="228">
        <v>0.19</v>
      </c>
      <c r="DT26" s="229">
        <v>0.43180000000000002</v>
      </c>
      <c r="DU26" s="231">
        <v>2100</v>
      </c>
      <c r="DV26" s="231">
        <v>1760</v>
      </c>
      <c r="DW26" s="228">
        <v>0.51</v>
      </c>
      <c r="DX26" s="228">
        <v>0.53</v>
      </c>
      <c r="DY26" s="228">
        <v>-0.02</v>
      </c>
      <c r="DZ26" s="229">
        <v>-3.7699999999999997E-2</v>
      </c>
      <c r="EA26" s="229">
        <v>0.94240000000000002</v>
      </c>
      <c r="EB26" s="230">
        <v>14085500</v>
      </c>
      <c r="EC26" s="229">
        <v>4.4000000000000003E-3</v>
      </c>
      <c r="ED26" s="229">
        <v>0.94240000000000002</v>
      </c>
      <c r="EE26" s="228">
        <v>9.77</v>
      </c>
      <c r="EF26" s="229">
        <v>5.0000000000000001E-3</v>
      </c>
      <c r="EG26" s="230">
        <v>476477</v>
      </c>
      <c r="EH26" s="230">
        <v>491479</v>
      </c>
      <c r="EI26" s="229">
        <v>-3.0499999999999999E-2</v>
      </c>
      <c r="EJ26" s="229">
        <v>0.47270000000000001</v>
      </c>
      <c r="EK26" s="231">
        <v>1475.64</v>
      </c>
      <c r="EL26" s="228">
        <v>731.08</v>
      </c>
      <c r="EM26" s="231">
        <v>1692.96</v>
      </c>
      <c r="EN26" s="228">
        <v>0</v>
      </c>
      <c r="EO26" s="231">
        <v>3899.68</v>
      </c>
      <c r="EP26" s="231">
        <v>4437.66</v>
      </c>
      <c r="EQ26" s="228">
        <v>-537.98</v>
      </c>
      <c r="ER26" s="229">
        <v>-0.1212</v>
      </c>
      <c r="ES26" s="228">
        <v>676.19</v>
      </c>
      <c r="ET26" s="228">
        <v>395.43</v>
      </c>
      <c r="EU26" s="231">
        <v>3173.1</v>
      </c>
      <c r="EV26" s="231">
        <v>125347779</v>
      </c>
      <c r="EW26" s="231">
        <v>4244.71</v>
      </c>
      <c r="EX26" s="231">
        <v>6223.48</v>
      </c>
      <c r="EY26" s="231">
        <v>-1978.77</v>
      </c>
      <c r="EZ26" s="229">
        <v>-0.318</v>
      </c>
      <c r="FA26" s="229">
        <v>0.17219999999999999</v>
      </c>
      <c r="FB26" s="227" t="s">
        <v>568</v>
      </c>
      <c r="FC26">
        <f t="shared" si="0"/>
        <v>2979</v>
      </c>
    </row>
    <row r="27" spans="1:159" ht="17.25" thickBot="1" x14ac:dyDescent="0.3">
      <c r="A27" s="226">
        <v>45869</v>
      </c>
      <c r="B27" s="227" t="s">
        <v>175</v>
      </c>
      <c r="C27" s="227" t="s">
        <v>177</v>
      </c>
      <c r="D27" s="228">
        <v>750</v>
      </c>
      <c r="E27" s="228">
        <v>0</v>
      </c>
      <c r="F27" s="228">
        <v>883.95</v>
      </c>
      <c r="G27" s="228">
        <v>890.05</v>
      </c>
      <c r="H27" s="228">
        <v>-6.1</v>
      </c>
      <c r="I27" s="229">
        <v>-6.8999999999999999E-3</v>
      </c>
      <c r="J27" s="228">
        <v>881.2</v>
      </c>
      <c r="K27" s="228">
        <v>884.85</v>
      </c>
      <c r="L27" s="228">
        <v>-3.65</v>
      </c>
      <c r="M27" s="229">
        <v>-4.1000000000000003E-3</v>
      </c>
      <c r="N27" s="228">
        <v>879.8</v>
      </c>
      <c r="O27" s="228">
        <v>884.7</v>
      </c>
      <c r="P27" s="228">
        <v>-4.9000000000000004</v>
      </c>
      <c r="Q27" s="229">
        <v>-5.4999999999999997E-3</v>
      </c>
      <c r="R27" s="228">
        <v>883.95</v>
      </c>
      <c r="S27" s="228">
        <v>890.05</v>
      </c>
      <c r="T27" s="228">
        <v>-6.1</v>
      </c>
      <c r="U27" s="229">
        <v>-6.8999999999999999E-3</v>
      </c>
      <c r="V27" s="228">
        <v>889.15</v>
      </c>
      <c r="W27" s="228">
        <v>895.55</v>
      </c>
      <c r="X27" s="228">
        <v>-6.4</v>
      </c>
      <c r="Y27" s="229">
        <v>-7.1000000000000004E-3</v>
      </c>
      <c r="Z27" s="228">
        <v>2.75</v>
      </c>
      <c r="AA27" s="228">
        <v>-0.15</v>
      </c>
      <c r="AB27" s="228">
        <v>2.9</v>
      </c>
      <c r="AC27" s="229">
        <v>3.0999999999999999E-3</v>
      </c>
      <c r="AD27" s="228">
        <v>-1.4</v>
      </c>
      <c r="AE27" s="228">
        <v>-0.15</v>
      </c>
      <c r="AF27" s="228">
        <v>-1.25</v>
      </c>
      <c r="AG27" s="229">
        <v>-1.6000000000000001E-3</v>
      </c>
      <c r="AH27" s="228">
        <v>2.75</v>
      </c>
      <c r="AI27" s="228">
        <v>5.2</v>
      </c>
      <c r="AJ27" s="228">
        <v>-2.4500000000000002</v>
      </c>
      <c r="AK27" s="229">
        <v>3.0999999999999999E-3</v>
      </c>
      <c r="AL27" s="228">
        <v>7.95</v>
      </c>
      <c r="AM27" s="228">
        <v>10.7</v>
      </c>
      <c r="AN27" s="228">
        <v>-2.75</v>
      </c>
      <c r="AO27" s="229">
        <v>8.9999999999999993E-3</v>
      </c>
      <c r="AP27" s="228">
        <v>879.12</v>
      </c>
      <c r="AQ27" s="228">
        <v>883.6</v>
      </c>
      <c r="AR27" s="228">
        <v>0</v>
      </c>
      <c r="AS27" s="230">
        <v>3821</v>
      </c>
      <c r="AT27" s="230">
        <v>3633</v>
      </c>
      <c r="AU27" s="228">
        <v>188</v>
      </c>
      <c r="AV27" s="229">
        <v>5.1700000000000003E-2</v>
      </c>
      <c r="AW27" s="230">
        <v>1628</v>
      </c>
      <c r="AX27" s="230">
        <v>1723</v>
      </c>
      <c r="AY27" s="228">
        <v>-94</v>
      </c>
      <c r="AZ27" s="229">
        <v>-5.4800000000000001E-2</v>
      </c>
      <c r="BA27" s="230">
        <v>2122</v>
      </c>
      <c r="BB27" s="230">
        <v>1886</v>
      </c>
      <c r="BC27" s="228">
        <v>236</v>
      </c>
      <c r="BD27" s="229">
        <v>0.12520000000000001</v>
      </c>
      <c r="BE27" s="228">
        <v>70</v>
      </c>
      <c r="BF27" s="228">
        <v>24</v>
      </c>
      <c r="BG27" s="228">
        <v>46</v>
      </c>
      <c r="BH27" s="229">
        <v>1.9197</v>
      </c>
      <c r="BI27" s="230">
        <v>2155</v>
      </c>
      <c r="BJ27" s="230">
        <v>2490</v>
      </c>
      <c r="BK27" s="228">
        <v>-335</v>
      </c>
      <c r="BL27" s="229">
        <v>-0.13439999999999999</v>
      </c>
      <c r="BM27" s="230">
        <v>1251</v>
      </c>
      <c r="BN27" s="230">
        <v>1404</v>
      </c>
      <c r="BO27" s="228">
        <v>-153</v>
      </c>
      <c r="BP27" s="229">
        <v>-0.10920000000000001</v>
      </c>
      <c r="BQ27" s="230">
        <v>7227</v>
      </c>
      <c r="BR27" s="230">
        <v>7527</v>
      </c>
      <c r="BS27" s="228">
        <v>-300</v>
      </c>
      <c r="BT27" s="229">
        <v>-3.9899999999999998E-2</v>
      </c>
      <c r="BU27" s="230">
        <v>7226802</v>
      </c>
      <c r="BV27" s="230">
        <v>5351837</v>
      </c>
      <c r="BW27" s="230">
        <v>1874965</v>
      </c>
      <c r="BX27" s="229">
        <v>0.3503</v>
      </c>
      <c r="BY27" s="230">
        <v>8209</v>
      </c>
      <c r="BZ27" s="230">
        <v>8395</v>
      </c>
      <c r="CA27" s="228">
        <v>-186</v>
      </c>
      <c r="CB27" s="229">
        <v>-2.2100000000000002E-2</v>
      </c>
      <c r="CC27" s="228">
        <v>244</v>
      </c>
      <c r="CD27" s="230">
        <v>1235</v>
      </c>
      <c r="CE27" s="228">
        <v>-990</v>
      </c>
      <c r="CF27" s="229">
        <v>-0.80210000000000004</v>
      </c>
      <c r="CG27" s="230">
        <v>7954</v>
      </c>
      <c r="CH27" s="230">
        <v>6914</v>
      </c>
      <c r="CI27" s="230">
        <v>1039</v>
      </c>
      <c r="CJ27" s="229">
        <v>0.15029999999999999</v>
      </c>
      <c r="CK27" s="228">
        <v>255</v>
      </c>
      <c r="CL27" s="228">
        <v>246</v>
      </c>
      <c r="CM27" s="228">
        <v>9</v>
      </c>
      <c r="CN27" s="229">
        <v>3.7100000000000001E-2</v>
      </c>
      <c r="CO27" s="230">
        <v>1602</v>
      </c>
      <c r="CP27" s="230">
        <v>2921</v>
      </c>
      <c r="CQ27" s="230">
        <v>-1319</v>
      </c>
      <c r="CR27" s="229">
        <v>-0.45169999999999999</v>
      </c>
      <c r="CS27" s="228">
        <v>874</v>
      </c>
      <c r="CT27" s="230">
        <v>1484</v>
      </c>
      <c r="CU27" s="228">
        <v>-611</v>
      </c>
      <c r="CV27" s="229">
        <v>-0.41149999999999998</v>
      </c>
      <c r="CW27" s="230">
        <v>10685</v>
      </c>
      <c r="CX27" s="230">
        <v>12801</v>
      </c>
      <c r="CY27" s="230">
        <v>-2116</v>
      </c>
      <c r="CZ27" s="229">
        <v>-0.1653</v>
      </c>
      <c r="DA27" s="228">
        <v>26.34</v>
      </c>
      <c r="DB27" s="228">
        <v>26.5</v>
      </c>
      <c r="DC27" s="228">
        <v>-0.16</v>
      </c>
      <c r="DD27" s="228">
        <v>-0.16</v>
      </c>
      <c r="DE27" s="228">
        <v>31.67</v>
      </c>
      <c r="DF27" s="228">
        <v>31.75</v>
      </c>
      <c r="DG27" s="228">
        <v>-5.33</v>
      </c>
      <c r="DH27" s="228">
        <v>-0.08</v>
      </c>
      <c r="DI27" s="228">
        <v>26.74</v>
      </c>
      <c r="DJ27" s="228">
        <v>26.4</v>
      </c>
      <c r="DK27" s="228">
        <v>0.34</v>
      </c>
      <c r="DL27" s="228">
        <v>0.34</v>
      </c>
      <c r="DM27" s="228">
        <v>25.64</v>
      </c>
      <c r="DN27" s="228">
        <v>26.68</v>
      </c>
      <c r="DO27" s="228">
        <v>-1.04</v>
      </c>
      <c r="DP27" s="228">
        <v>-1.04</v>
      </c>
      <c r="DQ27" s="228">
        <v>0.55000000000000004</v>
      </c>
      <c r="DR27" s="228">
        <v>0.51</v>
      </c>
      <c r="DS27" s="228">
        <v>0.04</v>
      </c>
      <c r="DT27" s="229">
        <v>7.8399999999999997E-2</v>
      </c>
      <c r="DU27" s="228">
        <v>900</v>
      </c>
      <c r="DV27" s="228">
        <v>900</v>
      </c>
      <c r="DW27" s="228">
        <v>0.57999999999999996</v>
      </c>
      <c r="DX27" s="228">
        <v>0.56000000000000005</v>
      </c>
      <c r="DY27" s="228">
        <v>0.02</v>
      </c>
      <c r="DZ27" s="229">
        <v>3.5700000000000003E-2</v>
      </c>
      <c r="EA27" s="229">
        <v>0.97109999999999996</v>
      </c>
      <c r="EB27" s="230">
        <v>81006750</v>
      </c>
      <c r="EC27" s="229">
        <v>4.7000000000000002E-3</v>
      </c>
      <c r="ED27" s="229">
        <v>0.97109999999999996</v>
      </c>
      <c r="EE27" s="228">
        <v>4.4800000000000004</v>
      </c>
      <c r="EF27" s="229">
        <v>5.1000000000000004E-3</v>
      </c>
      <c r="EG27" s="230">
        <v>4030617</v>
      </c>
      <c r="EH27" s="230">
        <v>2759706</v>
      </c>
      <c r="EI27" s="229">
        <v>0.46050000000000002</v>
      </c>
      <c r="EJ27" s="229">
        <v>0.55769999999999997</v>
      </c>
      <c r="EK27" s="231">
        <v>2289.29</v>
      </c>
      <c r="EL27" s="231">
        <v>1283.74</v>
      </c>
      <c r="EM27" s="231">
        <v>3811.08</v>
      </c>
      <c r="EN27" s="228">
        <v>0</v>
      </c>
      <c r="EO27" s="231">
        <v>7384.11</v>
      </c>
      <c r="EP27" s="231">
        <v>7693.7</v>
      </c>
      <c r="EQ27" s="228">
        <v>-309.58</v>
      </c>
      <c r="ER27" s="229">
        <v>-4.02E-2</v>
      </c>
      <c r="ES27" s="231">
        <v>1725.96</v>
      </c>
      <c r="ET27" s="228">
        <v>868.86</v>
      </c>
      <c r="EU27" s="231">
        <v>8210.7000000000007</v>
      </c>
      <c r="EV27" s="231">
        <v>562142812</v>
      </c>
      <c r="EW27" s="231">
        <v>10805.53</v>
      </c>
      <c r="EX27" s="231">
        <v>13112.16</v>
      </c>
      <c r="EY27" s="231">
        <v>-2306.63</v>
      </c>
      <c r="EZ27" s="229">
        <v>-0.1759</v>
      </c>
      <c r="FA27" s="229">
        <v>0.215</v>
      </c>
      <c r="FB27" s="227" t="s">
        <v>568</v>
      </c>
      <c r="FC27">
        <f t="shared" si="0"/>
        <v>7965</v>
      </c>
    </row>
    <row r="28" spans="1:159" ht="17.25" thickBot="1" x14ac:dyDescent="0.3">
      <c r="A28" s="226">
        <v>45869</v>
      </c>
      <c r="B28" s="227" t="s">
        <v>162</v>
      </c>
      <c r="C28" s="227" t="s">
        <v>178</v>
      </c>
      <c r="D28" s="228">
        <v>300</v>
      </c>
      <c r="E28" s="228">
        <v>0</v>
      </c>
      <c r="F28" s="228">
        <v>0</v>
      </c>
      <c r="G28" s="228">
        <v>0</v>
      </c>
      <c r="H28" s="228">
        <v>0</v>
      </c>
      <c r="I28" s="229">
        <v>0</v>
      </c>
      <c r="J28" s="231">
        <v>2676.2</v>
      </c>
      <c r="K28" s="231">
        <v>2759.1</v>
      </c>
      <c r="L28" s="228">
        <v>-82.9</v>
      </c>
      <c r="M28" s="229">
        <v>-0.03</v>
      </c>
      <c r="N28" s="231">
        <v>2680</v>
      </c>
      <c r="O28" s="231">
        <v>2758.7</v>
      </c>
      <c r="P28" s="228">
        <v>-78.7</v>
      </c>
      <c r="Q28" s="229">
        <v>-2.8500000000000001E-2</v>
      </c>
      <c r="R28" s="228">
        <v>0</v>
      </c>
      <c r="S28" s="228">
        <v>0</v>
      </c>
      <c r="T28" s="228">
        <v>0</v>
      </c>
      <c r="U28" s="229">
        <v>0</v>
      </c>
      <c r="V28" s="228">
        <v>0</v>
      </c>
      <c r="W28" s="228">
        <v>0</v>
      </c>
      <c r="X28" s="228">
        <v>0</v>
      </c>
      <c r="Y28" s="229">
        <v>0</v>
      </c>
      <c r="Z28" s="228">
        <v>0</v>
      </c>
      <c r="AA28" s="228">
        <v>-0.4</v>
      </c>
      <c r="AB28" s="228">
        <v>0</v>
      </c>
      <c r="AC28" s="229">
        <v>0</v>
      </c>
      <c r="AD28" s="228">
        <v>3.8</v>
      </c>
      <c r="AE28" s="228">
        <v>-0.4</v>
      </c>
      <c r="AF28" s="228">
        <v>4.2</v>
      </c>
      <c r="AG28" s="229">
        <v>1.4E-3</v>
      </c>
      <c r="AH28" s="228">
        <v>0</v>
      </c>
      <c r="AI28" s="228">
        <v>0</v>
      </c>
      <c r="AJ28" s="228">
        <v>0</v>
      </c>
      <c r="AK28" s="229">
        <v>0</v>
      </c>
      <c r="AL28" s="228">
        <v>0</v>
      </c>
      <c r="AM28" s="228">
        <v>0</v>
      </c>
      <c r="AN28" s="228">
        <v>0</v>
      </c>
      <c r="AO28" s="229">
        <v>0</v>
      </c>
      <c r="AP28" s="231">
        <v>2698.09</v>
      </c>
      <c r="AQ28" s="228">
        <v>0</v>
      </c>
      <c r="AR28" s="228">
        <v>0</v>
      </c>
      <c r="AS28" s="228">
        <v>0</v>
      </c>
      <c r="AT28" s="228">
        <v>0</v>
      </c>
      <c r="AU28" s="228">
        <v>0</v>
      </c>
      <c r="AV28" s="229">
        <v>0.50180000000000002</v>
      </c>
      <c r="AW28" s="228">
        <v>0</v>
      </c>
      <c r="AX28" s="228">
        <v>0</v>
      </c>
      <c r="AY28" s="228">
        <v>0</v>
      </c>
      <c r="AZ28" s="229">
        <v>0.50180000000000002</v>
      </c>
      <c r="BA28" s="228">
        <v>0</v>
      </c>
      <c r="BB28" s="228">
        <v>0</v>
      </c>
      <c r="BC28" s="228">
        <v>0</v>
      </c>
      <c r="BD28" s="229">
        <v>0</v>
      </c>
      <c r="BE28" s="228">
        <v>0</v>
      </c>
      <c r="BF28" s="228">
        <v>0</v>
      </c>
      <c r="BG28" s="228">
        <v>0</v>
      </c>
      <c r="BH28" s="229">
        <v>0</v>
      </c>
      <c r="BI28" s="228">
        <v>0</v>
      </c>
      <c r="BJ28" s="228">
        <v>0</v>
      </c>
      <c r="BK28" s="228">
        <v>0</v>
      </c>
      <c r="BL28" s="229">
        <v>-0.10349999999999999</v>
      </c>
      <c r="BM28" s="228">
        <v>0</v>
      </c>
      <c r="BN28" s="228">
        <v>0</v>
      </c>
      <c r="BO28" s="228">
        <v>0</v>
      </c>
      <c r="BP28" s="229">
        <v>-6.3399999999999998E-2</v>
      </c>
      <c r="BQ28" s="228">
        <v>0</v>
      </c>
      <c r="BR28" s="228">
        <v>0</v>
      </c>
      <c r="BS28" s="228">
        <v>0</v>
      </c>
      <c r="BT28" s="229">
        <v>2.7199999999999998E-2</v>
      </c>
      <c r="BU28" s="230">
        <v>398139</v>
      </c>
      <c r="BV28" s="230">
        <v>386172</v>
      </c>
      <c r="BW28" s="230">
        <v>11967</v>
      </c>
      <c r="BX28" s="229">
        <v>3.1E-2</v>
      </c>
      <c r="BY28" s="228">
        <v>0</v>
      </c>
      <c r="BZ28" s="228">
        <v>0</v>
      </c>
      <c r="CA28" s="228">
        <v>0</v>
      </c>
      <c r="CB28" s="229">
        <v>-1</v>
      </c>
      <c r="CC28" s="228">
        <v>0</v>
      </c>
      <c r="CD28" s="228">
        <v>0</v>
      </c>
      <c r="CE28" s="228">
        <v>0</v>
      </c>
      <c r="CF28" s="229">
        <v>-0.15210000000000001</v>
      </c>
      <c r="CG28" s="228">
        <v>0</v>
      </c>
      <c r="CH28" s="228">
        <v>0</v>
      </c>
      <c r="CI28" s="228">
        <v>0</v>
      </c>
      <c r="CJ28" s="229">
        <v>0</v>
      </c>
      <c r="CK28" s="228">
        <v>0</v>
      </c>
      <c r="CL28" s="228">
        <v>0</v>
      </c>
      <c r="CM28" s="228">
        <v>0</v>
      </c>
      <c r="CN28" s="229">
        <v>0</v>
      </c>
      <c r="CO28" s="228">
        <v>0</v>
      </c>
      <c r="CP28" s="228">
        <v>0</v>
      </c>
      <c r="CQ28" s="228">
        <v>0</v>
      </c>
      <c r="CR28" s="229">
        <v>-0.20180000000000001</v>
      </c>
      <c r="CS28" s="228">
        <v>0</v>
      </c>
      <c r="CT28" s="228">
        <v>0</v>
      </c>
      <c r="CU28" s="228">
        <v>0</v>
      </c>
      <c r="CV28" s="229">
        <v>-0.27279999999999999</v>
      </c>
      <c r="CW28" s="228">
        <v>0</v>
      </c>
      <c r="CX28" s="228">
        <v>0</v>
      </c>
      <c r="CY28" s="228">
        <v>0</v>
      </c>
      <c r="CZ28" s="229">
        <v>-0.4632</v>
      </c>
      <c r="DA28" s="228">
        <v>33.47</v>
      </c>
      <c r="DB28" s="228">
        <v>33.47</v>
      </c>
      <c r="DC28" s="228">
        <v>0</v>
      </c>
      <c r="DD28" s="228">
        <v>0</v>
      </c>
      <c r="DE28" s="228">
        <v>33.47</v>
      </c>
      <c r="DF28" s="228">
        <v>33.47</v>
      </c>
      <c r="DG28" s="228">
        <v>0</v>
      </c>
      <c r="DH28" s="228">
        <v>0</v>
      </c>
      <c r="DI28" s="228">
        <v>33.47</v>
      </c>
      <c r="DJ28" s="228">
        <v>33.47</v>
      </c>
      <c r="DK28" s="228">
        <v>0</v>
      </c>
      <c r="DL28" s="228">
        <v>0</v>
      </c>
      <c r="DM28" s="228">
        <v>33.47</v>
      </c>
      <c r="DN28" s="228">
        <v>33.47</v>
      </c>
      <c r="DO28" s="228">
        <v>0</v>
      </c>
      <c r="DP28" s="228">
        <v>0</v>
      </c>
      <c r="DQ28" s="228">
        <v>0.7</v>
      </c>
      <c r="DR28" s="228">
        <v>0.77</v>
      </c>
      <c r="DS28" s="228">
        <v>-7.0000000000000007E-2</v>
      </c>
      <c r="DT28" s="229">
        <v>-9.0899999999999995E-2</v>
      </c>
      <c r="DU28" s="231">
        <v>2700</v>
      </c>
      <c r="DV28" s="231">
        <v>2600</v>
      </c>
      <c r="DW28" s="228">
        <v>0.92</v>
      </c>
      <c r="DX28" s="228">
        <v>0.88</v>
      </c>
      <c r="DY28" s="228">
        <v>0.04</v>
      </c>
      <c r="DZ28" s="229">
        <v>4.5499999999999999E-2</v>
      </c>
      <c r="EA28" s="229">
        <v>0</v>
      </c>
      <c r="EB28" s="228">
        <v>0</v>
      </c>
      <c r="EC28" s="229">
        <v>0</v>
      </c>
      <c r="ED28" s="229">
        <v>0</v>
      </c>
      <c r="EE28" s="228">
        <v>0</v>
      </c>
      <c r="EF28" s="229">
        <v>0</v>
      </c>
      <c r="EG28" s="230">
        <v>210999</v>
      </c>
      <c r="EH28" s="230">
        <v>211253</v>
      </c>
      <c r="EI28" s="229">
        <v>-1.1999999999999999E-3</v>
      </c>
      <c r="EJ28" s="229">
        <v>0.53</v>
      </c>
      <c r="EK28" s="228">
        <v>270.91000000000003</v>
      </c>
      <c r="EL28" s="228">
        <v>241.91</v>
      </c>
      <c r="EM28" s="228">
        <v>197.18</v>
      </c>
      <c r="EN28" s="228">
        <v>0</v>
      </c>
      <c r="EO28" s="228">
        <v>710</v>
      </c>
      <c r="EP28" s="228">
        <v>699.02</v>
      </c>
      <c r="EQ28" s="228">
        <v>10.98</v>
      </c>
      <c r="ER28" s="229">
        <v>1.5699999999999999E-2</v>
      </c>
      <c r="ES28" s="228">
        <v>0</v>
      </c>
      <c r="ET28" s="228">
        <v>0</v>
      </c>
      <c r="EU28" s="228">
        <v>0</v>
      </c>
      <c r="EV28" s="231">
        <v>16125398</v>
      </c>
      <c r="EW28" s="228">
        <v>0</v>
      </c>
      <c r="EX28" s="228">
        <v>683.85</v>
      </c>
      <c r="EY28" s="228">
        <v>-683.85</v>
      </c>
      <c r="EZ28" s="229">
        <v>-1</v>
      </c>
      <c r="FA28" s="229">
        <v>8.5000000000000006E-2</v>
      </c>
      <c r="FB28" s="227" t="s">
        <v>237</v>
      </c>
      <c r="FC28">
        <f t="shared" si="0"/>
        <v>0</v>
      </c>
    </row>
    <row r="29" spans="1:159" s="195" customFormat="1" ht="17.25" thickBot="1" x14ac:dyDescent="0.3">
      <c r="A29" s="226">
        <v>45869</v>
      </c>
      <c r="B29" s="227" t="s">
        <v>172</v>
      </c>
      <c r="C29" s="227" t="s">
        <v>179</v>
      </c>
      <c r="D29" s="228">
        <v>3600</v>
      </c>
      <c r="E29" s="228">
        <v>0</v>
      </c>
      <c r="F29" s="228">
        <v>167.52</v>
      </c>
      <c r="G29" s="228">
        <v>167.85</v>
      </c>
      <c r="H29" s="228">
        <v>-0.33</v>
      </c>
      <c r="I29" s="229">
        <v>-2E-3</v>
      </c>
      <c r="J29" s="228">
        <v>168.08</v>
      </c>
      <c r="K29" s="228">
        <v>168.27</v>
      </c>
      <c r="L29" s="228">
        <v>-0.19</v>
      </c>
      <c r="M29" s="229">
        <v>-1.1000000000000001E-3</v>
      </c>
      <c r="N29" s="228">
        <v>168.13</v>
      </c>
      <c r="O29" s="228">
        <v>168.66</v>
      </c>
      <c r="P29" s="228">
        <v>-0.53</v>
      </c>
      <c r="Q29" s="229">
        <v>-3.0999999999999999E-3</v>
      </c>
      <c r="R29" s="228">
        <v>167.52</v>
      </c>
      <c r="S29" s="228">
        <v>167.85</v>
      </c>
      <c r="T29" s="228">
        <v>-0.33</v>
      </c>
      <c r="U29" s="229">
        <v>-2E-3</v>
      </c>
      <c r="V29" s="228">
        <v>168.71</v>
      </c>
      <c r="W29" s="228">
        <v>168.96</v>
      </c>
      <c r="X29" s="228">
        <v>-0.25</v>
      </c>
      <c r="Y29" s="229">
        <v>-1.5E-3</v>
      </c>
      <c r="Z29" s="228">
        <v>-0.56000000000000005</v>
      </c>
      <c r="AA29" s="228">
        <v>0.39</v>
      </c>
      <c r="AB29" s="228">
        <v>-0.95</v>
      </c>
      <c r="AC29" s="229">
        <v>-3.3E-3</v>
      </c>
      <c r="AD29" s="228">
        <v>0.05</v>
      </c>
      <c r="AE29" s="228">
        <v>0.39</v>
      </c>
      <c r="AF29" s="228">
        <v>-0.34</v>
      </c>
      <c r="AG29" s="229">
        <v>2.9999999999999997E-4</v>
      </c>
      <c r="AH29" s="228">
        <v>-0.56000000000000005</v>
      </c>
      <c r="AI29" s="228">
        <v>-0.42</v>
      </c>
      <c r="AJ29" s="228">
        <v>-0.14000000000000001</v>
      </c>
      <c r="AK29" s="229">
        <v>-3.3E-3</v>
      </c>
      <c r="AL29" s="228">
        <v>0.63</v>
      </c>
      <c r="AM29" s="228">
        <v>0.69</v>
      </c>
      <c r="AN29" s="228">
        <v>-0.06</v>
      </c>
      <c r="AO29" s="229">
        <v>3.7000000000000002E-3</v>
      </c>
      <c r="AP29" s="228">
        <v>168.51</v>
      </c>
      <c r="AQ29" s="228">
        <v>167.81</v>
      </c>
      <c r="AR29" s="228">
        <v>0</v>
      </c>
      <c r="AS29" s="228">
        <v>790</v>
      </c>
      <c r="AT29" s="228">
        <v>721</v>
      </c>
      <c r="AU29" s="228">
        <v>68</v>
      </c>
      <c r="AV29" s="229">
        <v>9.4899999999999998E-2</v>
      </c>
      <c r="AW29" s="228">
        <v>336</v>
      </c>
      <c r="AX29" s="228">
        <v>314</v>
      </c>
      <c r="AY29" s="228">
        <v>22</v>
      </c>
      <c r="AZ29" s="229">
        <v>7.0300000000000001E-2</v>
      </c>
      <c r="BA29" s="228">
        <v>438</v>
      </c>
      <c r="BB29" s="228">
        <v>396</v>
      </c>
      <c r="BC29" s="228">
        <v>43</v>
      </c>
      <c r="BD29" s="229">
        <v>0.1084</v>
      </c>
      <c r="BE29" s="228">
        <v>15</v>
      </c>
      <c r="BF29" s="228">
        <v>12</v>
      </c>
      <c r="BG29" s="228">
        <v>3</v>
      </c>
      <c r="BH29" s="229">
        <v>0.29899999999999999</v>
      </c>
      <c r="BI29" s="228">
        <v>305</v>
      </c>
      <c r="BJ29" s="228">
        <v>426</v>
      </c>
      <c r="BK29" s="228">
        <v>-121</v>
      </c>
      <c r="BL29" s="229">
        <v>-0.28460000000000002</v>
      </c>
      <c r="BM29" s="228">
        <v>230</v>
      </c>
      <c r="BN29" s="228">
        <v>272</v>
      </c>
      <c r="BO29" s="228">
        <v>-42</v>
      </c>
      <c r="BP29" s="229">
        <v>-0.15609999999999999</v>
      </c>
      <c r="BQ29" s="230">
        <v>1324</v>
      </c>
      <c r="BR29" s="230">
        <v>1419</v>
      </c>
      <c r="BS29" s="228">
        <v>-95</v>
      </c>
      <c r="BT29" s="229">
        <v>-6.7100000000000007E-2</v>
      </c>
      <c r="BU29" s="230">
        <v>7904311</v>
      </c>
      <c r="BV29" s="230">
        <v>5614671</v>
      </c>
      <c r="BW29" s="230">
        <v>2289640</v>
      </c>
      <c r="BX29" s="229">
        <v>0.4078</v>
      </c>
      <c r="BY29" s="230">
        <v>1375</v>
      </c>
      <c r="BZ29" s="230">
        <v>1435</v>
      </c>
      <c r="CA29" s="228">
        <v>-60</v>
      </c>
      <c r="CB29" s="229">
        <v>-4.1700000000000001E-2</v>
      </c>
      <c r="CC29" s="228">
        <v>51</v>
      </c>
      <c r="CD29" s="228">
        <v>243</v>
      </c>
      <c r="CE29" s="228">
        <v>-192</v>
      </c>
      <c r="CF29" s="229">
        <v>-0.79149999999999998</v>
      </c>
      <c r="CG29" s="230">
        <v>1333</v>
      </c>
      <c r="CH29" s="230">
        <v>1159</v>
      </c>
      <c r="CI29" s="228">
        <v>174</v>
      </c>
      <c r="CJ29" s="229">
        <v>0.15029999999999999</v>
      </c>
      <c r="CK29" s="228">
        <v>42</v>
      </c>
      <c r="CL29" s="228">
        <v>33</v>
      </c>
      <c r="CM29" s="228">
        <v>9</v>
      </c>
      <c r="CN29" s="229">
        <v>0.2727</v>
      </c>
      <c r="CO29" s="228">
        <v>234</v>
      </c>
      <c r="CP29" s="228">
        <v>655</v>
      </c>
      <c r="CQ29" s="228">
        <v>-421</v>
      </c>
      <c r="CR29" s="229">
        <v>-0.64219999999999999</v>
      </c>
      <c r="CS29" s="228">
        <v>188</v>
      </c>
      <c r="CT29" s="228">
        <v>344</v>
      </c>
      <c r="CU29" s="228">
        <v>-156</v>
      </c>
      <c r="CV29" s="229">
        <v>-0.45300000000000001</v>
      </c>
      <c r="CW29" s="230">
        <v>1798</v>
      </c>
      <c r="CX29" s="230">
        <v>2434</v>
      </c>
      <c r="CY29" s="228">
        <v>-636</v>
      </c>
      <c r="CZ29" s="229">
        <v>-0.26140000000000002</v>
      </c>
      <c r="DA29" s="228">
        <v>33.520000000000003</v>
      </c>
      <c r="DB29" s="228">
        <v>34.450000000000003</v>
      </c>
      <c r="DC29" s="228">
        <v>-0.93</v>
      </c>
      <c r="DD29" s="228">
        <v>-0.93</v>
      </c>
      <c r="DE29" s="228">
        <v>44.25</v>
      </c>
      <c r="DF29" s="228">
        <v>44.36</v>
      </c>
      <c r="DG29" s="228">
        <v>-10.73</v>
      </c>
      <c r="DH29" s="228">
        <v>-0.11</v>
      </c>
      <c r="DI29" s="228">
        <v>33.86</v>
      </c>
      <c r="DJ29" s="228">
        <v>34.909999999999997</v>
      </c>
      <c r="DK29" s="228">
        <v>-1.05</v>
      </c>
      <c r="DL29" s="228">
        <v>-1.05</v>
      </c>
      <c r="DM29" s="228">
        <v>32.94</v>
      </c>
      <c r="DN29" s="228">
        <v>33.64</v>
      </c>
      <c r="DO29" s="228">
        <v>-0.7</v>
      </c>
      <c r="DP29" s="228">
        <v>-0.7</v>
      </c>
      <c r="DQ29" s="228">
        <v>0.8</v>
      </c>
      <c r="DR29" s="228">
        <v>0.52</v>
      </c>
      <c r="DS29" s="228">
        <v>0.28000000000000003</v>
      </c>
      <c r="DT29" s="229">
        <v>0.53849999999999998</v>
      </c>
      <c r="DU29" s="228">
        <v>190</v>
      </c>
      <c r="DV29" s="228">
        <v>170</v>
      </c>
      <c r="DW29" s="228">
        <v>0.75</v>
      </c>
      <c r="DX29" s="228">
        <v>0.64</v>
      </c>
      <c r="DY29" s="228">
        <v>0.11</v>
      </c>
      <c r="DZ29" s="229">
        <v>0.1719</v>
      </c>
      <c r="EA29" s="229">
        <v>0.96450000000000002</v>
      </c>
      <c r="EB29" s="230">
        <v>71150400</v>
      </c>
      <c r="EC29" s="229">
        <v>-3.5999999999999999E-3</v>
      </c>
      <c r="ED29" s="229">
        <v>0.96450000000000002</v>
      </c>
      <c r="EE29" s="228">
        <v>-0.7</v>
      </c>
      <c r="EF29" s="229">
        <v>-4.1999999999999997E-3</v>
      </c>
      <c r="EG29" s="230">
        <v>3549375</v>
      </c>
      <c r="EH29" s="230">
        <v>2479255</v>
      </c>
      <c r="EI29" s="229">
        <v>0.43159999999999998</v>
      </c>
      <c r="EJ29" s="229">
        <v>0.44900000000000001</v>
      </c>
      <c r="EK29" s="228">
        <v>326.19</v>
      </c>
      <c r="EL29" s="228">
        <v>240.2</v>
      </c>
      <c r="EM29" s="228">
        <v>792.43</v>
      </c>
      <c r="EN29" s="228">
        <v>0</v>
      </c>
      <c r="EO29" s="231">
        <v>1358.81</v>
      </c>
      <c r="EP29" s="231">
        <v>1484.32</v>
      </c>
      <c r="EQ29" s="228">
        <v>-125.51</v>
      </c>
      <c r="ER29" s="229">
        <v>-8.4599999999999995E-2</v>
      </c>
      <c r="ES29" s="228">
        <v>255.92</v>
      </c>
      <c r="ET29" s="228">
        <v>192.27</v>
      </c>
      <c r="EU29" s="231">
        <v>1375.42</v>
      </c>
      <c r="EV29" s="231">
        <v>193371109</v>
      </c>
      <c r="EW29" s="231">
        <v>1823.61</v>
      </c>
      <c r="EX29" s="231">
        <v>2539.12</v>
      </c>
      <c r="EY29" s="228">
        <v>-715.51</v>
      </c>
      <c r="EZ29" s="229">
        <v>-0.28179999999999999</v>
      </c>
      <c r="FA29" s="229">
        <v>0.55489999999999995</v>
      </c>
      <c r="FB29" s="227" t="s">
        <v>568</v>
      </c>
      <c r="FC29" s="195">
        <f t="shared" si="0"/>
        <v>1324</v>
      </c>
    </row>
    <row r="30" spans="1:159" ht="17.25" thickBot="1" x14ac:dyDescent="0.3">
      <c r="A30" s="226">
        <v>45869</v>
      </c>
      <c r="B30" s="227" t="s">
        <v>172</v>
      </c>
      <c r="C30" s="227" t="s">
        <v>180</v>
      </c>
      <c r="D30" s="228">
        <v>2925</v>
      </c>
      <c r="E30" s="228">
        <v>0</v>
      </c>
      <c r="F30" s="228">
        <v>239.02</v>
      </c>
      <c r="G30" s="228">
        <v>241.03</v>
      </c>
      <c r="H30" s="228">
        <v>-2.0099999999999998</v>
      </c>
      <c r="I30" s="229">
        <v>-8.3000000000000001E-3</v>
      </c>
      <c r="J30" s="228">
        <v>237.87</v>
      </c>
      <c r="K30" s="228">
        <v>239.67</v>
      </c>
      <c r="L30" s="228">
        <v>-1.8</v>
      </c>
      <c r="M30" s="229">
        <v>-7.4999999999999997E-3</v>
      </c>
      <c r="N30" s="228">
        <v>237.86</v>
      </c>
      <c r="O30" s="228">
        <v>239.81</v>
      </c>
      <c r="P30" s="228">
        <v>-1.95</v>
      </c>
      <c r="Q30" s="229">
        <v>-8.0999999999999996E-3</v>
      </c>
      <c r="R30" s="228">
        <v>239.02</v>
      </c>
      <c r="S30" s="228">
        <v>241.03</v>
      </c>
      <c r="T30" s="228">
        <v>-2.0099999999999998</v>
      </c>
      <c r="U30" s="229">
        <v>-8.3000000000000001E-3</v>
      </c>
      <c r="V30" s="228">
        <v>240.57</v>
      </c>
      <c r="W30" s="228">
        <v>242.47</v>
      </c>
      <c r="X30" s="228">
        <v>-1.9</v>
      </c>
      <c r="Y30" s="229">
        <v>-7.7999999999999996E-3</v>
      </c>
      <c r="Z30" s="228">
        <v>1.1499999999999999</v>
      </c>
      <c r="AA30" s="228">
        <v>0.14000000000000001</v>
      </c>
      <c r="AB30" s="228">
        <v>1.01</v>
      </c>
      <c r="AC30" s="229">
        <v>4.7999999999999996E-3</v>
      </c>
      <c r="AD30" s="228">
        <v>-0.01</v>
      </c>
      <c r="AE30" s="228">
        <v>0.14000000000000001</v>
      </c>
      <c r="AF30" s="228">
        <v>-0.15</v>
      </c>
      <c r="AG30" s="229">
        <v>0</v>
      </c>
      <c r="AH30" s="228">
        <v>1.1499999999999999</v>
      </c>
      <c r="AI30" s="228">
        <v>1.36</v>
      </c>
      <c r="AJ30" s="228">
        <v>-0.21</v>
      </c>
      <c r="AK30" s="229">
        <v>4.7999999999999996E-3</v>
      </c>
      <c r="AL30" s="228">
        <v>2.7</v>
      </c>
      <c r="AM30" s="228">
        <v>2.8</v>
      </c>
      <c r="AN30" s="228">
        <v>-0.1</v>
      </c>
      <c r="AO30" s="229">
        <v>1.14E-2</v>
      </c>
      <c r="AP30" s="228">
        <v>238.72</v>
      </c>
      <c r="AQ30" s="228">
        <v>239.83</v>
      </c>
      <c r="AR30" s="228">
        <v>0</v>
      </c>
      <c r="AS30" s="230">
        <v>1220</v>
      </c>
      <c r="AT30" s="230">
        <v>1291</v>
      </c>
      <c r="AU30" s="228">
        <v>-71</v>
      </c>
      <c r="AV30" s="229">
        <v>-5.4899999999999997E-2</v>
      </c>
      <c r="AW30" s="228">
        <v>455</v>
      </c>
      <c r="AX30" s="228">
        <v>602</v>
      </c>
      <c r="AY30" s="228">
        <v>-147</v>
      </c>
      <c r="AZ30" s="229">
        <v>-0.2447</v>
      </c>
      <c r="BA30" s="228">
        <v>747</v>
      </c>
      <c r="BB30" s="228">
        <v>680</v>
      </c>
      <c r="BC30" s="228">
        <v>67</v>
      </c>
      <c r="BD30" s="229">
        <v>9.9199999999999997E-2</v>
      </c>
      <c r="BE30" s="228">
        <v>18</v>
      </c>
      <c r="BF30" s="228">
        <v>9</v>
      </c>
      <c r="BG30" s="228">
        <v>9</v>
      </c>
      <c r="BH30" s="229">
        <v>0.96989999999999998</v>
      </c>
      <c r="BI30" s="228">
        <v>763</v>
      </c>
      <c r="BJ30" s="228">
        <v>915</v>
      </c>
      <c r="BK30" s="228">
        <v>-152</v>
      </c>
      <c r="BL30" s="229">
        <v>-0.16589999999999999</v>
      </c>
      <c r="BM30" s="228">
        <v>609</v>
      </c>
      <c r="BN30" s="228">
        <v>607</v>
      </c>
      <c r="BO30" s="228">
        <v>2</v>
      </c>
      <c r="BP30" s="229">
        <v>3.2000000000000002E-3</v>
      </c>
      <c r="BQ30" s="230">
        <v>2592</v>
      </c>
      <c r="BR30" s="230">
        <v>2813</v>
      </c>
      <c r="BS30" s="228">
        <v>-221</v>
      </c>
      <c r="BT30" s="229">
        <v>-7.85E-2</v>
      </c>
      <c r="BU30" s="230">
        <v>6039740</v>
      </c>
      <c r="BV30" s="230">
        <v>3228147</v>
      </c>
      <c r="BW30" s="230">
        <v>2811593</v>
      </c>
      <c r="BX30" s="229">
        <v>0.871</v>
      </c>
      <c r="BY30" s="230">
        <v>2481</v>
      </c>
      <c r="BZ30" s="230">
        <v>2566</v>
      </c>
      <c r="CA30" s="228">
        <v>-85</v>
      </c>
      <c r="CB30" s="229">
        <v>-3.32E-2</v>
      </c>
      <c r="CC30" s="228">
        <v>130</v>
      </c>
      <c r="CD30" s="228">
        <v>395</v>
      </c>
      <c r="CE30" s="228">
        <v>-264</v>
      </c>
      <c r="CF30" s="229">
        <v>-0.66990000000000005</v>
      </c>
      <c r="CG30" s="230">
        <v>2446</v>
      </c>
      <c r="CH30" s="230">
        <v>2146</v>
      </c>
      <c r="CI30" s="228">
        <v>301</v>
      </c>
      <c r="CJ30" s="229">
        <v>0.14019999999999999</v>
      </c>
      <c r="CK30" s="228">
        <v>34</v>
      </c>
      <c r="CL30" s="228">
        <v>25</v>
      </c>
      <c r="CM30" s="228">
        <v>9</v>
      </c>
      <c r="CN30" s="229">
        <v>0.34620000000000001</v>
      </c>
      <c r="CO30" s="228">
        <v>565</v>
      </c>
      <c r="CP30" s="230">
        <v>1098</v>
      </c>
      <c r="CQ30" s="228">
        <v>-534</v>
      </c>
      <c r="CR30" s="229">
        <v>-0.48580000000000001</v>
      </c>
      <c r="CS30" s="228">
        <v>577</v>
      </c>
      <c r="CT30" s="228">
        <v>970</v>
      </c>
      <c r="CU30" s="228">
        <v>-394</v>
      </c>
      <c r="CV30" s="229">
        <v>-0.40579999999999999</v>
      </c>
      <c r="CW30" s="230">
        <v>3622</v>
      </c>
      <c r="CX30" s="230">
        <v>4635</v>
      </c>
      <c r="CY30" s="230">
        <v>-1013</v>
      </c>
      <c r="CZ30" s="229">
        <v>-0.2185</v>
      </c>
      <c r="DA30" s="228">
        <v>24.16</v>
      </c>
      <c r="DB30" s="228">
        <v>24.21</v>
      </c>
      <c r="DC30" s="228">
        <v>-0.05</v>
      </c>
      <c r="DD30" s="228">
        <v>-0.05</v>
      </c>
      <c r="DE30" s="228">
        <v>38.28</v>
      </c>
      <c r="DF30" s="228">
        <v>38.36</v>
      </c>
      <c r="DG30" s="228">
        <v>-14.12</v>
      </c>
      <c r="DH30" s="228">
        <v>-0.08</v>
      </c>
      <c r="DI30" s="228">
        <v>24.44</v>
      </c>
      <c r="DJ30" s="228">
        <v>24.36</v>
      </c>
      <c r="DK30" s="228">
        <v>0.08</v>
      </c>
      <c r="DL30" s="228">
        <v>0.08</v>
      </c>
      <c r="DM30" s="228">
        <v>23.81</v>
      </c>
      <c r="DN30" s="228">
        <v>23.96</v>
      </c>
      <c r="DO30" s="228">
        <v>-0.15</v>
      </c>
      <c r="DP30" s="228">
        <v>-0.15</v>
      </c>
      <c r="DQ30" s="228">
        <v>1.02</v>
      </c>
      <c r="DR30" s="228">
        <v>0.88</v>
      </c>
      <c r="DS30" s="228">
        <v>0.14000000000000001</v>
      </c>
      <c r="DT30" s="229">
        <v>0.15909999999999999</v>
      </c>
      <c r="DU30" s="228">
        <v>250</v>
      </c>
      <c r="DV30" s="228">
        <v>220</v>
      </c>
      <c r="DW30" s="228">
        <v>0.8</v>
      </c>
      <c r="DX30" s="228">
        <v>0.66</v>
      </c>
      <c r="DY30" s="228">
        <v>0.14000000000000001</v>
      </c>
      <c r="DZ30" s="229">
        <v>0.21210000000000001</v>
      </c>
      <c r="EA30" s="229">
        <v>0.95009999999999994</v>
      </c>
      <c r="EB30" s="230">
        <v>90830025</v>
      </c>
      <c r="EC30" s="229">
        <v>4.8999999999999998E-3</v>
      </c>
      <c r="ED30" s="229">
        <v>0.95009999999999994</v>
      </c>
      <c r="EE30" s="228">
        <v>1.1100000000000001</v>
      </c>
      <c r="EF30" s="229">
        <v>4.5999999999999999E-3</v>
      </c>
      <c r="EG30" s="230">
        <v>1984387</v>
      </c>
      <c r="EH30" s="230">
        <v>1132876</v>
      </c>
      <c r="EI30" s="229">
        <v>0.75160000000000005</v>
      </c>
      <c r="EJ30" s="229">
        <v>0.3286</v>
      </c>
      <c r="EK30" s="228">
        <v>795.09</v>
      </c>
      <c r="EL30" s="228">
        <v>616.29999999999995</v>
      </c>
      <c r="EM30" s="231">
        <v>1222.53</v>
      </c>
      <c r="EN30" s="228">
        <v>0</v>
      </c>
      <c r="EO30" s="231">
        <v>2633.92</v>
      </c>
      <c r="EP30" s="231">
        <v>2878.02</v>
      </c>
      <c r="EQ30" s="228">
        <v>-244.1</v>
      </c>
      <c r="ER30" s="229">
        <v>-8.48E-2</v>
      </c>
      <c r="ES30" s="228">
        <v>583.25</v>
      </c>
      <c r="ET30" s="228">
        <v>578.46</v>
      </c>
      <c r="EU30" s="231">
        <v>2480.89</v>
      </c>
      <c r="EV30" s="231">
        <v>372635498</v>
      </c>
      <c r="EW30" s="231">
        <v>3642.59</v>
      </c>
      <c r="EX30" s="231">
        <v>4696.6899999999996</v>
      </c>
      <c r="EY30" s="231">
        <v>-1054.0999999999999</v>
      </c>
      <c r="EZ30" s="229">
        <v>-0.22439999999999999</v>
      </c>
      <c r="FA30" s="229">
        <v>0.40670000000000001</v>
      </c>
      <c r="FB30" s="227" t="s">
        <v>568</v>
      </c>
      <c r="FC30">
        <f t="shared" si="0"/>
        <v>2351</v>
      </c>
    </row>
    <row r="31" spans="1:159" ht="17.25" thickBot="1" x14ac:dyDescent="0.3">
      <c r="A31" s="226">
        <v>45869</v>
      </c>
      <c r="B31" s="227" t="s">
        <v>172</v>
      </c>
      <c r="C31" s="227" t="s">
        <v>603</v>
      </c>
      <c r="D31" s="228">
        <v>5200</v>
      </c>
      <c r="E31" s="228">
        <v>0</v>
      </c>
      <c r="F31" s="228">
        <v>111.89</v>
      </c>
      <c r="G31" s="228">
        <v>114.76</v>
      </c>
      <c r="H31" s="228">
        <v>-2.87</v>
      </c>
      <c r="I31" s="229">
        <v>-2.5000000000000001E-2</v>
      </c>
      <c r="J31" s="228">
        <v>111.38</v>
      </c>
      <c r="K31" s="228">
        <v>114.14</v>
      </c>
      <c r="L31" s="228">
        <v>-2.76</v>
      </c>
      <c r="M31" s="229">
        <v>-2.4199999999999999E-2</v>
      </c>
      <c r="N31" s="228">
        <v>111.41</v>
      </c>
      <c r="O31" s="228">
        <v>114.52</v>
      </c>
      <c r="P31" s="228">
        <v>-3.11</v>
      </c>
      <c r="Q31" s="229">
        <v>-2.7199999999999998E-2</v>
      </c>
      <c r="R31" s="228">
        <v>111.89</v>
      </c>
      <c r="S31" s="228">
        <v>114.76</v>
      </c>
      <c r="T31" s="228">
        <v>-2.87</v>
      </c>
      <c r="U31" s="229">
        <v>-2.5000000000000001E-2</v>
      </c>
      <c r="V31" s="228">
        <v>112.4</v>
      </c>
      <c r="W31" s="228">
        <v>115.24</v>
      </c>
      <c r="X31" s="228">
        <v>-2.84</v>
      </c>
      <c r="Y31" s="229">
        <v>-2.46E-2</v>
      </c>
      <c r="Z31" s="228">
        <v>0.51</v>
      </c>
      <c r="AA31" s="228">
        <v>0.38</v>
      </c>
      <c r="AB31" s="228">
        <v>0.13</v>
      </c>
      <c r="AC31" s="229">
        <v>4.5999999999999999E-3</v>
      </c>
      <c r="AD31" s="228">
        <v>0.03</v>
      </c>
      <c r="AE31" s="228">
        <v>0.38</v>
      </c>
      <c r="AF31" s="228">
        <v>-0.35</v>
      </c>
      <c r="AG31" s="229">
        <v>2.9999999999999997E-4</v>
      </c>
      <c r="AH31" s="228">
        <v>0.51</v>
      </c>
      <c r="AI31" s="228">
        <v>0.62</v>
      </c>
      <c r="AJ31" s="228">
        <v>-0.11</v>
      </c>
      <c r="AK31" s="229">
        <v>4.5999999999999999E-3</v>
      </c>
      <c r="AL31" s="228">
        <v>1.02</v>
      </c>
      <c r="AM31" s="228">
        <v>1.1000000000000001</v>
      </c>
      <c r="AN31" s="228">
        <v>-0.08</v>
      </c>
      <c r="AO31" s="229">
        <v>9.1999999999999998E-3</v>
      </c>
      <c r="AP31" s="228">
        <v>112.1</v>
      </c>
      <c r="AQ31" s="228">
        <v>112.71</v>
      </c>
      <c r="AR31" s="228">
        <v>0</v>
      </c>
      <c r="AS31" s="228">
        <v>631</v>
      </c>
      <c r="AT31" s="228">
        <v>843</v>
      </c>
      <c r="AU31" s="228">
        <v>-211</v>
      </c>
      <c r="AV31" s="229">
        <v>-0.251</v>
      </c>
      <c r="AW31" s="228">
        <v>238</v>
      </c>
      <c r="AX31" s="228">
        <v>373</v>
      </c>
      <c r="AY31" s="228">
        <v>-134</v>
      </c>
      <c r="AZ31" s="229">
        <v>-0.36020000000000002</v>
      </c>
      <c r="BA31" s="228">
        <v>383</v>
      </c>
      <c r="BB31" s="228">
        <v>459</v>
      </c>
      <c r="BC31" s="228">
        <v>-76</v>
      </c>
      <c r="BD31" s="229">
        <v>-0.1658</v>
      </c>
      <c r="BE31" s="228">
        <v>10</v>
      </c>
      <c r="BF31" s="228">
        <v>11</v>
      </c>
      <c r="BG31" s="228">
        <v>-1</v>
      </c>
      <c r="BH31" s="229">
        <v>-0.1038</v>
      </c>
      <c r="BI31" s="228">
        <v>245</v>
      </c>
      <c r="BJ31" s="228">
        <v>666</v>
      </c>
      <c r="BK31" s="228">
        <v>-421</v>
      </c>
      <c r="BL31" s="229">
        <v>-0.63190000000000002</v>
      </c>
      <c r="BM31" s="228">
        <v>150</v>
      </c>
      <c r="BN31" s="228">
        <v>379</v>
      </c>
      <c r="BO31" s="228">
        <v>-228</v>
      </c>
      <c r="BP31" s="229">
        <v>-0.60340000000000005</v>
      </c>
      <c r="BQ31" s="230">
        <v>1027</v>
      </c>
      <c r="BR31" s="230">
        <v>1887</v>
      </c>
      <c r="BS31" s="228">
        <v>-861</v>
      </c>
      <c r="BT31" s="229">
        <v>-0.45610000000000001</v>
      </c>
      <c r="BU31" s="230">
        <v>8509195</v>
      </c>
      <c r="BV31" s="230">
        <v>23423436</v>
      </c>
      <c r="BW31" s="230">
        <v>-14914241</v>
      </c>
      <c r="BX31" s="229">
        <v>-0.63670000000000004</v>
      </c>
      <c r="BY31" s="228">
        <v>718</v>
      </c>
      <c r="BZ31" s="228">
        <v>712</v>
      </c>
      <c r="CA31" s="228">
        <v>7</v>
      </c>
      <c r="CB31" s="229">
        <v>9.1999999999999998E-3</v>
      </c>
      <c r="CC31" s="228">
        <v>31</v>
      </c>
      <c r="CD31" s="228">
        <v>148</v>
      </c>
      <c r="CE31" s="228">
        <v>-117</v>
      </c>
      <c r="CF31" s="229">
        <v>-0.79259999999999997</v>
      </c>
      <c r="CG31" s="228">
        <v>697</v>
      </c>
      <c r="CH31" s="228">
        <v>548</v>
      </c>
      <c r="CI31" s="228">
        <v>150</v>
      </c>
      <c r="CJ31" s="229">
        <v>0.27310000000000001</v>
      </c>
      <c r="CK31" s="228">
        <v>21</v>
      </c>
      <c r="CL31" s="228">
        <v>16</v>
      </c>
      <c r="CM31" s="228">
        <v>5</v>
      </c>
      <c r="CN31" s="229">
        <v>0.29389999999999999</v>
      </c>
      <c r="CO31" s="228">
        <v>133</v>
      </c>
      <c r="CP31" s="228">
        <v>389</v>
      </c>
      <c r="CQ31" s="228">
        <v>-256</v>
      </c>
      <c r="CR31" s="229">
        <v>-0.65780000000000005</v>
      </c>
      <c r="CS31" s="228">
        <v>107</v>
      </c>
      <c r="CT31" s="228">
        <v>240</v>
      </c>
      <c r="CU31" s="228">
        <v>-134</v>
      </c>
      <c r="CV31" s="229">
        <v>-0.55659999999999998</v>
      </c>
      <c r="CW31" s="228">
        <v>958</v>
      </c>
      <c r="CX31" s="230">
        <v>1341</v>
      </c>
      <c r="CY31" s="228">
        <v>-383</v>
      </c>
      <c r="CZ31" s="229">
        <v>-0.28560000000000002</v>
      </c>
      <c r="DA31" s="228">
        <v>30.26</v>
      </c>
      <c r="DB31" s="228">
        <v>30.8</v>
      </c>
      <c r="DC31" s="228">
        <v>-0.54</v>
      </c>
      <c r="DD31" s="228">
        <v>-0.54</v>
      </c>
      <c r="DE31" s="228">
        <v>42.16</v>
      </c>
      <c r="DF31" s="228">
        <v>42.13</v>
      </c>
      <c r="DG31" s="228">
        <v>-11.9</v>
      </c>
      <c r="DH31" s="228">
        <v>0.03</v>
      </c>
      <c r="DI31" s="228">
        <v>30.7</v>
      </c>
      <c r="DJ31" s="228">
        <v>30.36</v>
      </c>
      <c r="DK31" s="228">
        <v>0.34</v>
      </c>
      <c r="DL31" s="228">
        <v>0.34</v>
      </c>
      <c r="DM31" s="228">
        <v>29.51</v>
      </c>
      <c r="DN31" s="228">
        <v>31.65</v>
      </c>
      <c r="DO31" s="228">
        <v>-2.14</v>
      </c>
      <c r="DP31" s="228">
        <v>-2.14</v>
      </c>
      <c r="DQ31" s="228">
        <v>0.8</v>
      </c>
      <c r="DR31" s="228">
        <v>0.62</v>
      </c>
      <c r="DS31" s="228">
        <v>0.18</v>
      </c>
      <c r="DT31" s="229">
        <v>0.2903</v>
      </c>
      <c r="DU31" s="228">
        <v>115</v>
      </c>
      <c r="DV31" s="228">
        <v>110</v>
      </c>
      <c r="DW31" s="228">
        <v>0.61</v>
      </c>
      <c r="DX31" s="228">
        <v>0.56999999999999995</v>
      </c>
      <c r="DY31" s="228">
        <v>0.04</v>
      </c>
      <c r="DZ31" s="229">
        <v>7.0199999999999999E-2</v>
      </c>
      <c r="EA31" s="229">
        <v>0.95909999999999995</v>
      </c>
      <c r="EB31" s="230">
        <v>50398400</v>
      </c>
      <c r="EC31" s="229">
        <v>4.3E-3</v>
      </c>
      <c r="ED31" s="229">
        <v>0.95909999999999995</v>
      </c>
      <c r="EE31" s="228">
        <v>0.61</v>
      </c>
      <c r="EF31" s="229">
        <v>5.4000000000000003E-3</v>
      </c>
      <c r="EG31" s="230">
        <v>2903711</v>
      </c>
      <c r="EH31" s="230">
        <v>6842574</v>
      </c>
      <c r="EI31" s="229">
        <v>-0.5756</v>
      </c>
      <c r="EJ31" s="229">
        <v>0.3412</v>
      </c>
      <c r="EK31" s="228">
        <v>259.62</v>
      </c>
      <c r="EL31" s="228">
        <v>153.12</v>
      </c>
      <c r="EM31" s="228">
        <v>634.6</v>
      </c>
      <c r="EN31" s="228">
        <v>0</v>
      </c>
      <c r="EO31" s="231">
        <v>1047.3399999999999</v>
      </c>
      <c r="EP31" s="231">
        <v>1965.88</v>
      </c>
      <c r="EQ31" s="228">
        <v>-918.54</v>
      </c>
      <c r="ER31" s="229">
        <v>-0.4672</v>
      </c>
      <c r="ES31" s="228">
        <v>139.97999999999999</v>
      </c>
      <c r="ET31" s="228">
        <v>104.61</v>
      </c>
      <c r="EU31" s="228">
        <v>718.36</v>
      </c>
      <c r="EV31" s="231">
        <v>242361229</v>
      </c>
      <c r="EW31" s="228">
        <v>962.95</v>
      </c>
      <c r="EX31" s="231">
        <v>1389.45</v>
      </c>
      <c r="EY31" s="228">
        <v>-426.5</v>
      </c>
      <c r="EZ31" s="229">
        <v>-0.307</v>
      </c>
      <c r="FA31" s="229">
        <v>0.35320000000000001</v>
      </c>
      <c r="FB31" s="227" t="s">
        <v>567</v>
      </c>
      <c r="FC31">
        <f t="shared" si="0"/>
        <v>687</v>
      </c>
    </row>
    <row r="32" spans="1:159" ht="17.25" thickBot="1" x14ac:dyDescent="0.3">
      <c r="A32" s="226">
        <v>45869</v>
      </c>
      <c r="B32" s="227" t="s">
        <v>181</v>
      </c>
      <c r="C32" s="227" t="s">
        <v>182</v>
      </c>
      <c r="D32" s="228">
        <v>35</v>
      </c>
      <c r="E32" s="228">
        <v>0</v>
      </c>
      <c r="F32" s="231">
        <v>56194</v>
      </c>
      <c r="G32" s="231">
        <v>56359.8</v>
      </c>
      <c r="H32" s="228">
        <v>-165.8</v>
      </c>
      <c r="I32" s="229">
        <v>-2.8999999999999998E-3</v>
      </c>
      <c r="J32" s="231">
        <v>55961.95</v>
      </c>
      <c r="K32" s="231">
        <v>56150.7</v>
      </c>
      <c r="L32" s="228">
        <v>-188.75</v>
      </c>
      <c r="M32" s="229">
        <v>-3.3999999999999998E-3</v>
      </c>
      <c r="N32" s="231">
        <v>55988.800000000003</v>
      </c>
      <c r="O32" s="231">
        <v>56217.599999999999</v>
      </c>
      <c r="P32" s="228">
        <v>-228.8</v>
      </c>
      <c r="Q32" s="229">
        <v>-4.1000000000000003E-3</v>
      </c>
      <c r="R32" s="231">
        <v>56194</v>
      </c>
      <c r="S32" s="231">
        <v>56359.8</v>
      </c>
      <c r="T32" s="228">
        <v>-165.8</v>
      </c>
      <c r="U32" s="229">
        <v>-2.8999999999999998E-3</v>
      </c>
      <c r="V32" s="231">
        <v>56481.4</v>
      </c>
      <c r="W32" s="231">
        <v>56650</v>
      </c>
      <c r="X32" s="228">
        <v>-168.6</v>
      </c>
      <c r="Y32" s="229">
        <v>-3.0000000000000001E-3</v>
      </c>
      <c r="Z32" s="228">
        <v>232.05</v>
      </c>
      <c r="AA32" s="228">
        <v>66.900000000000006</v>
      </c>
      <c r="AB32" s="228">
        <v>165.15</v>
      </c>
      <c r="AC32" s="229">
        <v>4.1000000000000003E-3</v>
      </c>
      <c r="AD32" s="228">
        <v>26.85</v>
      </c>
      <c r="AE32" s="228">
        <v>66.900000000000006</v>
      </c>
      <c r="AF32" s="228">
        <v>-40.049999999999997</v>
      </c>
      <c r="AG32" s="229">
        <v>5.0000000000000001E-4</v>
      </c>
      <c r="AH32" s="228">
        <v>232.05</v>
      </c>
      <c r="AI32" s="228">
        <v>209.1</v>
      </c>
      <c r="AJ32" s="228">
        <v>22.95</v>
      </c>
      <c r="AK32" s="229">
        <v>4.1000000000000003E-3</v>
      </c>
      <c r="AL32" s="228">
        <v>519.45000000000005</v>
      </c>
      <c r="AM32" s="228">
        <v>499.3</v>
      </c>
      <c r="AN32" s="228">
        <v>20.149999999999999</v>
      </c>
      <c r="AO32" s="229">
        <v>9.2999999999999992E-3</v>
      </c>
      <c r="AP32" s="231">
        <v>55933.98</v>
      </c>
      <c r="AQ32" s="231">
        <v>56169.71</v>
      </c>
      <c r="AR32" s="228">
        <v>0</v>
      </c>
      <c r="AS32" s="230">
        <v>20200</v>
      </c>
      <c r="AT32" s="230">
        <v>8412</v>
      </c>
      <c r="AU32" s="230">
        <v>11788</v>
      </c>
      <c r="AV32" s="229">
        <v>1.4014</v>
      </c>
      <c r="AW32" s="230">
        <v>8455</v>
      </c>
      <c r="AX32" s="230">
        <v>4871</v>
      </c>
      <c r="AY32" s="230">
        <v>3584</v>
      </c>
      <c r="AZ32" s="229">
        <v>0.73580000000000001</v>
      </c>
      <c r="BA32" s="230">
        <v>11147</v>
      </c>
      <c r="BB32" s="230">
        <v>3393</v>
      </c>
      <c r="BC32" s="230">
        <v>7754</v>
      </c>
      <c r="BD32" s="229">
        <v>2.2854000000000001</v>
      </c>
      <c r="BE32" s="228">
        <v>598</v>
      </c>
      <c r="BF32" s="228">
        <v>148</v>
      </c>
      <c r="BG32" s="228">
        <v>450</v>
      </c>
      <c r="BH32" s="229">
        <v>3.0466000000000002</v>
      </c>
      <c r="BI32" s="230">
        <v>9337926</v>
      </c>
      <c r="BJ32" s="230">
        <v>1739823</v>
      </c>
      <c r="BK32" s="230">
        <v>7598103</v>
      </c>
      <c r="BL32" s="229">
        <v>4.3672000000000004</v>
      </c>
      <c r="BM32" s="230">
        <v>8064528</v>
      </c>
      <c r="BN32" s="230">
        <v>1462162</v>
      </c>
      <c r="BO32" s="230">
        <v>6602367</v>
      </c>
      <c r="BP32" s="229">
        <v>4.5155000000000003</v>
      </c>
      <c r="BQ32" s="230">
        <v>17422654</v>
      </c>
      <c r="BR32" s="230">
        <v>3210397</v>
      </c>
      <c r="BS32" s="230">
        <v>14212257</v>
      </c>
      <c r="BT32" s="229">
        <v>4.4268999999999998</v>
      </c>
      <c r="BU32" s="228">
        <v>0</v>
      </c>
      <c r="BV32" s="228">
        <v>0</v>
      </c>
      <c r="BW32" s="228">
        <v>0</v>
      </c>
      <c r="BX32" s="229">
        <v>0</v>
      </c>
      <c r="BY32" s="230">
        <v>10989</v>
      </c>
      <c r="BZ32" s="230">
        <v>14699</v>
      </c>
      <c r="CA32" s="230">
        <v>-3711</v>
      </c>
      <c r="CB32" s="229">
        <v>-0.25240000000000001</v>
      </c>
      <c r="CC32" s="230">
        <v>3103</v>
      </c>
      <c r="CD32" s="230">
        <v>6271</v>
      </c>
      <c r="CE32" s="230">
        <v>-3168</v>
      </c>
      <c r="CF32" s="229">
        <v>-0.50509999999999999</v>
      </c>
      <c r="CG32" s="230">
        <v>10263</v>
      </c>
      <c r="CH32" s="230">
        <v>7785</v>
      </c>
      <c r="CI32" s="230">
        <v>2477</v>
      </c>
      <c r="CJ32" s="229">
        <v>0.31819999999999998</v>
      </c>
      <c r="CK32" s="228">
        <v>726</v>
      </c>
      <c r="CL32" s="228">
        <v>644</v>
      </c>
      <c r="CM32" s="228">
        <v>83</v>
      </c>
      <c r="CN32" s="229">
        <v>0.12870000000000001</v>
      </c>
      <c r="CO32" s="230">
        <v>53744</v>
      </c>
      <c r="CP32" s="230">
        <v>197236</v>
      </c>
      <c r="CQ32" s="230">
        <v>-143492</v>
      </c>
      <c r="CR32" s="229">
        <v>-0.72750000000000004</v>
      </c>
      <c r="CS32" s="230">
        <v>52356</v>
      </c>
      <c r="CT32" s="230">
        <v>134558</v>
      </c>
      <c r="CU32" s="230">
        <v>-82203</v>
      </c>
      <c r="CV32" s="229">
        <v>-0.6109</v>
      </c>
      <c r="CW32" s="230">
        <v>117089</v>
      </c>
      <c r="CX32" s="230">
        <v>346494</v>
      </c>
      <c r="CY32" s="230">
        <v>-229405</v>
      </c>
      <c r="CZ32" s="229">
        <v>-0.66210000000000002</v>
      </c>
      <c r="DA32" s="228">
        <v>11.72</v>
      </c>
      <c r="DB32" s="228">
        <v>11.86</v>
      </c>
      <c r="DC32" s="228">
        <v>-0.14000000000000001</v>
      </c>
      <c r="DD32" s="228">
        <v>-0.14000000000000001</v>
      </c>
      <c r="DE32" s="228">
        <v>18.63</v>
      </c>
      <c r="DF32" s="228">
        <v>18.670000000000002</v>
      </c>
      <c r="DG32" s="228">
        <v>-6.91</v>
      </c>
      <c r="DH32" s="228">
        <v>-0.04</v>
      </c>
      <c r="DI32" s="228">
        <v>11.42</v>
      </c>
      <c r="DJ32" s="228">
        <v>11.46</v>
      </c>
      <c r="DK32" s="228">
        <v>-0.04</v>
      </c>
      <c r="DL32" s="228">
        <v>-0.04</v>
      </c>
      <c r="DM32" s="228">
        <v>12.06</v>
      </c>
      <c r="DN32" s="228">
        <v>12.31</v>
      </c>
      <c r="DO32" s="228">
        <v>-0.25</v>
      </c>
      <c r="DP32" s="228">
        <v>-0.25</v>
      </c>
      <c r="DQ32" s="228">
        <v>0.97</v>
      </c>
      <c r="DR32" s="228">
        <v>0.68</v>
      </c>
      <c r="DS32" s="228">
        <v>0.28999999999999998</v>
      </c>
      <c r="DT32" s="229">
        <v>0.42649999999999999</v>
      </c>
      <c r="DU32" s="231">
        <v>56000</v>
      </c>
      <c r="DV32" s="231">
        <v>56000</v>
      </c>
      <c r="DW32" s="228">
        <v>0.86</v>
      </c>
      <c r="DX32" s="228">
        <v>0.84</v>
      </c>
      <c r="DY32" s="228">
        <v>0.02</v>
      </c>
      <c r="DZ32" s="229">
        <v>2.3800000000000002E-2</v>
      </c>
      <c r="EA32" s="229">
        <v>0.77980000000000005</v>
      </c>
      <c r="EB32" s="230">
        <v>1499960</v>
      </c>
      <c r="EC32" s="229">
        <v>3.7000000000000002E-3</v>
      </c>
      <c r="ED32" s="229">
        <v>0.77980000000000005</v>
      </c>
      <c r="EE32" s="228">
        <v>235.73</v>
      </c>
      <c r="EF32" s="229">
        <v>4.1999999999999997E-3</v>
      </c>
      <c r="EG32" s="228">
        <v>0</v>
      </c>
      <c r="EH32" s="228">
        <v>0</v>
      </c>
      <c r="EI32" s="229">
        <v>0</v>
      </c>
      <c r="EJ32" s="229">
        <v>0</v>
      </c>
      <c r="EK32" s="231">
        <v>9402726.8000000007</v>
      </c>
      <c r="EL32" s="231">
        <v>7993501.4199999999</v>
      </c>
      <c r="EM32" s="231">
        <v>20158.09</v>
      </c>
      <c r="EN32" s="228">
        <v>0</v>
      </c>
      <c r="EO32" s="231">
        <v>17416386.309999999</v>
      </c>
      <c r="EP32" s="231">
        <v>3226279.1</v>
      </c>
      <c r="EQ32" s="231">
        <v>14190107.199999999</v>
      </c>
      <c r="ER32" s="229">
        <v>4.3982999999999999</v>
      </c>
      <c r="ES32" s="231">
        <v>55015.4</v>
      </c>
      <c r="ET32" s="231">
        <v>51209.14</v>
      </c>
      <c r="EU32" s="231">
        <v>10992.56</v>
      </c>
      <c r="EV32" s="228">
        <v>0</v>
      </c>
      <c r="EW32" s="231">
        <v>117217.1</v>
      </c>
      <c r="EX32" s="231">
        <v>349447.86</v>
      </c>
      <c r="EY32" s="231">
        <v>-232230.76</v>
      </c>
      <c r="EZ32" s="229">
        <v>-0.66459999999999997</v>
      </c>
      <c r="FA32" s="229">
        <v>0</v>
      </c>
      <c r="FB32" s="227" t="s">
        <v>568</v>
      </c>
      <c r="FC32">
        <f t="shared" si="0"/>
        <v>7886</v>
      </c>
    </row>
    <row r="33" spans="1:159" ht="17.25" thickBot="1" x14ac:dyDescent="0.3">
      <c r="A33" s="226">
        <v>45869</v>
      </c>
      <c r="B33" s="227" t="s">
        <v>184</v>
      </c>
      <c r="C33" s="227" t="s">
        <v>673</v>
      </c>
      <c r="D33" s="228">
        <v>325</v>
      </c>
      <c r="E33" s="228">
        <v>0</v>
      </c>
      <c r="F33" s="231">
        <v>1627.1</v>
      </c>
      <c r="G33" s="231">
        <v>1630.8</v>
      </c>
      <c r="H33" s="228">
        <v>-3.7</v>
      </c>
      <c r="I33" s="229">
        <v>-2.3E-3</v>
      </c>
      <c r="J33" s="231">
        <v>1619</v>
      </c>
      <c r="K33" s="231">
        <v>1620.3</v>
      </c>
      <c r="L33" s="228">
        <v>-1.3</v>
      </c>
      <c r="M33" s="229">
        <v>-8.0000000000000004E-4</v>
      </c>
      <c r="N33" s="231">
        <v>1618.9</v>
      </c>
      <c r="O33" s="231">
        <v>1622.4</v>
      </c>
      <c r="P33" s="228">
        <v>-3.5</v>
      </c>
      <c r="Q33" s="229">
        <v>-2.2000000000000001E-3</v>
      </c>
      <c r="R33" s="231">
        <v>1627.1</v>
      </c>
      <c r="S33" s="231">
        <v>1630.8</v>
      </c>
      <c r="T33" s="228">
        <v>-3.7</v>
      </c>
      <c r="U33" s="229">
        <v>-2.3E-3</v>
      </c>
      <c r="V33" s="231">
        <v>1635.8</v>
      </c>
      <c r="W33" s="231">
        <v>1638.7</v>
      </c>
      <c r="X33" s="228">
        <v>-2.9</v>
      </c>
      <c r="Y33" s="229">
        <v>-1.8E-3</v>
      </c>
      <c r="Z33" s="228">
        <v>8.1</v>
      </c>
      <c r="AA33" s="228">
        <v>2.1</v>
      </c>
      <c r="AB33" s="228">
        <v>6</v>
      </c>
      <c r="AC33" s="229">
        <v>5.0000000000000001E-3</v>
      </c>
      <c r="AD33" s="228">
        <v>-0.1</v>
      </c>
      <c r="AE33" s="228">
        <v>2.1</v>
      </c>
      <c r="AF33" s="228">
        <v>-2.2000000000000002</v>
      </c>
      <c r="AG33" s="229">
        <v>-1E-4</v>
      </c>
      <c r="AH33" s="228">
        <v>8.1</v>
      </c>
      <c r="AI33" s="228">
        <v>10.5</v>
      </c>
      <c r="AJ33" s="228">
        <v>-2.4</v>
      </c>
      <c r="AK33" s="229">
        <v>5.0000000000000001E-3</v>
      </c>
      <c r="AL33" s="228">
        <v>16.8</v>
      </c>
      <c r="AM33" s="228">
        <v>18.399999999999999</v>
      </c>
      <c r="AN33" s="228">
        <v>-1.6</v>
      </c>
      <c r="AO33" s="229">
        <v>1.04E-2</v>
      </c>
      <c r="AP33" s="231">
        <v>1619.55</v>
      </c>
      <c r="AQ33" s="231">
        <v>1628.33</v>
      </c>
      <c r="AR33" s="228">
        <v>0</v>
      </c>
      <c r="AS33" s="228">
        <v>529</v>
      </c>
      <c r="AT33" s="228">
        <v>341</v>
      </c>
      <c r="AU33" s="228">
        <v>188</v>
      </c>
      <c r="AV33" s="229">
        <v>0.55210000000000004</v>
      </c>
      <c r="AW33" s="228">
        <v>235</v>
      </c>
      <c r="AX33" s="228">
        <v>158</v>
      </c>
      <c r="AY33" s="228">
        <v>77</v>
      </c>
      <c r="AZ33" s="229">
        <v>0.49080000000000001</v>
      </c>
      <c r="BA33" s="228">
        <v>290</v>
      </c>
      <c r="BB33" s="228">
        <v>181</v>
      </c>
      <c r="BC33" s="228">
        <v>110</v>
      </c>
      <c r="BD33" s="229">
        <v>0.60589999999999999</v>
      </c>
      <c r="BE33" s="228">
        <v>3</v>
      </c>
      <c r="BF33" s="228">
        <v>2</v>
      </c>
      <c r="BG33" s="228">
        <v>1</v>
      </c>
      <c r="BH33" s="229">
        <v>0.52629999999999999</v>
      </c>
      <c r="BI33" s="228">
        <v>460</v>
      </c>
      <c r="BJ33" s="228">
        <v>477</v>
      </c>
      <c r="BK33" s="228">
        <v>-17</v>
      </c>
      <c r="BL33" s="229">
        <v>-3.6499999999999998E-2</v>
      </c>
      <c r="BM33" s="228">
        <v>179</v>
      </c>
      <c r="BN33" s="228">
        <v>163</v>
      </c>
      <c r="BO33" s="228">
        <v>16</v>
      </c>
      <c r="BP33" s="229">
        <v>9.7699999999999995E-2</v>
      </c>
      <c r="BQ33" s="230">
        <v>1168</v>
      </c>
      <c r="BR33" s="228">
        <v>981</v>
      </c>
      <c r="BS33" s="228">
        <v>187</v>
      </c>
      <c r="BT33" s="229">
        <v>0.19020000000000001</v>
      </c>
      <c r="BU33" s="230">
        <v>908901</v>
      </c>
      <c r="BV33" s="230">
        <v>753672</v>
      </c>
      <c r="BW33" s="230">
        <v>155229</v>
      </c>
      <c r="BX33" s="229">
        <v>0.20599999999999999</v>
      </c>
      <c r="BY33" s="228">
        <v>631</v>
      </c>
      <c r="BZ33" s="228">
        <v>685</v>
      </c>
      <c r="CA33" s="228">
        <v>-54</v>
      </c>
      <c r="CB33" s="229">
        <v>-7.9200000000000007E-2</v>
      </c>
      <c r="CC33" s="228">
        <v>51</v>
      </c>
      <c r="CD33" s="228">
        <v>170</v>
      </c>
      <c r="CE33" s="228">
        <v>-119</v>
      </c>
      <c r="CF33" s="229">
        <v>-0.69940000000000002</v>
      </c>
      <c r="CG33" s="228">
        <v>618</v>
      </c>
      <c r="CH33" s="228">
        <v>503</v>
      </c>
      <c r="CI33" s="228">
        <v>114</v>
      </c>
      <c r="CJ33" s="229">
        <v>0.2273</v>
      </c>
      <c r="CK33" s="228">
        <v>14</v>
      </c>
      <c r="CL33" s="228">
        <v>13</v>
      </c>
      <c r="CM33" s="228">
        <v>1</v>
      </c>
      <c r="CN33" s="229">
        <v>7.4999999999999997E-2</v>
      </c>
      <c r="CO33" s="228">
        <v>179</v>
      </c>
      <c r="CP33" s="228">
        <v>645</v>
      </c>
      <c r="CQ33" s="228">
        <v>-466</v>
      </c>
      <c r="CR33" s="229">
        <v>-0.72240000000000004</v>
      </c>
      <c r="CS33" s="228">
        <v>126</v>
      </c>
      <c r="CT33" s="228">
        <v>274</v>
      </c>
      <c r="CU33" s="228">
        <v>-148</v>
      </c>
      <c r="CV33" s="229">
        <v>-0.5403</v>
      </c>
      <c r="CW33" s="228">
        <v>936</v>
      </c>
      <c r="CX33" s="230">
        <v>1604</v>
      </c>
      <c r="CY33" s="228">
        <v>-668</v>
      </c>
      <c r="CZ33" s="229">
        <v>-0.41639999999999999</v>
      </c>
      <c r="DA33" s="228">
        <v>35.61</v>
      </c>
      <c r="DB33" s="228">
        <v>36.36</v>
      </c>
      <c r="DC33" s="228">
        <v>-0.75</v>
      </c>
      <c r="DD33" s="228">
        <v>-0.75</v>
      </c>
      <c r="DE33" s="228">
        <v>55.65</v>
      </c>
      <c r="DF33" s="228">
        <v>55.79</v>
      </c>
      <c r="DG33" s="228">
        <v>-20.04</v>
      </c>
      <c r="DH33" s="228">
        <v>-0.14000000000000001</v>
      </c>
      <c r="DI33" s="228">
        <v>35.21</v>
      </c>
      <c r="DJ33" s="228">
        <v>36.04</v>
      </c>
      <c r="DK33" s="228">
        <v>-0.83</v>
      </c>
      <c r="DL33" s="228">
        <v>-0.83</v>
      </c>
      <c r="DM33" s="228">
        <v>36.450000000000003</v>
      </c>
      <c r="DN33" s="228">
        <v>37.11</v>
      </c>
      <c r="DO33" s="228">
        <v>-0.66</v>
      </c>
      <c r="DP33" s="228">
        <v>-0.66</v>
      </c>
      <c r="DQ33" s="228">
        <v>0.7</v>
      </c>
      <c r="DR33" s="228">
        <v>0.43</v>
      </c>
      <c r="DS33" s="228">
        <v>0.27</v>
      </c>
      <c r="DT33" s="229">
        <v>0.62790000000000001</v>
      </c>
      <c r="DU33" s="231">
        <v>2000</v>
      </c>
      <c r="DV33" s="231">
        <v>1900</v>
      </c>
      <c r="DW33" s="228">
        <v>0.39</v>
      </c>
      <c r="DX33" s="228">
        <v>0.34</v>
      </c>
      <c r="DY33" s="228">
        <v>0.05</v>
      </c>
      <c r="DZ33" s="229">
        <v>0.14710000000000001</v>
      </c>
      <c r="EA33" s="229">
        <v>0.92530000000000001</v>
      </c>
      <c r="EB33" s="230">
        <v>3170375</v>
      </c>
      <c r="EC33" s="229">
        <v>5.1000000000000004E-3</v>
      </c>
      <c r="ED33" s="229">
        <v>0.92530000000000001</v>
      </c>
      <c r="EE33" s="228">
        <v>8.7799999999999994</v>
      </c>
      <c r="EF33" s="229">
        <v>5.4000000000000003E-3</v>
      </c>
      <c r="EG33" s="230">
        <v>204559</v>
      </c>
      <c r="EH33" s="230">
        <v>210974</v>
      </c>
      <c r="EI33" s="229">
        <v>-3.04E-2</v>
      </c>
      <c r="EJ33" s="229">
        <v>0.22509999999999999</v>
      </c>
      <c r="EK33" s="228">
        <v>512.04999999999995</v>
      </c>
      <c r="EL33" s="228">
        <v>186.19</v>
      </c>
      <c r="EM33" s="228">
        <v>527.79</v>
      </c>
      <c r="EN33" s="228">
        <v>0</v>
      </c>
      <c r="EO33" s="231">
        <v>1226.03</v>
      </c>
      <c r="EP33" s="231">
        <v>1033.51</v>
      </c>
      <c r="EQ33" s="228">
        <v>192.52</v>
      </c>
      <c r="ER33" s="229">
        <v>0.18629999999999999</v>
      </c>
      <c r="ES33" s="228">
        <v>200.28</v>
      </c>
      <c r="ET33" s="228">
        <v>130.69999999999999</v>
      </c>
      <c r="EU33" s="228">
        <v>631.26</v>
      </c>
      <c r="EV33" s="231">
        <v>18382289</v>
      </c>
      <c r="EW33" s="228">
        <v>962.24</v>
      </c>
      <c r="EX33" s="231">
        <v>1733.11</v>
      </c>
      <c r="EY33" s="228">
        <v>-770.87</v>
      </c>
      <c r="EZ33" s="229">
        <v>-0.44479999999999997</v>
      </c>
      <c r="FA33" s="229">
        <v>0.313</v>
      </c>
      <c r="FB33" s="227" t="s">
        <v>568</v>
      </c>
      <c r="FC33">
        <f t="shared" si="0"/>
        <v>580</v>
      </c>
    </row>
    <row r="34" spans="1:159" ht="17.25" thickBot="1" x14ac:dyDescent="0.3">
      <c r="A34" s="226">
        <v>45869</v>
      </c>
      <c r="B34" s="227" t="s">
        <v>184</v>
      </c>
      <c r="C34" s="227" t="s">
        <v>185</v>
      </c>
      <c r="D34" s="228">
        <v>2850</v>
      </c>
      <c r="E34" s="228">
        <v>0</v>
      </c>
      <c r="F34" s="228">
        <v>384.9</v>
      </c>
      <c r="G34" s="228">
        <v>388.2</v>
      </c>
      <c r="H34" s="228">
        <v>-3.3</v>
      </c>
      <c r="I34" s="229">
        <v>-8.5000000000000006E-3</v>
      </c>
      <c r="J34" s="228">
        <v>383.1</v>
      </c>
      <c r="K34" s="228">
        <v>386.5</v>
      </c>
      <c r="L34" s="228">
        <v>-3.4</v>
      </c>
      <c r="M34" s="229">
        <v>-8.8000000000000005E-3</v>
      </c>
      <c r="N34" s="228">
        <v>383.25</v>
      </c>
      <c r="O34" s="228">
        <v>386.65</v>
      </c>
      <c r="P34" s="228">
        <v>-3.4</v>
      </c>
      <c r="Q34" s="229">
        <v>-8.8000000000000005E-3</v>
      </c>
      <c r="R34" s="228">
        <v>384.9</v>
      </c>
      <c r="S34" s="228">
        <v>388.2</v>
      </c>
      <c r="T34" s="228">
        <v>-3.3</v>
      </c>
      <c r="U34" s="229">
        <v>-8.5000000000000006E-3</v>
      </c>
      <c r="V34" s="228">
        <v>386.75</v>
      </c>
      <c r="W34" s="228">
        <v>390.15</v>
      </c>
      <c r="X34" s="228">
        <v>-3.4</v>
      </c>
      <c r="Y34" s="229">
        <v>-8.6999999999999994E-3</v>
      </c>
      <c r="Z34" s="228">
        <v>1.8</v>
      </c>
      <c r="AA34" s="228">
        <v>0.15</v>
      </c>
      <c r="AB34" s="228">
        <v>1.65</v>
      </c>
      <c r="AC34" s="229">
        <v>4.7000000000000002E-3</v>
      </c>
      <c r="AD34" s="228">
        <v>0.15</v>
      </c>
      <c r="AE34" s="228">
        <v>0.15</v>
      </c>
      <c r="AF34" s="228">
        <v>0</v>
      </c>
      <c r="AG34" s="229">
        <v>4.0000000000000002E-4</v>
      </c>
      <c r="AH34" s="228">
        <v>1.8</v>
      </c>
      <c r="AI34" s="228">
        <v>1.7</v>
      </c>
      <c r="AJ34" s="228">
        <v>0.1</v>
      </c>
      <c r="AK34" s="229">
        <v>4.7000000000000002E-3</v>
      </c>
      <c r="AL34" s="228">
        <v>3.65</v>
      </c>
      <c r="AM34" s="228">
        <v>3.65</v>
      </c>
      <c r="AN34" s="228">
        <v>0</v>
      </c>
      <c r="AO34" s="229">
        <v>9.4999999999999998E-3</v>
      </c>
      <c r="AP34" s="228">
        <v>384.89</v>
      </c>
      <c r="AQ34" s="228">
        <v>386.32</v>
      </c>
      <c r="AR34" s="228">
        <v>0</v>
      </c>
      <c r="AS34" s="230">
        <v>2563</v>
      </c>
      <c r="AT34" s="230">
        <v>2139</v>
      </c>
      <c r="AU34" s="228">
        <v>424</v>
      </c>
      <c r="AV34" s="229">
        <v>0.19800000000000001</v>
      </c>
      <c r="AW34" s="230">
        <v>1098</v>
      </c>
      <c r="AX34" s="228">
        <v>986</v>
      </c>
      <c r="AY34" s="228">
        <v>112</v>
      </c>
      <c r="AZ34" s="229">
        <v>0.114</v>
      </c>
      <c r="BA34" s="230">
        <v>1380</v>
      </c>
      <c r="BB34" s="230">
        <v>1067</v>
      </c>
      <c r="BC34" s="228">
        <v>312</v>
      </c>
      <c r="BD34" s="229">
        <v>0.29260000000000003</v>
      </c>
      <c r="BE34" s="228">
        <v>85</v>
      </c>
      <c r="BF34" s="228">
        <v>86</v>
      </c>
      <c r="BG34" s="228">
        <v>-1</v>
      </c>
      <c r="BH34" s="229">
        <v>-1.4E-2</v>
      </c>
      <c r="BI34" s="230">
        <v>3523</v>
      </c>
      <c r="BJ34" s="230">
        <v>4956</v>
      </c>
      <c r="BK34" s="230">
        <v>-1432</v>
      </c>
      <c r="BL34" s="229">
        <v>-0.28899999999999998</v>
      </c>
      <c r="BM34" s="230">
        <v>2264</v>
      </c>
      <c r="BN34" s="230">
        <v>1823</v>
      </c>
      <c r="BO34" s="228">
        <v>442</v>
      </c>
      <c r="BP34" s="229">
        <v>0.24229999999999999</v>
      </c>
      <c r="BQ34" s="230">
        <v>8351</v>
      </c>
      <c r="BR34" s="230">
        <v>8918</v>
      </c>
      <c r="BS34" s="228">
        <v>-567</v>
      </c>
      <c r="BT34" s="229">
        <v>-6.3600000000000004E-2</v>
      </c>
      <c r="BU34" s="230">
        <v>10201282</v>
      </c>
      <c r="BV34" s="230">
        <v>11972982</v>
      </c>
      <c r="BW34" s="230">
        <v>-1771700</v>
      </c>
      <c r="BX34" s="229">
        <v>-0.14799999999999999</v>
      </c>
      <c r="BY34" s="230">
        <v>4549</v>
      </c>
      <c r="BZ34" s="230">
        <v>4839</v>
      </c>
      <c r="CA34" s="228">
        <v>-290</v>
      </c>
      <c r="CB34" s="229">
        <v>-0.06</v>
      </c>
      <c r="CC34" s="228">
        <v>319</v>
      </c>
      <c r="CD34" s="228">
        <v>978</v>
      </c>
      <c r="CE34" s="228">
        <v>-658</v>
      </c>
      <c r="CF34" s="229">
        <v>-0.67330000000000001</v>
      </c>
      <c r="CG34" s="230">
        <v>4398</v>
      </c>
      <c r="CH34" s="230">
        <v>3727</v>
      </c>
      <c r="CI34" s="228">
        <v>671</v>
      </c>
      <c r="CJ34" s="229">
        <v>0.18</v>
      </c>
      <c r="CK34" s="228">
        <v>150</v>
      </c>
      <c r="CL34" s="228">
        <v>134</v>
      </c>
      <c r="CM34" s="228">
        <v>16</v>
      </c>
      <c r="CN34" s="229">
        <v>0.1229</v>
      </c>
      <c r="CO34" s="230">
        <v>1707</v>
      </c>
      <c r="CP34" s="230">
        <v>3833</v>
      </c>
      <c r="CQ34" s="230">
        <v>-2127</v>
      </c>
      <c r="CR34" s="229">
        <v>-0.55479999999999996</v>
      </c>
      <c r="CS34" s="230">
        <v>1196</v>
      </c>
      <c r="CT34" s="230">
        <v>2011</v>
      </c>
      <c r="CU34" s="228">
        <v>-814</v>
      </c>
      <c r="CV34" s="229">
        <v>-0.40500000000000003</v>
      </c>
      <c r="CW34" s="230">
        <v>7452</v>
      </c>
      <c r="CX34" s="230">
        <v>10683</v>
      </c>
      <c r="CY34" s="230">
        <v>-3231</v>
      </c>
      <c r="CZ34" s="229">
        <v>-0.30249999999999999</v>
      </c>
      <c r="DA34" s="228">
        <v>26.04</v>
      </c>
      <c r="DB34" s="228">
        <v>26.55</v>
      </c>
      <c r="DC34" s="228">
        <v>-0.51</v>
      </c>
      <c r="DD34" s="228">
        <v>-0.51</v>
      </c>
      <c r="DE34" s="228">
        <v>40.200000000000003</v>
      </c>
      <c r="DF34" s="228">
        <v>40.29</v>
      </c>
      <c r="DG34" s="228">
        <v>-14.16</v>
      </c>
      <c r="DH34" s="228">
        <v>-0.09</v>
      </c>
      <c r="DI34" s="228">
        <v>26.3</v>
      </c>
      <c r="DJ34" s="228">
        <v>26.82</v>
      </c>
      <c r="DK34" s="228">
        <v>-0.52</v>
      </c>
      <c r="DL34" s="228">
        <v>-0.52</v>
      </c>
      <c r="DM34" s="228">
        <v>25.68</v>
      </c>
      <c r="DN34" s="228">
        <v>26.07</v>
      </c>
      <c r="DO34" s="228">
        <v>-0.39</v>
      </c>
      <c r="DP34" s="228">
        <v>-0.39</v>
      </c>
      <c r="DQ34" s="228">
        <v>0.7</v>
      </c>
      <c r="DR34" s="228">
        <v>0.52</v>
      </c>
      <c r="DS34" s="228">
        <v>0.18</v>
      </c>
      <c r="DT34" s="229">
        <v>0.34620000000000001</v>
      </c>
      <c r="DU34" s="228">
        <v>400</v>
      </c>
      <c r="DV34" s="228">
        <v>390</v>
      </c>
      <c r="DW34" s="228">
        <v>0.64</v>
      </c>
      <c r="DX34" s="228">
        <v>0.37</v>
      </c>
      <c r="DY34" s="228">
        <v>0.27</v>
      </c>
      <c r="DZ34" s="229">
        <v>0.72970000000000002</v>
      </c>
      <c r="EA34" s="229">
        <v>0.93440000000000001</v>
      </c>
      <c r="EB34" s="230">
        <v>100314300</v>
      </c>
      <c r="EC34" s="229">
        <v>4.3E-3</v>
      </c>
      <c r="ED34" s="229">
        <v>0.93440000000000001</v>
      </c>
      <c r="EE34" s="228">
        <v>1.43</v>
      </c>
      <c r="EF34" s="229">
        <v>3.7000000000000002E-3</v>
      </c>
      <c r="EG34" s="230">
        <v>4413062</v>
      </c>
      <c r="EH34" s="230">
        <v>5644200</v>
      </c>
      <c r="EI34" s="229">
        <v>-0.21809999999999999</v>
      </c>
      <c r="EJ34" s="229">
        <v>0.43259999999999998</v>
      </c>
      <c r="EK34" s="231">
        <v>3694.16</v>
      </c>
      <c r="EL34" s="231">
        <v>2318.92</v>
      </c>
      <c r="EM34" s="231">
        <v>2568.38</v>
      </c>
      <c r="EN34" s="228">
        <v>0</v>
      </c>
      <c r="EO34" s="231">
        <v>8581.4500000000007</v>
      </c>
      <c r="EP34" s="231">
        <v>9252.06</v>
      </c>
      <c r="EQ34" s="228">
        <v>-670.61</v>
      </c>
      <c r="ER34" s="229">
        <v>-7.2499999999999995E-2</v>
      </c>
      <c r="ES34" s="231">
        <v>1830.97</v>
      </c>
      <c r="ET34" s="231">
        <v>1199.08</v>
      </c>
      <c r="EU34" s="231">
        <v>4549.29</v>
      </c>
      <c r="EV34" s="231">
        <v>714371379</v>
      </c>
      <c r="EW34" s="231">
        <v>7579.34</v>
      </c>
      <c r="EX34" s="231">
        <v>11091.43</v>
      </c>
      <c r="EY34" s="231">
        <v>-3512.09</v>
      </c>
      <c r="EZ34" s="229">
        <v>-0.31659999999999999</v>
      </c>
      <c r="FA34" s="229">
        <v>0.27100000000000002</v>
      </c>
      <c r="FB34" s="227" t="s">
        <v>568</v>
      </c>
      <c r="FC34">
        <f t="shared" si="0"/>
        <v>4230</v>
      </c>
    </row>
    <row r="35" spans="1:159" ht="17.25" thickBot="1" x14ac:dyDescent="0.3">
      <c r="A35" s="226">
        <v>45869</v>
      </c>
      <c r="B35" s="227" t="s">
        <v>162</v>
      </c>
      <c r="C35" s="227" t="s">
        <v>187</v>
      </c>
      <c r="D35" s="228">
        <v>500</v>
      </c>
      <c r="E35" s="228">
        <v>0</v>
      </c>
      <c r="F35" s="231">
        <v>1171.5</v>
      </c>
      <c r="G35" s="231">
        <v>1189.5999999999999</v>
      </c>
      <c r="H35" s="228">
        <v>-18.100000000000001</v>
      </c>
      <c r="I35" s="229">
        <v>-1.52E-2</v>
      </c>
      <c r="J35" s="231">
        <v>1169.0999999999999</v>
      </c>
      <c r="K35" s="231">
        <v>1188.5999999999999</v>
      </c>
      <c r="L35" s="228">
        <v>-19.5</v>
      </c>
      <c r="M35" s="229">
        <v>-1.6400000000000001E-2</v>
      </c>
      <c r="N35" s="231">
        <v>1167.4000000000001</v>
      </c>
      <c r="O35" s="231">
        <v>1186.8</v>
      </c>
      <c r="P35" s="228">
        <v>-19.399999999999999</v>
      </c>
      <c r="Q35" s="229">
        <v>-1.6299999999999999E-2</v>
      </c>
      <c r="R35" s="231">
        <v>1171.5</v>
      </c>
      <c r="S35" s="231">
        <v>1189.5999999999999</v>
      </c>
      <c r="T35" s="228">
        <v>-18.100000000000001</v>
      </c>
      <c r="U35" s="229">
        <v>-1.52E-2</v>
      </c>
      <c r="V35" s="231">
        <v>1177.2</v>
      </c>
      <c r="W35" s="231">
        <v>1195.8</v>
      </c>
      <c r="X35" s="228">
        <v>-18.600000000000001</v>
      </c>
      <c r="Y35" s="229">
        <v>-1.5599999999999999E-2</v>
      </c>
      <c r="Z35" s="228">
        <v>2.4</v>
      </c>
      <c r="AA35" s="228">
        <v>-1.8</v>
      </c>
      <c r="AB35" s="228">
        <v>4.2</v>
      </c>
      <c r="AC35" s="229">
        <v>2.0999999999999999E-3</v>
      </c>
      <c r="AD35" s="228">
        <v>-1.7</v>
      </c>
      <c r="AE35" s="228">
        <v>-1.8</v>
      </c>
      <c r="AF35" s="228">
        <v>0.1</v>
      </c>
      <c r="AG35" s="229">
        <v>-1.5E-3</v>
      </c>
      <c r="AH35" s="228">
        <v>2.4</v>
      </c>
      <c r="AI35" s="228">
        <v>1</v>
      </c>
      <c r="AJ35" s="228">
        <v>1.4</v>
      </c>
      <c r="AK35" s="229">
        <v>2.0999999999999999E-3</v>
      </c>
      <c r="AL35" s="228">
        <v>8.1</v>
      </c>
      <c r="AM35" s="228">
        <v>7.2</v>
      </c>
      <c r="AN35" s="228">
        <v>0.9</v>
      </c>
      <c r="AO35" s="229">
        <v>6.8999999999999999E-3</v>
      </c>
      <c r="AP35" s="231">
        <v>1164.3</v>
      </c>
      <c r="AQ35" s="231">
        <v>1167.1600000000001</v>
      </c>
      <c r="AR35" s="228">
        <v>0</v>
      </c>
      <c r="AS35" s="228">
        <v>888</v>
      </c>
      <c r="AT35" s="230">
        <v>1075</v>
      </c>
      <c r="AU35" s="228">
        <v>-188</v>
      </c>
      <c r="AV35" s="229">
        <v>-0.17449999999999999</v>
      </c>
      <c r="AW35" s="228">
        <v>298</v>
      </c>
      <c r="AX35" s="228">
        <v>477</v>
      </c>
      <c r="AY35" s="228">
        <v>-179</v>
      </c>
      <c r="AZ35" s="229">
        <v>-0.37580000000000002</v>
      </c>
      <c r="BA35" s="228">
        <v>575</v>
      </c>
      <c r="BB35" s="228">
        <v>586</v>
      </c>
      <c r="BC35" s="228">
        <v>-11</v>
      </c>
      <c r="BD35" s="229">
        <v>-1.9E-2</v>
      </c>
      <c r="BE35" s="228">
        <v>15</v>
      </c>
      <c r="BF35" s="228">
        <v>12</v>
      </c>
      <c r="BG35" s="228">
        <v>3</v>
      </c>
      <c r="BH35" s="229">
        <v>0.2356</v>
      </c>
      <c r="BI35" s="228">
        <v>486</v>
      </c>
      <c r="BJ35" s="228">
        <v>548</v>
      </c>
      <c r="BK35" s="228">
        <v>-61</v>
      </c>
      <c r="BL35" s="229">
        <v>-0.11169999999999999</v>
      </c>
      <c r="BM35" s="228">
        <v>473</v>
      </c>
      <c r="BN35" s="228">
        <v>617</v>
      </c>
      <c r="BO35" s="228">
        <v>-144</v>
      </c>
      <c r="BP35" s="229">
        <v>-0.23330000000000001</v>
      </c>
      <c r="BQ35" s="230">
        <v>1847</v>
      </c>
      <c r="BR35" s="230">
        <v>2240</v>
      </c>
      <c r="BS35" s="228">
        <v>-393</v>
      </c>
      <c r="BT35" s="229">
        <v>-0.17530000000000001</v>
      </c>
      <c r="BU35" s="230">
        <v>1956915</v>
      </c>
      <c r="BV35" s="230">
        <v>1315350</v>
      </c>
      <c r="BW35" s="230">
        <v>641565</v>
      </c>
      <c r="BX35" s="229">
        <v>0.48780000000000001</v>
      </c>
      <c r="BY35" s="230">
        <v>1311</v>
      </c>
      <c r="BZ35" s="230">
        <v>1403</v>
      </c>
      <c r="CA35" s="228">
        <v>-92</v>
      </c>
      <c r="CB35" s="229">
        <v>-6.54E-2</v>
      </c>
      <c r="CC35" s="228">
        <v>70</v>
      </c>
      <c r="CD35" s="228">
        <v>223</v>
      </c>
      <c r="CE35" s="228">
        <v>-153</v>
      </c>
      <c r="CF35" s="229">
        <v>-0.68659999999999999</v>
      </c>
      <c r="CG35" s="230">
        <v>1291</v>
      </c>
      <c r="CH35" s="230">
        <v>1161</v>
      </c>
      <c r="CI35" s="228">
        <v>130</v>
      </c>
      <c r="CJ35" s="229">
        <v>0.11169999999999999</v>
      </c>
      <c r="CK35" s="228">
        <v>20</v>
      </c>
      <c r="CL35" s="228">
        <v>18</v>
      </c>
      <c r="CM35" s="228">
        <v>2</v>
      </c>
      <c r="CN35" s="229">
        <v>8.7099999999999997E-2</v>
      </c>
      <c r="CO35" s="228">
        <v>178</v>
      </c>
      <c r="CP35" s="228">
        <v>447</v>
      </c>
      <c r="CQ35" s="228">
        <v>-269</v>
      </c>
      <c r="CR35" s="229">
        <v>-0.60160000000000002</v>
      </c>
      <c r="CS35" s="228">
        <v>208</v>
      </c>
      <c r="CT35" s="228">
        <v>307</v>
      </c>
      <c r="CU35" s="228">
        <v>-100</v>
      </c>
      <c r="CV35" s="229">
        <v>-0.32390000000000002</v>
      </c>
      <c r="CW35" s="230">
        <v>1697</v>
      </c>
      <c r="CX35" s="230">
        <v>2157</v>
      </c>
      <c r="CY35" s="228">
        <v>-460</v>
      </c>
      <c r="CZ35" s="229">
        <v>-0.21329999999999999</v>
      </c>
      <c r="DA35" s="228">
        <v>32.17</v>
      </c>
      <c r="DB35" s="228">
        <v>31.88</v>
      </c>
      <c r="DC35" s="228">
        <v>0.28999999999999998</v>
      </c>
      <c r="DD35" s="228">
        <v>0.28999999999999998</v>
      </c>
      <c r="DE35" s="228">
        <v>39.69</v>
      </c>
      <c r="DF35" s="228">
        <v>39.74</v>
      </c>
      <c r="DG35" s="228">
        <v>-7.52</v>
      </c>
      <c r="DH35" s="228">
        <v>-0.05</v>
      </c>
      <c r="DI35" s="228">
        <v>31.97</v>
      </c>
      <c r="DJ35" s="228">
        <v>32.06</v>
      </c>
      <c r="DK35" s="228">
        <v>-0.09</v>
      </c>
      <c r="DL35" s="228">
        <v>-0.09</v>
      </c>
      <c r="DM35" s="228">
        <v>32.36</v>
      </c>
      <c r="DN35" s="228">
        <v>31.69</v>
      </c>
      <c r="DO35" s="228">
        <v>0.67</v>
      </c>
      <c r="DP35" s="228">
        <v>0.67</v>
      </c>
      <c r="DQ35" s="228">
        <v>1.17</v>
      </c>
      <c r="DR35" s="228">
        <v>0.69</v>
      </c>
      <c r="DS35" s="228">
        <v>0.48</v>
      </c>
      <c r="DT35" s="229">
        <v>0.69569999999999999</v>
      </c>
      <c r="DU35" s="231">
        <v>1200</v>
      </c>
      <c r="DV35" s="231">
        <v>1140</v>
      </c>
      <c r="DW35" s="228">
        <v>0.97</v>
      </c>
      <c r="DX35" s="228">
        <v>1.1299999999999999</v>
      </c>
      <c r="DY35" s="228">
        <v>-0.16</v>
      </c>
      <c r="DZ35" s="229">
        <v>-0.1416</v>
      </c>
      <c r="EA35" s="229">
        <v>0.94940000000000002</v>
      </c>
      <c r="EB35" s="230">
        <v>10069500</v>
      </c>
      <c r="EC35" s="229">
        <v>3.5000000000000001E-3</v>
      </c>
      <c r="ED35" s="229">
        <v>0.94940000000000002</v>
      </c>
      <c r="EE35" s="228">
        <v>2.86</v>
      </c>
      <c r="EF35" s="229">
        <v>2.5000000000000001E-3</v>
      </c>
      <c r="EG35" s="230">
        <v>726033</v>
      </c>
      <c r="EH35" s="230">
        <v>625871</v>
      </c>
      <c r="EI35" s="229">
        <v>0.16</v>
      </c>
      <c r="EJ35" s="229">
        <v>0.371</v>
      </c>
      <c r="EK35" s="228">
        <v>512.72</v>
      </c>
      <c r="EL35" s="228">
        <v>474.06</v>
      </c>
      <c r="EM35" s="228">
        <v>883.82</v>
      </c>
      <c r="EN35" s="228">
        <v>0</v>
      </c>
      <c r="EO35" s="231">
        <v>1870.6</v>
      </c>
      <c r="EP35" s="231">
        <v>2313.4299999999998</v>
      </c>
      <c r="EQ35" s="228">
        <v>-442.83</v>
      </c>
      <c r="ER35" s="229">
        <v>-0.19139999999999999</v>
      </c>
      <c r="ES35" s="228">
        <v>190.26</v>
      </c>
      <c r="ET35" s="228">
        <v>208.45</v>
      </c>
      <c r="EU35" s="231">
        <v>1311.06</v>
      </c>
      <c r="EV35" s="231">
        <v>53477001</v>
      </c>
      <c r="EW35" s="231">
        <v>1709.78</v>
      </c>
      <c r="EX35" s="231">
        <v>2236.44</v>
      </c>
      <c r="EY35" s="228">
        <v>-526.66</v>
      </c>
      <c r="EZ35" s="229">
        <v>-0.23549999999999999</v>
      </c>
      <c r="FA35" s="229">
        <v>0.27089999999999997</v>
      </c>
      <c r="FB35" s="227" t="s">
        <v>568</v>
      </c>
      <c r="FC35">
        <f t="shared" si="0"/>
        <v>1241</v>
      </c>
    </row>
    <row r="36" spans="1:159" ht="17.25" thickBot="1" x14ac:dyDescent="0.3">
      <c r="A36" s="226">
        <v>45869</v>
      </c>
      <c r="B36" s="227" t="s">
        <v>188</v>
      </c>
      <c r="C36" s="227" t="s">
        <v>189</v>
      </c>
      <c r="D36" s="228">
        <v>475</v>
      </c>
      <c r="E36" s="228">
        <v>0</v>
      </c>
      <c r="F36" s="231">
        <v>1921.7</v>
      </c>
      <c r="G36" s="231">
        <v>1943.6</v>
      </c>
      <c r="H36" s="228">
        <v>-21.9</v>
      </c>
      <c r="I36" s="229">
        <v>-1.1299999999999999E-2</v>
      </c>
      <c r="J36" s="231">
        <v>1914.3</v>
      </c>
      <c r="K36" s="231">
        <v>1932.6</v>
      </c>
      <c r="L36" s="228">
        <v>-18.3</v>
      </c>
      <c r="M36" s="229">
        <v>-9.4999999999999998E-3</v>
      </c>
      <c r="N36" s="231">
        <v>1911.1</v>
      </c>
      <c r="O36" s="231">
        <v>1932.6</v>
      </c>
      <c r="P36" s="228">
        <v>-21.5</v>
      </c>
      <c r="Q36" s="229">
        <v>-1.11E-2</v>
      </c>
      <c r="R36" s="231">
        <v>1921.7</v>
      </c>
      <c r="S36" s="231">
        <v>1943.6</v>
      </c>
      <c r="T36" s="228">
        <v>-21.9</v>
      </c>
      <c r="U36" s="229">
        <v>-1.1299999999999999E-2</v>
      </c>
      <c r="V36" s="231">
        <v>1932.8</v>
      </c>
      <c r="W36" s="231">
        <v>1955</v>
      </c>
      <c r="X36" s="228">
        <v>-22.2</v>
      </c>
      <c r="Y36" s="229">
        <v>-1.14E-2</v>
      </c>
      <c r="Z36" s="228">
        <v>7.4</v>
      </c>
      <c r="AA36" s="228">
        <v>0</v>
      </c>
      <c r="AB36" s="228">
        <v>7.4</v>
      </c>
      <c r="AC36" s="229">
        <v>3.8999999999999998E-3</v>
      </c>
      <c r="AD36" s="228">
        <v>-3.2</v>
      </c>
      <c r="AE36" s="228">
        <v>0</v>
      </c>
      <c r="AF36" s="228">
        <v>-3.2</v>
      </c>
      <c r="AG36" s="229">
        <v>-1.6999999999999999E-3</v>
      </c>
      <c r="AH36" s="228">
        <v>7.4</v>
      </c>
      <c r="AI36" s="228">
        <v>11</v>
      </c>
      <c r="AJ36" s="228">
        <v>-3.6</v>
      </c>
      <c r="AK36" s="229">
        <v>3.8999999999999998E-3</v>
      </c>
      <c r="AL36" s="228">
        <v>18.5</v>
      </c>
      <c r="AM36" s="228">
        <v>22.4</v>
      </c>
      <c r="AN36" s="228">
        <v>-3.9</v>
      </c>
      <c r="AO36" s="229">
        <v>9.7000000000000003E-3</v>
      </c>
      <c r="AP36" s="231">
        <v>1908.9</v>
      </c>
      <c r="AQ36" s="231">
        <v>1919.68</v>
      </c>
      <c r="AR36" s="228">
        <v>0</v>
      </c>
      <c r="AS36" s="230">
        <v>3162</v>
      </c>
      <c r="AT36" s="230">
        <v>3852</v>
      </c>
      <c r="AU36" s="228">
        <v>-690</v>
      </c>
      <c r="AV36" s="229">
        <v>-0.1792</v>
      </c>
      <c r="AW36" s="230">
        <v>1426</v>
      </c>
      <c r="AX36" s="230">
        <v>1930</v>
      </c>
      <c r="AY36" s="228">
        <v>-504</v>
      </c>
      <c r="AZ36" s="229">
        <v>-0.2611</v>
      </c>
      <c r="BA36" s="230">
        <v>1720</v>
      </c>
      <c r="BB36" s="230">
        <v>1911</v>
      </c>
      <c r="BC36" s="228">
        <v>-191</v>
      </c>
      <c r="BD36" s="229">
        <v>-0.1</v>
      </c>
      <c r="BE36" s="228">
        <v>16</v>
      </c>
      <c r="BF36" s="228">
        <v>11</v>
      </c>
      <c r="BG36" s="228">
        <v>5</v>
      </c>
      <c r="BH36" s="229">
        <v>0.43090000000000001</v>
      </c>
      <c r="BI36" s="230">
        <v>2605</v>
      </c>
      <c r="BJ36" s="230">
        <v>4200</v>
      </c>
      <c r="BK36" s="230">
        <v>-1595</v>
      </c>
      <c r="BL36" s="229">
        <v>-0.37990000000000002</v>
      </c>
      <c r="BM36" s="230">
        <v>1369</v>
      </c>
      <c r="BN36" s="230">
        <v>1737</v>
      </c>
      <c r="BO36" s="228">
        <v>-368</v>
      </c>
      <c r="BP36" s="229">
        <v>-0.21199999999999999</v>
      </c>
      <c r="BQ36" s="230">
        <v>7135</v>
      </c>
      <c r="BR36" s="230">
        <v>9789</v>
      </c>
      <c r="BS36" s="230">
        <v>-2654</v>
      </c>
      <c r="BT36" s="229">
        <v>-0.27110000000000001</v>
      </c>
      <c r="BU36" s="230">
        <v>5301549</v>
      </c>
      <c r="BV36" s="230">
        <v>5306088</v>
      </c>
      <c r="BW36" s="230">
        <v>-4539</v>
      </c>
      <c r="BX36" s="229">
        <v>-8.9999999999999998E-4</v>
      </c>
      <c r="BY36" s="230">
        <v>8562</v>
      </c>
      <c r="BZ36" s="230">
        <v>9159</v>
      </c>
      <c r="CA36" s="228">
        <v>-598</v>
      </c>
      <c r="CB36" s="229">
        <v>-6.5199999999999994E-2</v>
      </c>
      <c r="CC36" s="228">
        <v>675</v>
      </c>
      <c r="CD36" s="230">
        <v>1659</v>
      </c>
      <c r="CE36" s="228">
        <v>-984</v>
      </c>
      <c r="CF36" s="229">
        <v>-0.59299999999999997</v>
      </c>
      <c r="CG36" s="230">
        <v>8219</v>
      </c>
      <c r="CH36" s="230">
        <v>7159</v>
      </c>
      <c r="CI36" s="230">
        <v>1060</v>
      </c>
      <c r="CJ36" s="229">
        <v>0.14810000000000001</v>
      </c>
      <c r="CK36" s="228">
        <v>343</v>
      </c>
      <c r="CL36" s="228">
        <v>341</v>
      </c>
      <c r="CM36" s="228">
        <v>1</v>
      </c>
      <c r="CN36" s="229">
        <v>4.3E-3</v>
      </c>
      <c r="CO36" s="228">
        <v>878</v>
      </c>
      <c r="CP36" s="230">
        <v>3234</v>
      </c>
      <c r="CQ36" s="230">
        <v>-2357</v>
      </c>
      <c r="CR36" s="229">
        <v>-0.72860000000000003</v>
      </c>
      <c r="CS36" s="228">
        <v>549</v>
      </c>
      <c r="CT36" s="230">
        <v>1488</v>
      </c>
      <c r="CU36" s="228">
        <v>-939</v>
      </c>
      <c r="CV36" s="229">
        <v>-0.63090000000000002</v>
      </c>
      <c r="CW36" s="230">
        <v>9989</v>
      </c>
      <c r="CX36" s="230">
        <v>13882</v>
      </c>
      <c r="CY36" s="230">
        <v>-3893</v>
      </c>
      <c r="CZ36" s="229">
        <v>-0.28039999999999998</v>
      </c>
      <c r="DA36" s="228">
        <v>20.6</v>
      </c>
      <c r="DB36" s="228">
        <v>21.37</v>
      </c>
      <c r="DC36" s="228">
        <v>-0.77</v>
      </c>
      <c r="DD36" s="228">
        <v>-0.77</v>
      </c>
      <c r="DE36" s="228">
        <v>26.35</v>
      </c>
      <c r="DF36" s="228">
        <v>26.39</v>
      </c>
      <c r="DG36" s="228">
        <v>-5.75</v>
      </c>
      <c r="DH36" s="228">
        <v>-0.04</v>
      </c>
      <c r="DI36" s="228">
        <v>20.68</v>
      </c>
      <c r="DJ36" s="228">
        <v>21.18</v>
      </c>
      <c r="DK36" s="228">
        <v>-0.5</v>
      </c>
      <c r="DL36" s="228">
        <v>-0.5</v>
      </c>
      <c r="DM36" s="228">
        <v>20.45</v>
      </c>
      <c r="DN36" s="228">
        <v>21.98</v>
      </c>
      <c r="DO36" s="228">
        <v>-1.53</v>
      </c>
      <c r="DP36" s="228">
        <v>-1.53</v>
      </c>
      <c r="DQ36" s="228">
        <v>0.63</v>
      </c>
      <c r="DR36" s="228">
        <v>0.46</v>
      </c>
      <c r="DS36" s="228">
        <v>0.17</v>
      </c>
      <c r="DT36" s="229">
        <v>0.36959999999999998</v>
      </c>
      <c r="DU36" s="231">
        <v>2040</v>
      </c>
      <c r="DV36" s="231">
        <v>2020</v>
      </c>
      <c r="DW36" s="228">
        <v>0.53</v>
      </c>
      <c r="DX36" s="228">
        <v>0.41</v>
      </c>
      <c r="DY36" s="228">
        <v>0.12</v>
      </c>
      <c r="DZ36" s="229">
        <v>0.29270000000000002</v>
      </c>
      <c r="EA36" s="229">
        <v>0.92689999999999995</v>
      </c>
      <c r="EB36" s="230">
        <v>39028375</v>
      </c>
      <c r="EC36" s="229">
        <v>5.4999999999999997E-3</v>
      </c>
      <c r="ED36" s="229">
        <v>0.92689999999999995</v>
      </c>
      <c r="EE36" s="228">
        <v>10.78</v>
      </c>
      <c r="EF36" s="229">
        <v>5.5999999999999999E-3</v>
      </c>
      <c r="EG36" s="230">
        <v>3005828</v>
      </c>
      <c r="EH36" s="230">
        <v>3598876</v>
      </c>
      <c r="EI36" s="229">
        <v>-0.1648</v>
      </c>
      <c r="EJ36" s="229">
        <v>0.56699999999999995</v>
      </c>
      <c r="EK36" s="231">
        <v>2688.6</v>
      </c>
      <c r="EL36" s="231">
        <v>1377.19</v>
      </c>
      <c r="EM36" s="231">
        <v>3150.46</v>
      </c>
      <c r="EN36" s="228">
        <v>0</v>
      </c>
      <c r="EO36" s="231">
        <v>7216.25</v>
      </c>
      <c r="EP36" s="231">
        <v>9933.7800000000007</v>
      </c>
      <c r="EQ36" s="231">
        <v>-2717.53</v>
      </c>
      <c r="ER36" s="229">
        <v>-0.27360000000000001</v>
      </c>
      <c r="ES36" s="228">
        <v>912.49</v>
      </c>
      <c r="ET36" s="228">
        <v>539.20000000000005</v>
      </c>
      <c r="EU36" s="231">
        <v>8563.84</v>
      </c>
      <c r="EV36" s="231">
        <v>579085354</v>
      </c>
      <c r="EW36" s="231">
        <v>10015.530000000001</v>
      </c>
      <c r="EX36" s="231">
        <v>14123.45</v>
      </c>
      <c r="EY36" s="231">
        <v>-4107.92</v>
      </c>
      <c r="EZ36" s="229">
        <v>-0.29089999999999999</v>
      </c>
      <c r="FA36" s="229">
        <v>8.9800000000000005E-2</v>
      </c>
      <c r="FB36" s="227" t="s">
        <v>568</v>
      </c>
      <c r="FC36">
        <f t="shared" si="0"/>
        <v>7887</v>
      </c>
    </row>
    <row r="37" spans="1:159" ht="17.25" thickBot="1" x14ac:dyDescent="0.3">
      <c r="A37" s="226">
        <v>45869</v>
      </c>
      <c r="B37" s="227" t="s">
        <v>184</v>
      </c>
      <c r="C37" s="227" t="s">
        <v>190</v>
      </c>
      <c r="D37" s="228">
        <v>2625</v>
      </c>
      <c r="E37" s="228">
        <v>0</v>
      </c>
      <c r="F37" s="228">
        <v>239.1</v>
      </c>
      <c r="G37" s="228">
        <v>242.7</v>
      </c>
      <c r="H37" s="228">
        <v>-3.6</v>
      </c>
      <c r="I37" s="229">
        <v>-1.4800000000000001E-2</v>
      </c>
      <c r="J37" s="228">
        <v>238.45</v>
      </c>
      <c r="K37" s="228">
        <v>241.65</v>
      </c>
      <c r="L37" s="228">
        <v>-3.2</v>
      </c>
      <c r="M37" s="229">
        <v>-1.32E-2</v>
      </c>
      <c r="N37" s="228">
        <v>238.2</v>
      </c>
      <c r="O37" s="228">
        <v>241.95</v>
      </c>
      <c r="P37" s="228">
        <v>-3.75</v>
      </c>
      <c r="Q37" s="229">
        <v>-1.55E-2</v>
      </c>
      <c r="R37" s="228">
        <v>239.1</v>
      </c>
      <c r="S37" s="228">
        <v>242.7</v>
      </c>
      <c r="T37" s="228">
        <v>-3.6</v>
      </c>
      <c r="U37" s="229">
        <v>-1.4800000000000001E-2</v>
      </c>
      <c r="V37" s="228">
        <v>240.45</v>
      </c>
      <c r="W37" s="228">
        <v>244.05</v>
      </c>
      <c r="X37" s="228">
        <v>-3.6</v>
      </c>
      <c r="Y37" s="229">
        <v>-1.4800000000000001E-2</v>
      </c>
      <c r="Z37" s="228">
        <v>0.65</v>
      </c>
      <c r="AA37" s="228">
        <v>0.3</v>
      </c>
      <c r="AB37" s="228">
        <v>0.35</v>
      </c>
      <c r="AC37" s="229">
        <v>2.7000000000000001E-3</v>
      </c>
      <c r="AD37" s="228">
        <v>-0.25</v>
      </c>
      <c r="AE37" s="228">
        <v>0.3</v>
      </c>
      <c r="AF37" s="228">
        <v>-0.55000000000000004</v>
      </c>
      <c r="AG37" s="229">
        <v>-1E-3</v>
      </c>
      <c r="AH37" s="228">
        <v>0.65</v>
      </c>
      <c r="AI37" s="228">
        <v>1.05</v>
      </c>
      <c r="AJ37" s="228">
        <v>-0.4</v>
      </c>
      <c r="AK37" s="229">
        <v>2.7000000000000001E-3</v>
      </c>
      <c r="AL37" s="228">
        <v>2</v>
      </c>
      <c r="AM37" s="228">
        <v>2.4</v>
      </c>
      <c r="AN37" s="228">
        <v>-0.4</v>
      </c>
      <c r="AO37" s="229">
        <v>8.3999999999999995E-3</v>
      </c>
      <c r="AP37" s="228">
        <v>239.35</v>
      </c>
      <c r="AQ37" s="228">
        <v>240.01</v>
      </c>
      <c r="AR37" s="228">
        <v>0</v>
      </c>
      <c r="AS37" s="228">
        <v>927</v>
      </c>
      <c r="AT37" s="228">
        <v>819</v>
      </c>
      <c r="AU37" s="228">
        <v>107</v>
      </c>
      <c r="AV37" s="229">
        <v>0.13070000000000001</v>
      </c>
      <c r="AW37" s="228">
        <v>397</v>
      </c>
      <c r="AX37" s="228">
        <v>403</v>
      </c>
      <c r="AY37" s="228">
        <v>-6</v>
      </c>
      <c r="AZ37" s="229">
        <v>-1.4999999999999999E-2</v>
      </c>
      <c r="BA37" s="228">
        <v>518</v>
      </c>
      <c r="BB37" s="228">
        <v>409</v>
      </c>
      <c r="BC37" s="228">
        <v>109</v>
      </c>
      <c r="BD37" s="229">
        <v>0.26519999999999999</v>
      </c>
      <c r="BE37" s="228">
        <v>12</v>
      </c>
      <c r="BF37" s="228">
        <v>7</v>
      </c>
      <c r="BG37" s="228">
        <v>5</v>
      </c>
      <c r="BH37" s="229">
        <v>0.62929999999999997</v>
      </c>
      <c r="BI37" s="228">
        <v>581</v>
      </c>
      <c r="BJ37" s="228">
        <v>449</v>
      </c>
      <c r="BK37" s="228">
        <v>132</v>
      </c>
      <c r="BL37" s="229">
        <v>0.29289999999999999</v>
      </c>
      <c r="BM37" s="228">
        <v>378</v>
      </c>
      <c r="BN37" s="228">
        <v>250</v>
      </c>
      <c r="BO37" s="228">
        <v>128</v>
      </c>
      <c r="BP37" s="229">
        <v>0.5131</v>
      </c>
      <c r="BQ37" s="230">
        <v>1885</v>
      </c>
      <c r="BR37" s="230">
        <v>1518</v>
      </c>
      <c r="BS37" s="228">
        <v>367</v>
      </c>
      <c r="BT37" s="229">
        <v>0.24149999999999999</v>
      </c>
      <c r="BU37" s="230">
        <v>5096697</v>
      </c>
      <c r="BV37" s="230">
        <v>3270498</v>
      </c>
      <c r="BW37" s="230">
        <v>1826199</v>
      </c>
      <c r="BX37" s="229">
        <v>0.55840000000000001</v>
      </c>
      <c r="BY37" s="230">
        <v>1248</v>
      </c>
      <c r="BZ37" s="230">
        <v>1353</v>
      </c>
      <c r="CA37" s="228">
        <v>-105</v>
      </c>
      <c r="CB37" s="229">
        <v>-7.7299999999999994E-2</v>
      </c>
      <c r="CC37" s="228">
        <v>87</v>
      </c>
      <c r="CD37" s="228">
        <v>329</v>
      </c>
      <c r="CE37" s="228">
        <v>-242</v>
      </c>
      <c r="CF37" s="229">
        <v>-0.73570000000000002</v>
      </c>
      <c r="CG37" s="230">
        <v>1211</v>
      </c>
      <c r="CH37" s="228">
        <v>990</v>
      </c>
      <c r="CI37" s="228">
        <v>221</v>
      </c>
      <c r="CJ37" s="229">
        <v>0.2228</v>
      </c>
      <c r="CK37" s="228">
        <v>37</v>
      </c>
      <c r="CL37" s="228">
        <v>33</v>
      </c>
      <c r="CM37" s="228">
        <v>4</v>
      </c>
      <c r="CN37" s="229">
        <v>0.12859999999999999</v>
      </c>
      <c r="CO37" s="228">
        <v>322</v>
      </c>
      <c r="CP37" s="228">
        <v>801</v>
      </c>
      <c r="CQ37" s="228">
        <v>-479</v>
      </c>
      <c r="CR37" s="229">
        <v>-0.59760000000000002</v>
      </c>
      <c r="CS37" s="228">
        <v>270</v>
      </c>
      <c r="CT37" s="228">
        <v>449</v>
      </c>
      <c r="CU37" s="228">
        <v>-179</v>
      </c>
      <c r="CV37" s="229">
        <v>-0.3977</v>
      </c>
      <c r="CW37" s="230">
        <v>1841</v>
      </c>
      <c r="CX37" s="230">
        <v>2603</v>
      </c>
      <c r="CY37" s="228">
        <v>-762</v>
      </c>
      <c r="CZ37" s="229">
        <v>-0.2928</v>
      </c>
      <c r="DA37" s="228">
        <v>37.74</v>
      </c>
      <c r="DB37" s="228">
        <v>36.090000000000003</v>
      </c>
      <c r="DC37" s="228">
        <v>1.65</v>
      </c>
      <c r="DD37" s="228">
        <v>1.65</v>
      </c>
      <c r="DE37" s="228">
        <v>48.95</v>
      </c>
      <c r="DF37" s="228">
        <v>49.03</v>
      </c>
      <c r="DG37" s="228">
        <v>-11.21</v>
      </c>
      <c r="DH37" s="228">
        <v>-0.08</v>
      </c>
      <c r="DI37" s="228">
        <v>38.380000000000003</v>
      </c>
      <c r="DJ37" s="228">
        <v>36.409999999999997</v>
      </c>
      <c r="DK37" s="228">
        <v>1.97</v>
      </c>
      <c r="DL37" s="228">
        <v>1.97</v>
      </c>
      <c r="DM37" s="228">
        <v>36.85</v>
      </c>
      <c r="DN37" s="228">
        <v>35.659999999999997</v>
      </c>
      <c r="DO37" s="228">
        <v>1.19</v>
      </c>
      <c r="DP37" s="228">
        <v>1.19</v>
      </c>
      <c r="DQ37" s="228">
        <v>0.84</v>
      </c>
      <c r="DR37" s="228">
        <v>0.56000000000000005</v>
      </c>
      <c r="DS37" s="228">
        <v>0.28000000000000003</v>
      </c>
      <c r="DT37" s="229">
        <v>0.5</v>
      </c>
      <c r="DU37" s="228">
        <v>270</v>
      </c>
      <c r="DV37" s="228">
        <v>240</v>
      </c>
      <c r="DW37" s="228">
        <v>0.65</v>
      </c>
      <c r="DX37" s="228">
        <v>0.56000000000000005</v>
      </c>
      <c r="DY37" s="228">
        <v>0.09</v>
      </c>
      <c r="DZ37" s="229">
        <v>0.16070000000000001</v>
      </c>
      <c r="EA37" s="229">
        <v>0.93479999999999996</v>
      </c>
      <c r="EB37" s="230">
        <v>42792750</v>
      </c>
      <c r="EC37" s="229">
        <v>3.8E-3</v>
      </c>
      <c r="ED37" s="229">
        <v>0.93479999999999996</v>
      </c>
      <c r="EE37" s="228">
        <v>0.66</v>
      </c>
      <c r="EF37" s="229">
        <v>2.8E-3</v>
      </c>
      <c r="EG37" s="230">
        <v>1725104</v>
      </c>
      <c r="EH37" s="230">
        <v>847004</v>
      </c>
      <c r="EI37" s="229">
        <v>1.0367</v>
      </c>
      <c r="EJ37" s="229">
        <v>0.33850000000000002</v>
      </c>
      <c r="EK37" s="228">
        <v>619.71</v>
      </c>
      <c r="EL37" s="228">
        <v>391.06</v>
      </c>
      <c r="EM37" s="228">
        <v>929.01</v>
      </c>
      <c r="EN37" s="228">
        <v>0</v>
      </c>
      <c r="EO37" s="231">
        <v>1939.78</v>
      </c>
      <c r="EP37" s="231">
        <v>1570.85</v>
      </c>
      <c r="EQ37" s="228">
        <v>368.94</v>
      </c>
      <c r="ER37" s="229">
        <v>0.2349</v>
      </c>
      <c r="ES37" s="228">
        <v>346.66</v>
      </c>
      <c r="ET37" s="228">
        <v>272.69</v>
      </c>
      <c r="EU37" s="231">
        <v>1248.27</v>
      </c>
      <c r="EV37" s="231">
        <v>256482590</v>
      </c>
      <c r="EW37" s="231">
        <v>1867.61</v>
      </c>
      <c r="EX37" s="231">
        <v>2726.14</v>
      </c>
      <c r="EY37" s="228">
        <v>-858.53</v>
      </c>
      <c r="EZ37" s="229">
        <v>-0.31490000000000001</v>
      </c>
      <c r="FA37" s="229">
        <v>0.30020000000000002</v>
      </c>
      <c r="FB37" s="227" t="s">
        <v>568</v>
      </c>
      <c r="FC37">
        <f t="shared" si="0"/>
        <v>1161</v>
      </c>
    </row>
    <row r="38" spans="1:159" ht="17.25" thickBot="1" x14ac:dyDescent="0.3">
      <c r="A38" s="226">
        <v>45869</v>
      </c>
      <c r="B38" s="227" t="s">
        <v>170</v>
      </c>
      <c r="C38" s="227" t="s">
        <v>191</v>
      </c>
      <c r="D38" s="228">
        <v>2500</v>
      </c>
      <c r="E38" s="228">
        <v>0</v>
      </c>
      <c r="F38" s="228">
        <v>393.55</v>
      </c>
      <c r="G38" s="228">
        <v>400</v>
      </c>
      <c r="H38" s="228">
        <v>-6.45</v>
      </c>
      <c r="I38" s="229">
        <v>-1.61E-2</v>
      </c>
      <c r="J38" s="228">
        <v>391.4</v>
      </c>
      <c r="K38" s="228">
        <v>397.3</v>
      </c>
      <c r="L38" s="228">
        <v>-5.9</v>
      </c>
      <c r="M38" s="229">
        <v>-1.49E-2</v>
      </c>
      <c r="N38" s="228">
        <v>391</v>
      </c>
      <c r="O38" s="228">
        <v>398.05</v>
      </c>
      <c r="P38" s="228">
        <v>-7.05</v>
      </c>
      <c r="Q38" s="229">
        <v>-1.77E-2</v>
      </c>
      <c r="R38" s="228">
        <v>393.55</v>
      </c>
      <c r="S38" s="228">
        <v>400</v>
      </c>
      <c r="T38" s="228">
        <v>-6.45</v>
      </c>
      <c r="U38" s="229">
        <v>-1.61E-2</v>
      </c>
      <c r="V38" s="228">
        <v>395.8</v>
      </c>
      <c r="W38" s="228">
        <v>402.2</v>
      </c>
      <c r="X38" s="228">
        <v>-6.4</v>
      </c>
      <c r="Y38" s="229">
        <v>-1.5900000000000001E-2</v>
      </c>
      <c r="Z38" s="228">
        <v>2.15</v>
      </c>
      <c r="AA38" s="228">
        <v>0.75</v>
      </c>
      <c r="AB38" s="228">
        <v>1.4</v>
      </c>
      <c r="AC38" s="229">
        <v>5.4999999999999997E-3</v>
      </c>
      <c r="AD38" s="228">
        <v>-0.4</v>
      </c>
      <c r="AE38" s="228">
        <v>0.75</v>
      </c>
      <c r="AF38" s="228">
        <v>-1.1499999999999999</v>
      </c>
      <c r="AG38" s="229">
        <v>-1E-3</v>
      </c>
      <c r="AH38" s="228">
        <v>2.15</v>
      </c>
      <c r="AI38" s="228">
        <v>2.7</v>
      </c>
      <c r="AJ38" s="228">
        <v>-0.55000000000000004</v>
      </c>
      <c r="AK38" s="229">
        <v>5.4999999999999997E-3</v>
      </c>
      <c r="AL38" s="228">
        <v>4.4000000000000004</v>
      </c>
      <c r="AM38" s="228">
        <v>4.9000000000000004</v>
      </c>
      <c r="AN38" s="228">
        <v>-0.5</v>
      </c>
      <c r="AO38" s="229">
        <v>1.12E-2</v>
      </c>
      <c r="AP38" s="228">
        <v>392.03</v>
      </c>
      <c r="AQ38" s="228">
        <v>394.26</v>
      </c>
      <c r="AR38" s="228">
        <v>0</v>
      </c>
      <c r="AS38" s="230">
        <v>1133</v>
      </c>
      <c r="AT38" s="230">
        <v>1044</v>
      </c>
      <c r="AU38" s="228">
        <v>89</v>
      </c>
      <c r="AV38" s="229">
        <v>8.5300000000000001E-2</v>
      </c>
      <c r="AW38" s="228">
        <v>476</v>
      </c>
      <c r="AX38" s="228">
        <v>455</v>
      </c>
      <c r="AY38" s="228">
        <v>21</v>
      </c>
      <c r="AZ38" s="229">
        <v>4.6300000000000001E-2</v>
      </c>
      <c r="BA38" s="228">
        <v>647</v>
      </c>
      <c r="BB38" s="228">
        <v>581</v>
      </c>
      <c r="BC38" s="228">
        <v>66</v>
      </c>
      <c r="BD38" s="229">
        <v>0.1135</v>
      </c>
      <c r="BE38" s="228">
        <v>11</v>
      </c>
      <c r="BF38" s="228">
        <v>8</v>
      </c>
      <c r="BG38" s="228">
        <v>2</v>
      </c>
      <c r="BH38" s="229">
        <v>0.2442</v>
      </c>
      <c r="BI38" s="228">
        <v>675</v>
      </c>
      <c r="BJ38" s="230">
        <v>1030</v>
      </c>
      <c r="BK38" s="228">
        <v>-354</v>
      </c>
      <c r="BL38" s="229">
        <v>-0.34429999999999999</v>
      </c>
      <c r="BM38" s="228">
        <v>444</v>
      </c>
      <c r="BN38" s="228">
        <v>454</v>
      </c>
      <c r="BO38" s="228">
        <v>-10</v>
      </c>
      <c r="BP38" s="229">
        <v>-2.2700000000000001E-2</v>
      </c>
      <c r="BQ38" s="230">
        <v>2252</v>
      </c>
      <c r="BR38" s="230">
        <v>2528</v>
      </c>
      <c r="BS38" s="228">
        <v>-276</v>
      </c>
      <c r="BT38" s="229">
        <v>-0.1091</v>
      </c>
      <c r="BU38" s="230">
        <v>3443650</v>
      </c>
      <c r="BV38" s="230">
        <v>6334173</v>
      </c>
      <c r="BW38" s="230">
        <v>-2890523</v>
      </c>
      <c r="BX38" s="229">
        <v>-0.45629999999999998</v>
      </c>
      <c r="BY38" s="230">
        <v>1477</v>
      </c>
      <c r="BZ38" s="230">
        <v>1607</v>
      </c>
      <c r="CA38" s="228">
        <v>-130</v>
      </c>
      <c r="CB38" s="229">
        <v>-8.1100000000000005E-2</v>
      </c>
      <c r="CC38" s="228">
        <v>115</v>
      </c>
      <c r="CD38" s="228">
        <v>365</v>
      </c>
      <c r="CE38" s="228">
        <v>-250</v>
      </c>
      <c r="CF38" s="229">
        <v>-0.6855</v>
      </c>
      <c r="CG38" s="230">
        <v>1460</v>
      </c>
      <c r="CH38" s="230">
        <v>1228</v>
      </c>
      <c r="CI38" s="228">
        <v>232</v>
      </c>
      <c r="CJ38" s="229">
        <v>0.18940000000000001</v>
      </c>
      <c r="CK38" s="228">
        <v>17</v>
      </c>
      <c r="CL38" s="228">
        <v>14</v>
      </c>
      <c r="CM38" s="228">
        <v>3</v>
      </c>
      <c r="CN38" s="229">
        <v>0.17810000000000001</v>
      </c>
      <c r="CO38" s="228">
        <v>321</v>
      </c>
      <c r="CP38" s="228">
        <v>819</v>
      </c>
      <c r="CQ38" s="228">
        <v>-498</v>
      </c>
      <c r="CR38" s="229">
        <v>-0.60780000000000001</v>
      </c>
      <c r="CS38" s="228">
        <v>181</v>
      </c>
      <c r="CT38" s="228">
        <v>516</v>
      </c>
      <c r="CU38" s="228">
        <v>-335</v>
      </c>
      <c r="CV38" s="229">
        <v>-0.64939999999999998</v>
      </c>
      <c r="CW38" s="230">
        <v>1979</v>
      </c>
      <c r="CX38" s="230">
        <v>2942</v>
      </c>
      <c r="CY38" s="228">
        <v>-963</v>
      </c>
      <c r="CZ38" s="229">
        <v>-0.32740000000000002</v>
      </c>
      <c r="DA38" s="228">
        <v>35.450000000000003</v>
      </c>
      <c r="DB38" s="228">
        <v>35.04</v>
      </c>
      <c r="DC38" s="228">
        <v>0.41</v>
      </c>
      <c r="DD38" s="228">
        <v>0.41</v>
      </c>
      <c r="DE38" s="228">
        <v>41.02</v>
      </c>
      <c r="DF38" s="228">
        <v>41.07</v>
      </c>
      <c r="DG38" s="228">
        <v>-5.57</v>
      </c>
      <c r="DH38" s="228">
        <v>-0.05</v>
      </c>
      <c r="DI38" s="228">
        <v>35.56</v>
      </c>
      <c r="DJ38" s="228">
        <v>34.590000000000003</v>
      </c>
      <c r="DK38" s="228">
        <v>0.97</v>
      </c>
      <c r="DL38" s="228">
        <v>0.97</v>
      </c>
      <c r="DM38" s="228">
        <v>35.26</v>
      </c>
      <c r="DN38" s="228">
        <v>36.19</v>
      </c>
      <c r="DO38" s="228">
        <v>-0.93</v>
      </c>
      <c r="DP38" s="228">
        <v>-0.93</v>
      </c>
      <c r="DQ38" s="228">
        <v>0.56000000000000005</v>
      </c>
      <c r="DR38" s="228">
        <v>0.63</v>
      </c>
      <c r="DS38" s="228">
        <v>-7.0000000000000007E-2</v>
      </c>
      <c r="DT38" s="229">
        <v>-0.1111</v>
      </c>
      <c r="DU38" s="228">
        <v>400</v>
      </c>
      <c r="DV38" s="228">
        <v>350</v>
      </c>
      <c r="DW38" s="228">
        <v>0.66</v>
      </c>
      <c r="DX38" s="228">
        <v>0.44</v>
      </c>
      <c r="DY38" s="228">
        <v>0.22</v>
      </c>
      <c r="DZ38" s="229">
        <v>0.5</v>
      </c>
      <c r="EA38" s="229">
        <v>0.92779999999999996</v>
      </c>
      <c r="EB38" s="230">
        <v>31557500</v>
      </c>
      <c r="EC38" s="229">
        <v>6.4999999999999997E-3</v>
      </c>
      <c r="ED38" s="229">
        <v>0.92779999999999996</v>
      </c>
      <c r="EE38" s="228">
        <v>2.23</v>
      </c>
      <c r="EF38" s="229">
        <v>5.7000000000000002E-3</v>
      </c>
      <c r="EG38" s="230">
        <v>1578682</v>
      </c>
      <c r="EH38" s="230">
        <v>3277750</v>
      </c>
      <c r="EI38" s="229">
        <v>-0.51839999999999997</v>
      </c>
      <c r="EJ38" s="229">
        <v>0.45839999999999997</v>
      </c>
      <c r="EK38" s="228">
        <v>708.21</v>
      </c>
      <c r="EL38" s="228">
        <v>435.75</v>
      </c>
      <c r="EM38" s="231">
        <v>1132.3399999999999</v>
      </c>
      <c r="EN38" s="228">
        <v>0</v>
      </c>
      <c r="EO38" s="231">
        <v>2276.3000000000002</v>
      </c>
      <c r="EP38" s="231">
        <v>2590.69</v>
      </c>
      <c r="EQ38" s="228">
        <v>-314.39</v>
      </c>
      <c r="ER38" s="229">
        <v>-0.12139999999999999</v>
      </c>
      <c r="ES38" s="228">
        <v>340.89</v>
      </c>
      <c r="ET38" s="228">
        <v>173.05</v>
      </c>
      <c r="EU38" s="231">
        <v>1477.09</v>
      </c>
      <c r="EV38" s="231">
        <v>121306033</v>
      </c>
      <c r="EW38" s="231">
        <v>1991.03</v>
      </c>
      <c r="EX38" s="231">
        <v>2951.74</v>
      </c>
      <c r="EY38" s="228">
        <v>-960.71</v>
      </c>
      <c r="EZ38" s="229">
        <v>-0.32550000000000001</v>
      </c>
      <c r="FA38" s="229">
        <v>0.41460000000000002</v>
      </c>
      <c r="FB38" s="227" t="s">
        <v>568</v>
      </c>
      <c r="FC38">
        <f t="shared" si="0"/>
        <v>1362</v>
      </c>
    </row>
    <row r="39" spans="1:159" ht="17.25" thickBot="1" x14ac:dyDescent="0.3">
      <c r="A39" s="226">
        <v>45869</v>
      </c>
      <c r="B39" s="227" t="s">
        <v>184</v>
      </c>
      <c r="C39" s="227" t="s">
        <v>681</v>
      </c>
      <c r="D39" s="228">
        <v>325</v>
      </c>
      <c r="E39" s="228">
        <v>0</v>
      </c>
      <c r="F39" s="231">
        <v>1743.9</v>
      </c>
      <c r="G39" s="231">
        <v>1748</v>
      </c>
      <c r="H39" s="228">
        <v>-4.0999999999999996</v>
      </c>
      <c r="I39" s="229">
        <v>-2.3E-3</v>
      </c>
      <c r="J39" s="231">
        <v>1738.1</v>
      </c>
      <c r="K39" s="231">
        <v>1754.7</v>
      </c>
      <c r="L39" s="228">
        <v>-16.600000000000001</v>
      </c>
      <c r="M39" s="229">
        <v>-9.4999999999999998E-3</v>
      </c>
      <c r="N39" s="231">
        <v>1739.3</v>
      </c>
      <c r="O39" s="231">
        <v>1754.7</v>
      </c>
      <c r="P39" s="228">
        <v>-15.4</v>
      </c>
      <c r="Q39" s="229">
        <v>-8.8000000000000005E-3</v>
      </c>
      <c r="R39" s="231">
        <v>1743.9</v>
      </c>
      <c r="S39" s="231">
        <v>1748</v>
      </c>
      <c r="T39" s="228">
        <v>-4.0999999999999996</v>
      </c>
      <c r="U39" s="229">
        <v>-2.3E-3</v>
      </c>
      <c r="V39" s="231">
        <v>1747.1</v>
      </c>
      <c r="W39" s="231">
        <v>1750</v>
      </c>
      <c r="X39" s="228">
        <v>-2.9</v>
      </c>
      <c r="Y39" s="229">
        <v>-1.6999999999999999E-3</v>
      </c>
      <c r="Z39" s="228">
        <v>5.8</v>
      </c>
      <c r="AA39" s="228">
        <v>0</v>
      </c>
      <c r="AB39" s="228">
        <v>5.8</v>
      </c>
      <c r="AC39" s="229">
        <v>3.3E-3</v>
      </c>
      <c r="AD39" s="228">
        <v>1.2</v>
      </c>
      <c r="AE39" s="228">
        <v>0</v>
      </c>
      <c r="AF39" s="228">
        <v>1.2</v>
      </c>
      <c r="AG39" s="229">
        <v>6.9999999999999999E-4</v>
      </c>
      <c r="AH39" s="228">
        <v>5.8</v>
      </c>
      <c r="AI39" s="228">
        <v>-6.7</v>
      </c>
      <c r="AJ39" s="228">
        <v>12.5</v>
      </c>
      <c r="AK39" s="229">
        <v>3.3E-3</v>
      </c>
      <c r="AL39" s="228">
        <v>9</v>
      </c>
      <c r="AM39" s="228">
        <v>-4.7</v>
      </c>
      <c r="AN39" s="228">
        <v>13.7</v>
      </c>
      <c r="AO39" s="229">
        <v>5.1999999999999998E-3</v>
      </c>
      <c r="AP39" s="231">
        <v>1744.61</v>
      </c>
      <c r="AQ39" s="231">
        <v>1747.72</v>
      </c>
      <c r="AR39" s="228">
        <v>0</v>
      </c>
      <c r="AS39" s="228">
        <v>117</v>
      </c>
      <c r="AT39" s="228">
        <v>234</v>
      </c>
      <c r="AU39" s="228">
        <v>-116</v>
      </c>
      <c r="AV39" s="229">
        <v>-0.49709999999999999</v>
      </c>
      <c r="AW39" s="228">
        <v>53</v>
      </c>
      <c r="AX39" s="228">
        <v>113</v>
      </c>
      <c r="AY39" s="228">
        <v>-61</v>
      </c>
      <c r="AZ39" s="229">
        <v>-0.53500000000000003</v>
      </c>
      <c r="BA39" s="228">
        <v>64</v>
      </c>
      <c r="BB39" s="228">
        <v>118</v>
      </c>
      <c r="BC39" s="228">
        <v>-55</v>
      </c>
      <c r="BD39" s="229">
        <v>-0.46050000000000002</v>
      </c>
      <c r="BE39" s="228">
        <v>1</v>
      </c>
      <c r="BF39" s="228">
        <v>2</v>
      </c>
      <c r="BG39" s="228">
        <v>-1</v>
      </c>
      <c r="BH39" s="229">
        <v>-0.5161</v>
      </c>
      <c r="BI39" s="228">
        <v>117</v>
      </c>
      <c r="BJ39" s="228">
        <v>151</v>
      </c>
      <c r="BK39" s="228">
        <v>-34</v>
      </c>
      <c r="BL39" s="229">
        <v>-0.22739999999999999</v>
      </c>
      <c r="BM39" s="228">
        <v>110</v>
      </c>
      <c r="BN39" s="228">
        <v>72</v>
      </c>
      <c r="BO39" s="228">
        <v>38</v>
      </c>
      <c r="BP39" s="229">
        <v>0.53149999999999997</v>
      </c>
      <c r="BQ39" s="228">
        <v>345</v>
      </c>
      <c r="BR39" s="228">
        <v>457</v>
      </c>
      <c r="BS39" s="228">
        <v>-112</v>
      </c>
      <c r="BT39" s="229">
        <v>-0.2457</v>
      </c>
      <c r="BU39" s="230">
        <v>391930</v>
      </c>
      <c r="BV39" s="230">
        <v>182147</v>
      </c>
      <c r="BW39" s="230">
        <v>209783</v>
      </c>
      <c r="BX39" s="229">
        <v>1.1516999999999999</v>
      </c>
      <c r="BY39" s="228">
        <v>219</v>
      </c>
      <c r="BZ39" s="228">
        <v>258</v>
      </c>
      <c r="CA39" s="228">
        <v>-39</v>
      </c>
      <c r="CB39" s="229">
        <v>-0.1507</v>
      </c>
      <c r="CC39" s="228">
        <v>27</v>
      </c>
      <c r="CD39" s="228">
        <v>30</v>
      </c>
      <c r="CE39" s="228">
        <v>-3</v>
      </c>
      <c r="CF39" s="229">
        <v>-0.10780000000000001</v>
      </c>
      <c r="CG39" s="228">
        <v>206</v>
      </c>
      <c r="CH39" s="228">
        <v>214</v>
      </c>
      <c r="CI39" s="228">
        <v>-9</v>
      </c>
      <c r="CJ39" s="229">
        <v>-4.02E-2</v>
      </c>
      <c r="CK39" s="228">
        <v>14</v>
      </c>
      <c r="CL39" s="228">
        <v>14</v>
      </c>
      <c r="CM39" s="228">
        <v>0</v>
      </c>
      <c r="CN39" s="229">
        <v>1.24E-2</v>
      </c>
      <c r="CO39" s="228">
        <v>35</v>
      </c>
      <c r="CP39" s="228">
        <v>181</v>
      </c>
      <c r="CQ39" s="228">
        <v>-146</v>
      </c>
      <c r="CR39" s="229">
        <v>-0.80610000000000004</v>
      </c>
      <c r="CS39" s="228">
        <v>17</v>
      </c>
      <c r="CT39" s="228">
        <v>167</v>
      </c>
      <c r="CU39" s="228">
        <v>-150</v>
      </c>
      <c r="CV39" s="229">
        <v>-0.89590000000000003</v>
      </c>
      <c r="CW39" s="228">
        <v>272</v>
      </c>
      <c r="CX39" s="228">
        <v>607</v>
      </c>
      <c r="CY39" s="228">
        <v>-335</v>
      </c>
      <c r="CZ39" s="229">
        <v>-0.55169999999999997</v>
      </c>
      <c r="DA39" s="228">
        <v>33.409999999999997</v>
      </c>
      <c r="DB39" s="228">
        <v>33.71</v>
      </c>
      <c r="DC39" s="228">
        <v>-0.3</v>
      </c>
      <c r="DD39" s="228">
        <v>-0.3</v>
      </c>
      <c r="DE39" s="228">
        <v>44.4</v>
      </c>
      <c r="DF39" s="228">
        <v>44.49</v>
      </c>
      <c r="DG39" s="228">
        <v>-10.99</v>
      </c>
      <c r="DH39" s="228">
        <v>-0.09</v>
      </c>
      <c r="DI39" s="228">
        <v>33.630000000000003</v>
      </c>
      <c r="DJ39" s="228">
        <v>33.54</v>
      </c>
      <c r="DK39" s="228">
        <v>0.09</v>
      </c>
      <c r="DL39" s="228">
        <v>0.09</v>
      </c>
      <c r="DM39" s="228">
        <v>32.659999999999997</v>
      </c>
      <c r="DN39" s="228">
        <v>33.979999999999997</v>
      </c>
      <c r="DO39" s="228">
        <v>-1.32</v>
      </c>
      <c r="DP39" s="228">
        <v>-1.32</v>
      </c>
      <c r="DQ39" s="228">
        <v>0.5</v>
      </c>
      <c r="DR39" s="228">
        <v>0.92</v>
      </c>
      <c r="DS39" s="228">
        <v>-0.42</v>
      </c>
      <c r="DT39" s="229">
        <v>-0.45650000000000002</v>
      </c>
      <c r="DU39" s="231">
        <v>1900</v>
      </c>
      <c r="DV39" s="231">
        <v>1700</v>
      </c>
      <c r="DW39" s="228">
        <v>0.94</v>
      </c>
      <c r="DX39" s="228">
        <v>0.48</v>
      </c>
      <c r="DY39" s="228">
        <v>0.46</v>
      </c>
      <c r="DZ39" s="229">
        <v>0.95830000000000004</v>
      </c>
      <c r="EA39" s="229">
        <v>0.88970000000000005</v>
      </c>
      <c r="EB39" s="230">
        <v>1306825</v>
      </c>
      <c r="EC39" s="229">
        <v>2.5999999999999999E-3</v>
      </c>
      <c r="ED39" s="229">
        <v>0.88970000000000005</v>
      </c>
      <c r="EE39" s="228">
        <v>3.11</v>
      </c>
      <c r="EF39" s="229">
        <v>1.8E-3</v>
      </c>
      <c r="EG39" s="230">
        <v>209870</v>
      </c>
      <c r="EH39" s="230">
        <v>92378</v>
      </c>
      <c r="EI39" s="229">
        <v>1.2719</v>
      </c>
      <c r="EJ39" s="229">
        <v>0.53549999999999998</v>
      </c>
      <c r="EK39" s="228">
        <v>125.81</v>
      </c>
      <c r="EL39" s="228">
        <v>107.48</v>
      </c>
      <c r="EM39" s="228">
        <v>117.6</v>
      </c>
      <c r="EN39" s="228">
        <v>0</v>
      </c>
      <c r="EO39" s="228">
        <v>350.88</v>
      </c>
      <c r="EP39" s="228">
        <v>465.49</v>
      </c>
      <c r="EQ39" s="228">
        <v>-114.61</v>
      </c>
      <c r="ER39" s="229">
        <v>-0.2462</v>
      </c>
      <c r="ES39" s="228">
        <v>38.119999999999997</v>
      </c>
      <c r="ET39" s="228">
        <v>17.02</v>
      </c>
      <c r="EU39" s="228">
        <v>219.48</v>
      </c>
      <c r="EV39" s="231">
        <v>26123462</v>
      </c>
      <c r="EW39" s="228">
        <v>274.63</v>
      </c>
      <c r="EX39" s="228">
        <v>613.01</v>
      </c>
      <c r="EY39" s="228">
        <v>-338.38</v>
      </c>
      <c r="EZ39" s="229">
        <v>-0.55200000000000005</v>
      </c>
      <c r="FA39" s="229">
        <v>5.9700000000000003E-2</v>
      </c>
      <c r="FB39" s="227" t="s">
        <v>568</v>
      </c>
      <c r="FC39">
        <f t="shared" si="0"/>
        <v>192</v>
      </c>
    </row>
    <row r="40" spans="1:159" ht="17.25" thickBot="1" x14ac:dyDescent="0.3">
      <c r="A40" s="226">
        <v>45869</v>
      </c>
      <c r="B40" s="227" t="s">
        <v>162</v>
      </c>
      <c r="C40" s="227" t="s">
        <v>192</v>
      </c>
      <c r="D40" s="228">
        <v>25</v>
      </c>
      <c r="E40" s="228">
        <v>0</v>
      </c>
      <c r="F40" s="231">
        <v>40495</v>
      </c>
      <c r="G40" s="231">
        <v>40250</v>
      </c>
      <c r="H40" s="228">
        <v>245</v>
      </c>
      <c r="I40" s="229">
        <v>6.1000000000000004E-3</v>
      </c>
      <c r="J40" s="231">
        <v>40385</v>
      </c>
      <c r="K40" s="231">
        <v>40060</v>
      </c>
      <c r="L40" s="228">
        <v>325</v>
      </c>
      <c r="M40" s="229">
        <v>8.0999999999999996E-3</v>
      </c>
      <c r="N40" s="231">
        <v>40310</v>
      </c>
      <c r="O40" s="231">
        <v>40045</v>
      </c>
      <c r="P40" s="228">
        <v>265</v>
      </c>
      <c r="Q40" s="229">
        <v>6.6E-3</v>
      </c>
      <c r="R40" s="231">
        <v>40495</v>
      </c>
      <c r="S40" s="231">
        <v>40250</v>
      </c>
      <c r="T40" s="228">
        <v>245</v>
      </c>
      <c r="U40" s="229">
        <v>6.1000000000000004E-3</v>
      </c>
      <c r="V40" s="231">
        <v>40670</v>
      </c>
      <c r="W40" s="231">
        <v>40415</v>
      </c>
      <c r="X40" s="228">
        <v>255</v>
      </c>
      <c r="Y40" s="229">
        <v>6.3E-3</v>
      </c>
      <c r="Z40" s="228">
        <v>110</v>
      </c>
      <c r="AA40" s="228">
        <v>-15</v>
      </c>
      <c r="AB40" s="228">
        <v>125</v>
      </c>
      <c r="AC40" s="229">
        <v>2.7000000000000001E-3</v>
      </c>
      <c r="AD40" s="228">
        <v>-75</v>
      </c>
      <c r="AE40" s="228">
        <v>-15</v>
      </c>
      <c r="AF40" s="228">
        <v>-60</v>
      </c>
      <c r="AG40" s="229">
        <v>-1.9E-3</v>
      </c>
      <c r="AH40" s="228">
        <v>110</v>
      </c>
      <c r="AI40" s="228">
        <v>190</v>
      </c>
      <c r="AJ40" s="228">
        <v>-80</v>
      </c>
      <c r="AK40" s="229">
        <v>2.7000000000000001E-3</v>
      </c>
      <c r="AL40" s="228">
        <v>285</v>
      </c>
      <c r="AM40" s="228">
        <v>355</v>
      </c>
      <c r="AN40" s="228">
        <v>-70</v>
      </c>
      <c r="AO40" s="229">
        <v>7.1000000000000004E-3</v>
      </c>
      <c r="AP40" s="231">
        <v>40047.43</v>
      </c>
      <c r="AQ40" s="231">
        <v>40269.39</v>
      </c>
      <c r="AR40" s="228">
        <v>0</v>
      </c>
      <c r="AS40" s="228">
        <v>768</v>
      </c>
      <c r="AT40" s="230">
        <v>1249</v>
      </c>
      <c r="AU40" s="228">
        <v>-480</v>
      </c>
      <c r="AV40" s="229">
        <v>-0.38469999999999999</v>
      </c>
      <c r="AW40" s="228">
        <v>354</v>
      </c>
      <c r="AX40" s="228">
        <v>555</v>
      </c>
      <c r="AY40" s="228">
        <v>-202</v>
      </c>
      <c r="AZ40" s="229">
        <v>-0.36309999999999998</v>
      </c>
      <c r="BA40" s="228">
        <v>400</v>
      </c>
      <c r="BB40" s="228">
        <v>670</v>
      </c>
      <c r="BC40" s="228">
        <v>-270</v>
      </c>
      <c r="BD40" s="229">
        <v>-0.40239999999999998</v>
      </c>
      <c r="BE40" s="228">
        <v>14</v>
      </c>
      <c r="BF40" s="228">
        <v>23</v>
      </c>
      <c r="BG40" s="228">
        <v>-9</v>
      </c>
      <c r="BH40" s="229">
        <v>-0.3896</v>
      </c>
      <c r="BI40" s="230">
        <v>4534</v>
      </c>
      <c r="BJ40" s="230">
        <v>13644</v>
      </c>
      <c r="BK40" s="230">
        <v>-9110</v>
      </c>
      <c r="BL40" s="229">
        <v>-0.66769999999999996</v>
      </c>
      <c r="BM40" s="230">
        <v>2567</v>
      </c>
      <c r="BN40" s="230">
        <v>6654</v>
      </c>
      <c r="BO40" s="230">
        <v>-4087</v>
      </c>
      <c r="BP40" s="229">
        <v>-0.61429999999999996</v>
      </c>
      <c r="BQ40" s="230">
        <v>7869</v>
      </c>
      <c r="BR40" s="230">
        <v>21546</v>
      </c>
      <c r="BS40" s="230">
        <v>-13677</v>
      </c>
      <c r="BT40" s="229">
        <v>-0.63480000000000003</v>
      </c>
      <c r="BU40" s="230">
        <v>47325</v>
      </c>
      <c r="BV40" s="230">
        <v>102880</v>
      </c>
      <c r="BW40" s="230">
        <v>-55555</v>
      </c>
      <c r="BX40" s="229">
        <v>-0.54</v>
      </c>
      <c r="BY40" s="230">
        <v>1320</v>
      </c>
      <c r="BZ40" s="230">
        <v>1487</v>
      </c>
      <c r="CA40" s="228">
        <v>-167</v>
      </c>
      <c r="CB40" s="229">
        <v>-0.1124</v>
      </c>
      <c r="CC40" s="228">
        <v>118</v>
      </c>
      <c r="CD40" s="228">
        <v>242</v>
      </c>
      <c r="CE40" s="228">
        <v>-124</v>
      </c>
      <c r="CF40" s="229">
        <v>-0.51319999999999999</v>
      </c>
      <c r="CG40" s="230">
        <v>1290</v>
      </c>
      <c r="CH40" s="230">
        <v>1220</v>
      </c>
      <c r="CI40" s="228">
        <v>70</v>
      </c>
      <c r="CJ40" s="229">
        <v>5.7599999999999998E-2</v>
      </c>
      <c r="CK40" s="228">
        <v>29</v>
      </c>
      <c r="CL40" s="228">
        <v>25</v>
      </c>
      <c r="CM40" s="228">
        <v>4</v>
      </c>
      <c r="CN40" s="229">
        <v>0.18029999999999999</v>
      </c>
      <c r="CO40" s="228">
        <v>250</v>
      </c>
      <c r="CP40" s="230">
        <v>1614</v>
      </c>
      <c r="CQ40" s="230">
        <v>-1364</v>
      </c>
      <c r="CR40" s="229">
        <v>-0.84519999999999995</v>
      </c>
      <c r="CS40" s="228">
        <v>144</v>
      </c>
      <c r="CT40" s="230">
        <v>1044</v>
      </c>
      <c r="CU40" s="228">
        <v>-899</v>
      </c>
      <c r="CV40" s="229">
        <v>-0.86170000000000002</v>
      </c>
      <c r="CW40" s="230">
        <v>1714</v>
      </c>
      <c r="CX40" s="230">
        <v>4145</v>
      </c>
      <c r="CY40" s="230">
        <v>-2431</v>
      </c>
      <c r="CZ40" s="229">
        <v>-0.58650000000000002</v>
      </c>
      <c r="DA40" s="228">
        <v>35.64</v>
      </c>
      <c r="DB40" s="228">
        <v>36.08</v>
      </c>
      <c r="DC40" s="228">
        <v>-0.44</v>
      </c>
      <c r="DD40" s="228">
        <v>-0.44</v>
      </c>
      <c r="DE40" s="228">
        <v>30.25</v>
      </c>
      <c r="DF40" s="228">
        <v>30.31</v>
      </c>
      <c r="DG40" s="228">
        <v>5.39</v>
      </c>
      <c r="DH40" s="228">
        <v>-0.06</v>
      </c>
      <c r="DI40" s="228">
        <v>34.869999999999997</v>
      </c>
      <c r="DJ40" s="228">
        <v>35.64</v>
      </c>
      <c r="DK40" s="228">
        <v>-0.77</v>
      </c>
      <c r="DL40" s="228">
        <v>-0.77</v>
      </c>
      <c r="DM40" s="228">
        <v>37.69</v>
      </c>
      <c r="DN40" s="228">
        <v>37.43</v>
      </c>
      <c r="DO40" s="228">
        <v>0.26</v>
      </c>
      <c r="DP40" s="228">
        <v>0.26</v>
      </c>
      <c r="DQ40" s="228">
        <v>0.57999999999999996</v>
      </c>
      <c r="DR40" s="228">
        <v>0.65</v>
      </c>
      <c r="DS40" s="228">
        <v>-7.0000000000000007E-2</v>
      </c>
      <c r="DT40" s="229">
        <v>-0.1077</v>
      </c>
      <c r="DU40" s="231">
        <v>43000</v>
      </c>
      <c r="DV40" s="231">
        <v>34000</v>
      </c>
      <c r="DW40" s="228">
        <v>0.56999999999999995</v>
      </c>
      <c r="DX40" s="228">
        <v>0.49</v>
      </c>
      <c r="DY40" s="228">
        <v>0.08</v>
      </c>
      <c r="DZ40" s="229">
        <v>0.1633</v>
      </c>
      <c r="EA40" s="229">
        <v>0.91810000000000003</v>
      </c>
      <c r="EB40" s="230">
        <v>307400</v>
      </c>
      <c r="EC40" s="229">
        <v>4.5999999999999999E-3</v>
      </c>
      <c r="ED40" s="229">
        <v>0.91810000000000003</v>
      </c>
      <c r="EE40" s="228">
        <v>221.96</v>
      </c>
      <c r="EF40" s="229">
        <v>5.4999999999999997E-3</v>
      </c>
      <c r="EG40" s="230">
        <v>15327</v>
      </c>
      <c r="EH40" s="230">
        <v>31609</v>
      </c>
      <c r="EI40" s="229">
        <v>-0.5151</v>
      </c>
      <c r="EJ40" s="229">
        <v>0.32390000000000002</v>
      </c>
      <c r="EK40" s="231">
        <v>4682.01</v>
      </c>
      <c r="EL40" s="231">
        <v>2389.46</v>
      </c>
      <c r="EM40" s="228">
        <v>762.21</v>
      </c>
      <c r="EN40" s="228">
        <v>0</v>
      </c>
      <c r="EO40" s="231">
        <v>7833.68</v>
      </c>
      <c r="EP40" s="231">
        <v>21567.17</v>
      </c>
      <c r="EQ40" s="231">
        <v>-13733.49</v>
      </c>
      <c r="ER40" s="229">
        <v>-0.63680000000000003</v>
      </c>
      <c r="ES40" s="228">
        <v>257.2</v>
      </c>
      <c r="ET40" s="228">
        <v>132.66</v>
      </c>
      <c r="EU40" s="231">
        <v>1319.66</v>
      </c>
      <c r="EV40" s="231">
        <v>1737683</v>
      </c>
      <c r="EW40" s="231">
        <v>1709.51</v>
      </c>
      <c r="EX40" s="231">
        <v>4010.9</v>
      </c>
      <c r="EY40" s="231">
        <v>-2301.39</v>
      </c>
      <c r="EZ40" s="229">
        <v>-0.57379999999999998</v>
      </c>
      <c r="FA40" s="229">
        <v>0.24349999999999999</v>
      </c>
      <c r="FB40" s="227" t="s">
        <v>556</v>
      </c>
      <c r="FC40">
        <f t="shared" si="0"/>
        <v>1202</v>
      </c>
    </row>
    <row r="41" spans="1:159" ht="17.25" thickBot="1" x14ac:dyDescent="0.3">
      <c r="A41" s="226">
        <v>45869</v>
      </c>
      <c r="B41" s="227" t="s">
        <v>193</v>
      </c>
      <c r="C41" s="227" t="s">
        <v>194</v>
      </c>
      <c r="D41" s="228">
        <v>1975</v>
      </c>
      <c r="E41" s="228">
        <v>0</v>
      </c>
      <c r="F41" s="228">
        <v>328.45</v>
      </c>
      <c r="G41" s="228">
        <v>333.65</v>
      </c>
      <c r="H41" s="228">
        <v>-5.2</v>
      </c>
      <c r="I41" s="229">
        <v>-1.5599999999999999E-2</v>
      </c>
      <c r="J41" s="228">
        <v>329.3</v>
      </c>
      <c r="K41" s="228">
        <v>337.05</v>
      </c>
      <c r="L41" s="228">
        <v>-7.75</v>
      </c>
      <c r="M41" s="229">
        <v>-2.3E-2</v>
      </c>
      <c r="N41" s="228">
        <v>329.2</v>
      </c>
      <c r="O41" s="228">
        <v>333</v>
      </c>
      <c r="P41" s="228">
        <v>-3.8</v>
      </c>
      <c r="Q41" s="229">
        <v>-1.14E-2</v>
      </c>
      <c r="R41" s="228">
        <v>328.45</v>
      </c>
      <c r="S41" s="228">
        <v>333.65</v>
      </c>
      <c r="T41" s="228">
        <v>-5.2</v>
      </c>
      <c r="U41" s="229">
        <v>-1.5599999999999999E-2</v>
      </c>
      <c r="V41" s="228">
        <v>329.35</v>
      </c>
      <c r="W41" s="228">
        <v>335.2</v>
      </c>
      <c r="X41" s="228">
        <v>-5.85</v>
      </c>
      <c r="Y41" s="229">
        <v>-1.7500000000000002E-2</v>
      </c>
      <c r="Z41" s="228">
        <v>-0.85</v>
      </c>
      <c r="AA41" s="228">
        <v>-4.05</v>
      </c>
      <c r="AB41" s="228">
        <v>3.2</v>
      </c>
      <c r="AC41" s="229">
        <v>-2.5999999999999999E-3</v>
      </c>
      <c r="AD41" s="228">
        <v>-0.1</v>
      </c>
      <c r="AE41" s="228">
        <v>-4.05</v>
      </c>
      <c r="AF41" s="228">
        <v>3.95</v>
      </c>
      <c r="AG41" s="229">
        <v>-2.9999999999999997E-4</v>
      </c>
      <c r="AH41" s="228">
        <v>-0.85</v>
      </c>
      <c r="AI41" s="228">
        <v>-3.4</v>
      </c>
      <c r="AJ41" s="228">
        <v>2.5499999999999998</v>
      </c>
      <c r="AK41" s="229">
        <v>-2.5999999999999999E-3</v>
      </c>
      <c r="AL41" s="228">
        <v>0.05</v>
      </c>
      <c r="AM41" s="228">
        <v>-1.85</v>
      </c>
      <c r="AN41" s="228">
        <v>1.9</v>
      </c>
      <c r="AO41" s="229">
        <v>2.0000000000000001E-4</v>
      </c>
      <c r="AP41" s="228">
        <v>328.15</v>
      </c>
      <c r="AQ41" s="228">
        <v>327.62</v>
      </c>
      <c r="AR41" s="228">
        <v>0</v>
      </c>
      <c r="AS41" s="228">
        <v>696</v>
      </c>
      <c r="AT41" s="230">
        <v>1141</v>
      </c>
      <c r="AU41" s="228">
        <v>-444</v>
      </c>
      <c r="AV41" s="229">
        <v>-0.38969999999999999</v>
      </c>
      <c r="AW41" s="228">
        <v>272</v>
      </c>
      <c r="AX41" s="228">
        <v>597</v>
      </c>
      <c r="AY41" s="228">
        <v>-324</v>
      </c>
      <c r="AZ41" s="229">
        <v>-0.54349999999999998</v>
      </c>
      <c r="BA41" s="228">
        <v>413</v>
      </c>
      <c r="BB41" s="228">
        <v>533</v>
      </c>
      <c r="BC41" s="228">
        <v>-120</v>
      </c>
      <c r="BD41" s="229">
        <v>-0.22470000000000001</v>
      </c>
      <c r="BE41" s="228">
        <v>11</v>
      </c>
      <c r="BF41" s="228">
        <v>11</v>
      </c>
      <c r="BG41" s="228">
        <v>0</v>
      </c>
      <c r="BH41" s="229">
        <v>-4.0899999999999999E-2</v>
      </c>
      <c r="BI41" s="230">
        <v>1122</v>
      </c>
      <c r="BJ41" s="230">
        <v>4428</v>
      </c>
      <c r="BK41" s="230">
        <v>-3306</v>
      </c>
      <c r="BL41" s="229">
        <v>-0.74660000000000004</v>
      </c>
      <c r="BM41" s="228">
        <v>614</v>
      </c>
      <c r="BN41" s="228">
        <v>955</v>
      </c>
      <c r="BO41" s="228">
        <v>-341</v>
      </c>
      <c r="BP41" s="229">
        <v>-0.35699999999999998</v>
      </c>
      <c r="BQ41" s="230">
        <v>2432</v>
      </c>
      <c r="BR41" s="230">
        <v>6523</v>
      </c>
      <c r="BS41" s="230">
        <v>-4091</v>
      </c>
      <c r="BT41" s="229">
        <v>-0.62709999999999999</v>
      </c>
      <c r="BU41" s="230">
        <v>7069139</v>
      </c>
      <c r="BV41" s="230">
        <v>11675868</v>
      </c>
      <c r="BW41" s="230">
        <v>-4606729</v>
      </c>
      <c r="BX41" s="229">
        <v>-0.39460000000000001</v>
      </c>
      <c r="BY41" s="230">
        <v>1228</v>
      </c>
      <c r="BZ41" s="230">
        <v>1674</v>
      </c>
      <c r="CA41" s="228">
        <v>-446</v>
      </c>
      <c r="CB41" s="229">
        <v>-0.26619999999999999</v>
      </c>
      <c r="CC41" s="228">
        <v>342</v>
      </c>
      <c r="CD41" s="228">
        <v>408</v>
      </c>
      <c r="CE41" s="228">
        <v>-66</v>
      </c>
      <c r="CF41" s="229">
        <v>-0.161</v>
      </c>
      <c r="CG41" s="230">
        <v>1219</v>
      </c>
      <c r="CH41" s="230">
        <v>1258</v>
      </c>
      <c r="CI41" s="228">
        <v>-38</v>
      </c>
      <c r="CJ41" s="229">
        <v>-3.04E-2</v>
      </c>
      <c r="CK41" s="228">
        <v>9</v>
      </c>
      <c r="CL41" s="228">
        <v>8</v>
      </c>
      <c r="CM41" s="228">
        <v>0</v>
      </c>
      <c r="CN41" s="229">
        <v>4.58E-2</v>
      </c>
      <c r="CO41" s="228">
        <v>262</v>
      </c>
      <c r="CP41" s="228">
        <v>819</v>
      </c>
      <c r="CQ41" s="228">
        <v>-557</v>
      </c>
      <c r="CR41" s="229">
        <v>-0.67959999999999998</v>
      </c>
      <c r="CS41" s="228">
        <v>163</v>
      </c>
      <c r="CT41" s="228">
        <v>383</v>
      </c>
      <c r="CU41" s="228">
        <v>-220</v>
      </c>
      <c r="CV41" s="229">
        <v>-0.57469999999999999</v>
      </c>
      <c r="CW41" s="230">
        <v>1654</v>
      </c>
      <c r="CX41" s="230">
        <v>2876</v>
      </c>
      <c r="CY41" s="230">
        <v>-1222</v>
      </c>
      <c r="CZ41" s="229">
        <v>-0.42499999999999999</v>
      </c>
      <c r="DA41" s="228">
        <v>30.31</v>
      </c>
      <c r="DB41" s="228">
        <v>30.57</v>
      </c>
      <c r="DC41" s="228">
        <v>-0.26</v>
      </c>
      <c r="DD41" s="228">
        <v>-0.26</v>
      </c>
      <c r="DE41" s="228">
        <v>35.729999999999997</v>
      </c>
      <c r="DF41" s="228">
        <v>35.75</v>
      </c>
      <c r="DG41" s="228">
        <v>-5.42</v>
      </c>
      <c r="DH41" s="228">
        <v>-0.02</v>
      </c>
      <c r="DI41" s="228">
        <v>29.97</v>
      </c>
      <c r="DJ41" s="228">
        <v>30.68</v>
      </c>
      <c r="DK41" s="228">
        <v>-0.71</v>
      </c>
      <c r="DL41" s="228">
        <v>-0.71</v>
      </c>
      <c r="DM41" s="228">
        <v>30.82</v>
      </c>
      <c r="DN41" s="228">
        <v>30.28</v>
      </c>
      <c r="DO41" s="228">
        <v>0.54</v>
      </c>
      <c r="DP41" s="228">
        <v>0.54</v>
      </c>
      <c r="DQ41" s="228">
        <v>0.62</v>
      </c>
      <c r="DR41" s="228">
        <v>0.47</v>
      </c>
      <c r="DS41" s="228">
        <v>0.15</v>
      </c>
      <c r="DT41" s="229">
        <v>0.31909999999999999</v>
      </c>
      <c r="DU41" s="228">
        <v>345</v>
      </c>
      <c r="DV41" s="228">
        <v>320</v>
      </c>
      <c r="DW41" s="228">
        <v>0.55000000000000004</v>
      </c>
      <c r="DX41" s="228">
        <v>0.22</v>
      </c>
      <c r="DY41" s="228">
        <v>0.33</v>
      </c>
      <c r="DZ41" s="229">
        <v>1.5</v>
      </c>
      <c r="EA41" s="229">
        <v>0.78220000000000001</v>
      </c>
      <c r="EB41" s="230">
        <v>38552000</v>
      </c>
      <c r="EC41" s="229">
        <v>-2.3E-3</v>
      </c>
      <c r="ED41" s="229">
        <v>0.78220000000000001</v>
      </c>
      <c r="EE41" s="228">
        <v>-0.53</v>
      </c>
      <c r="EF41" s="229">
        <v>-1.6000000000000001E-3</v>
      </c>
      <c r="EG41" s="230">
        <v>3520110</v>
      </c>
      <c r="EH41" s="230">
        <v>4872018</v>
      </c>
      <c r="EI41" s="229">
        <v>-0.27750000000000002</v>
      </c>
      <c r="EJ41" s="229">
        <v>0.498</v>
      </c>
      <c r="EK41" s="231">
        <v>1176.55</v>
      </c>
      <c r="EL41" s="228">
        <v>614.29</v>
      </c>
      <c r="EM41" s="228">
        <v>694.93</v>
      </c>
      <c r="EN41" s="228">
        <v>0</v>
      </c>
      <c r="EO41" s="231">
        <v>2485.77</v>
      </c>
      <c r="EP41" s="231">
        <v>6790.62</v>
      </c>
      <c r="EQ41" s="231">
        <v>-4304.8500000000004</v>
      </c>
      <c r="ER41" s="229">
        <v>-0.63390000000000002</v>
      </c>
      <c r="ES41" s="228">
        <v>282.22000000000003</v>
      </c>
      <c r="ET41" s="228">
        <v>158.72999999999999</v>
      </c>
      <c r="EU41" s="231">
        <v>1228.3800000000001</v>
      </c>
      <c r="EV41" s="231">
        <v>408027660</v>
      </c>
      <c r="EW41" s="231">
        <v>1669.33</v>
      </c>
      <c r="EX41" s="231">
        <v>2945.5</v>
      </c>
      <c r="EY41" s="231">
        <v>-1276.17</v>
      </c>
      <c r="EZ41" s="229">
        <v>-0.43330000000000002</v>
      </c>
      <c r="FA41" s="229">
        <v>0.1234</v>
      </c>
      <c r="FB41" s="227" t="s">
        <v>568</v>
      </c>
      <c r="FC41">
        <f t="shared" si="0"/>
        <v>886</v>
      </c>
    </row>
    <row r="42" spans="1:159" ht="17.25" thickBot="1" x14ac:dyDescent="0.3">
      <c r="A42" s="226">
        <v>45869</v>
      </c>
      <c r="B42" s="227" t="s">
        <v>168</v>
      </c>
      <c r="C42" s="227" t="s">
        <v>195</v>
      </c>
      <c r="D42" s="228">
        <v>125</v>
      </c>
      <c r="E42" s="228">
        <v>0</v>
      </c>
      <c r="F42" s="231">
        <v>5727</v>
      </c>
      <c r="G42" s="231">
        <v>5705</v>
      </c>
      <c r="H42" s="228">
        <v>22</v>
      </c>
      <c r="I42" s="229">
        <v>3.8999999999999998E-3</v>
      </c>
      <c r="J42" s="231">
        <v>5771</v>
      </c>
      <c r="K42" s="231">
        <v>5747</v>
      </c>
      <c r="L42" s="228">
        <v>24</v>
      </c>
      <c r="M42" s="229">
        <v>4.1999999999999997E-3</v>
      </c>
      <c r="N42" s="231">
        <v>5769.5</v>
      </c>
      <c r="O42" s="231">
        <v>5745.5</v>
      </c>
      <c r="P42" s="228">
        <v>24</v>
      </c>
      <c r="Q42" s="229">
        <v>4.1999999999999997E-3</v>
      </c>
      <c r="R42" s="231">
        <v>5727</v>
      </c>
      <c r="S42" s="231">
        <v>5705</v>
      </c>
      <c r="T42" s="228">
        <v>22</v>
      </c>
      <c r="U42" s="229">
        <v>3.8999999999999998E-3</v>
      </c>
      <c r="V42" s="231">
        <v>5763.5</v>
      </c>
      <c r="W42" s="231">
        <v>5729.5</v>
      </c>
      <c r="X42" s="228">
        <v>34</v>
      </c>
      <c r="Y42" s="229">
        <v>5.8999999999999999E-3</v>
      </c>
      <c r="Z42" s="228">
        <v>-44</v>
      </c>
      <c r="AA42" s="228">
        <v>-1.5</v>
      </c>
      <c r="AB42" s="228">
        <v>-42.5</v>
      </c>
      <c r="AC42" s="229">
        <v>-7.6E-3</v>
      </c>
      <c r="AD42" s="228">
        <v>-1.5</v>
      </c>
      <c r="AE42" s="228">
        <v>-1.5</v>
      </c>
      <c r="AF42" s="228">
        <v>0</v>
      </c>
      <c r="AG42" s="229">
        <v>-2.9999999999999997E-4</v>
      </c>
      <c r="AH42" s="228">
        <v>-44</v>
      </c>
      <c r="AI42" s="228">
        <v>-42</v>
      </c>
      <c r="AJ42" s="228">
        <v>-2</v>
      </c>
      <c r="AK42" s="229">
        <v>-7.6E-3</v>
      </c>
      <c r="AL42" s="228">
        <v>-7.5</v>
      </c>
      <c r="AM42" s="228">
        <v>-17.5</v>
      </c>
      <c r="AN42" s="228">
        <v>10</v>
      </c>
      <c r="AO42" s="229">
        <v>-1.2999999999999999E-3</v>
      </c>
      <c r="AP42" s="231">
        <v>5776.15</v>
      </c>
      <c r="AQ42" s="231">
        <v>5732.2</v>
      </c>
      <c r="AR42" s="228">
        <v>0</v>
      </c>
      <c r="AS42" s="230">
        <v>1057</v>
      </c>
      <c r="AT42" s="228">
        <v>896</v>
      </c>
      <c r="AU42" s="228">
        <v>161</v>
      </c>
      <c r="AV42" s="229">
        <v>0.18010000000000001</v>
      </c>
      <c r="AW42" s="228">
        <v>454</v>
      </c>
      <c r="AX42" s="228">
        <v>415</v>
      </c>
      <c r="AY42" s="228">
        <v>39</v>
      </c>
      <c r="AZ42" s="229">
        <v>9.4899999999999998E-2</v>
      </c>
      <c r="BA42" s="228">
        <v>600</v>
      </c>
      <c r="BB42" s="228">
        <v>479</v>
      </c>
      <c r="BC42" s="228">
        <v>121</v>
      </c>
      <c r="BD42" s="229">
        <v>0.25209999999999999</v>
      </c>
      <c r="BE42" s="228">
        <v>3</v>
      </c>
      <c r="BF42" s="228">
        <v>2</v>
      </c>
      <c r="BG42" s="228">
        <v>1</v>
      </c>
      <c r="BH42" s="229">
        <v>0.73909999999999998</v>
      </c>
      <c r="BI42" s="228">
        <v>780</v>
      </c>
      <c r="BJ42" s="228">
        <v>767</v>
      </c>
      <c r="BK42" s="228">
        <v>13</v>
      </c>
      <c r="BL42" s="229">
        <v>1.7600000000000001E-2</v>
      </c>
      <c r="BM42" s="228">
        <v>217</v>
      </c>
      <c r="BN42" s="228">
        <v>299</v>
      </c>
      <c r="BO42" s="228">
        <v>-82</v>
      </c>
      <c r="BP42" s="229">
        <v>-0.27429999999999999</v>
      </c>
      <c r="BQ42" s="230">
        <v>2054</v>
      </c>
      <c r="BR42" s="230">
        <v>1961</v>
      </c>
      <c r="BS42" s="228">
        <v>93</v>
      </c>
      <c r="BT42" s="229">
        <v>4.7399999999999998E-2</v>
      </c>
      <c r="BU42" s="230">
        <v>350606</v>
      </c>
      <c r="BV42" s="230">
        <v>186747</v>
      </c>
      <c r="BW42" s="230">
        <v>163859</v>
      </c>
      <c r="BX42" s="229">
        <v>0.87739999999999996</v>
      </c>
      <c r="BY42" s="230">
        <v>1758</v>
      </c>
      <c r="BZ42" s="230">
        <v>1805</v>
      </c>
      <c r="CA42" s="228">
        <v>-47</v>
      </c>
      <c r="CB42" s="229">
        <v>-2.6200000000000001E-2</v>
      </c>
      <c r="CC42" s="228">
        <v>66</v>
      </c>
      <c r="CD42" s="228">
        <v>374</v>
      </c>
      <c r="CE42" s="228">
        <v>-308</v>
      </c>
      <c r="CF42" s="229">
        <v>-0.82410000000000005</v>
      </c>
      <c r="CG42" s="230">
        <v>1753</v>
      </c>
      <c r="CH42" s="230">
        <v>1428</v>
      </c>
      <c r="CI42" s="228">
        <v>325</v>
      </c>
      <c r="CJ42" s="229">
        <v>0.22770000000000001</v>
      </c>
      <c r="CK42" s="228">
        <v>4</v>
      </c>
      <c r="CL42" s="228">
        <v>3</v>
      </c>
      <c r="CM42" s="228">
        <v>1</v>
      </c>
      <c r="CN42" s="229">
        <v>0.31909999999999999</v>
      </c>
      <c r="CO42" s="228">
        <v>116</v>
      </c>
      <c r="CP42" s="228">
        <v>368</v>
      </c>
      <c r="CQ42" s="228">
        <v>-252</v>
      </c>
      <c r="CR42" s="229">
        <v>-0.68530000000000002</v>
      </c>
      <c r="CS42" s="228">
        <v>59</v>
      </c>
      <c r="CT42" s="228">
        <v>243</v>
      </c>
      <c r="CU42" s="228">
        <v>-184</v>
      </c>
      <c r="CV42" s="229">
        <v>-0.7571</v>
      </c>
      <c r="CW42" s="230">
        <v>1933</v>
      </c>
      <c r="CX42" s="230">
        <v>2416</v>
      </c>
      <c r="CY42" s="228">
        <v>-484</v>
      </c>
      <c r="CZ42" s="229">
        <v>-0.2001</v>
      </c>
      <c r="DA42" s="228">
        <v>26.02</v>
      </c>
      <c r="DB42" s="228">
        <v>23.56</v>
      </c>
      <c r="DC42" s="228">
        <v>2.46</v>
      </c>
      <c r="DD42" s="228">
        <v>2.46</v>
      </c>
      <c r="DE42" s="228">
        <v>23.83</v>
      </c>
      <c r="DF42" s="228">
        <v>23.88</v>
      </c>
      <c r="DG42" s="228">
        <v>2.19</v>
      </c>
      <c r="DH42" s="228">
        <v>-0.05</v>
      </c>
      <c r="DI42" s="228">
        <v>26.03</v>
      </c>
      <c r="DJ42" s="228">
        <v>23.47</v>
      </c>
      <c r="DK42" s="228">
        <v>2.56</v>
      </c>
      <c r="DL42" s="228">
        <v>2.56</v>
      </c>
      <c r="DM42" s="228">
        <v>25.99</v>
      </c>
      <c r="DN42" s="228">
        <v>23.77</v>
      </c>
      <c r="DO42" s="228">
        <v>2.2200000000000002</v>
      </c>
      <c r="DP42" s="228">
        <v>2.2200000000000002</v>
      </c>
      <c r="DQ42" s="228">
        <v>0.51</v>
      </c>
      <c r="DR42" s="228">
        <v>0.66</v>
      </c>
      <c r="DS42" s="228">
        <v>-0.15</v>
      </c>
      <c r="DT42" s="229">
        <v>-0.2273</v>
      </c>
      <c r="DU42" s="231">
        <v>6000</v>
      </c>
      <c r="DV42" s="231">
        <v>5200</v>
      </c>
      <c r="DW42" s="228">
        <v>0.28000000000000003</v>
      </c>
      <c r="DX42" s="228">
        <v>0.39</v>
      </c>
      <c r="DY42" s="228">
        <v>-0.11</v>
      </c>
      <c r="DZ42" s="229">
        <v>-0.28210000000000002</v>
      </c>
      <c r="EA42" s="229">
        <v>0.96399999999999997</v>
      </c>
      <c r="EB42" s="230">
        <v>2499375</v>
      </c>
      <c r="EC42" s="229">
        <v>-7.4000000000000003E-3</v>
      </c>
      <c r="ED42" s="229">
        <v>0.96399999999999997</v>
      </c>
      <c r="EE42" s="228">
        <v>-43.95</v>
      </c>
      <c r="EF42" s="229">
        <v>-7.6E-3</v>
      </c>
      <c r="EG42" s="230">
        <v>137848</v>
      </c>
      <c r="EH42" s="230">
        <v>90705</v>
      </c>
      <c r="EI42" s="229">
        <v>0.51970000000000005</v>
      </c>
      <c r="EJ42" s="229">
        <v>0.39319999999999999</v>
      </c>
      <c r="EK42" s="228">
        <v>811.08</v>
      </c>
      <c r="EL42" s="228">
        <v>214.35</v>
      </c>
      <c r="EM42" s="231">
        <v>1061.67</v>
      </c>
      <c r="EN42" s="228">
        <v>0</v>
      </c>
      <c r="EO42" s="231">
        <v>2087.09</v>
      </c>
      <c r="EP42" s="231">
        <v>1966.23</v>
      </c>
      <c r="EQ42" s="228">
        <v>120.86</v>
      </c>
      <c r="ER42" s="229">
        <v>6.1499999999999999E-2</v>
      </c>
      <c r="ES42" s="228">
        <v>120.09</v>
      </c>
      <c r="ET42" s="228">
        <v>56.84</v>
      </c>
      <c r="EU42" s="231">
        <v>1757.72</v>
      </c>
      <c r="EV42" s="231">
        <v>23823080</v>
      </c>
      <c r="EW42" s="231">
        <v>1934.65</v>
      </c>
      <c r="EX42" s="231">
        <v>2421.48</v>
      </c>
      <c r="EY42" s="228">
        <v>-486.83</v>
      </c>
      <c r="EZ42" s="229">
        <v>-0.20100000000000001</v>
      </c>
      <c r="FA42" s="229">
        <v>0.1416</v>
      </c>
      <c r="FB42" s="227" t="s">
        <v>556</v>
      </c>
      <c r="FC42">
        <f t="shared" si="0"/>
        <v>1692</v>
      </c>
    </row>
    <row r="43" spans="1:159" ht="17.25" thickBot="1" x14ac:dyDescent="0.3">
      <c r="A43" s="226">
        <v>45869</v>
      </c>
      <c r="B43" s="227" t="s">
        <v>175</v>
      </c>
      <c r="C43" s="227" t="s">
        <v>585</v>
      </c>
      <c r="D43" s="228">
        <v>375</v>
      </c>
      <c r="E43" s="228">
        <v>0</v>
      </c>
      <c r="F43" s="231">
        <v>2437.6</v>
      </c>
      <c r="G43" s="231">
        <v>2463.5</v>
      </c>
      <c r="H43" s="228">
        <v>-25.9</v>
      </c>
      <c r="I43" s="229">
        <v>-1.0500000000000001E-2</v>
      </c>
      <c r="J43" s="231">
        <v>2427.4</v>
      </c>
      <c r="K43" s="231">
        <v>2457.5</v>
      </c>
      <c r="L43" s="228">
        <v>-30.1</v>
      </c>
      <c r="M43" s="229">
        <v>-1.2200000000000001E-2</v>
      </c>
      <c r="N43" s="231">
        <v>2426.5</v>
      </c>
      <c r="O43" s="231">
        <v>2458.3000000000002</v>
      </c>
      <c r="P43" s="228">
        <v>-31.8</v>
      </c>
      <c r="Q43" s="229">
        <v>-1.29E-2</v>
      </c>
      <c r="R43" s="231">
        <v>2437.6</v>
      </c>
      <c r="S43" s="231">
        <v>2463.5</v>
      </c>
      <c r="T43" s="228">
        <v>-25.9</v>
      </c>
      <c r="U43" s="229">
        <v>-1.0500000000000001E-2</v>
      </c>
      <c r="V43" s="231">
        <v>2447</v>
      </c>
      <c r="W43" s="231">
        <v>2471.6999999999998</v>
      </c>
      <c r="X43" s="228">
        <v>-24.7</v>
      </c>
      <c r="Y43" s="229">
        <v>-0.01</v>
      </c>
      <c r="Z43" s="228">
        <v>10.199999999999999</v>
      </c>
      <c r="AA43" s="228">
        <v>0.8</v>
      </c>
      <c r="AB43" s="228">
        <v>9.4</v>
      </c>
      <c r="AC43" s="229">
        <v>4.1999999999999997E-3</v>
      </c>
      <c r="AD43" s="228">
        <v>-0.9</v>
      </c>
      <c r="AE43" s="228">
        <v>0.8</v>
      </c>
      <c r="AF43" s="228">
        <v>-1.7</v>
      </c>
      <c r="AG43" s="229">
        <v>-4.0000000000000002E-4</v>
      </c>
      <c r="AH43" s="228">
        <v>10.199999999999999</v>
      </c>
      <c r="AI43" s="228">
        <v>6</v>
      </c>
      <c r="AJ43" s="228">
        <v>4.2</v>
      </c>
      <c r="AK43" s="229">
        <v>4.1999999999999997E-3</v>
      </c>
      <c r="AL43" s="228">
        <v>19.600000000000001</v>
      </c>
      <c r="AM43" s="228">
        <v>14.2</v>
      </c>
      <c r="AN43" s="228">
        <v>5.4</v>
      </c>
      <c r="AO43" s="229">
        <v>8.0999999999999996E-3</v>
      </c>
      <c r="AP43" s="231">
        <v>2442.89</v>
      </c>
      <c r="AQ43" s="231">
        <v>2451.8200000000002</v>
      </c>
      <c r="AR43" s="228">
        <v>0</v>
      </c>
      <c r="AS43" s="230">
        <v>2578</v>
      </c>
      <c r="AT43" s="230">
        <v>1830</v>
      </c>
      <c r="AU43" s="228">
        <v>749</v>
      </c>
      <c r="AV43" s="229">
        <v>0.40920000000000001</v>
      </c>
      <c r="AW43" s="230">
        <v>1274</v>
      </c>
      <c r="AX43" s="228">
        <v>932</v>
      </c>
      <c r="AY43" s="228">
        <v>342</v>
      </c>
      <c r="AZ43" s="229">
        <v>0.36720000000000003</v>
      </c>
      <c r="BA43" s="230">
        <v>1245</v>
      </c>
      <c r="BB43" s="228">
        <v>884</v>
      </c>
      <c r="BC43" s="228">
        <v>360</v>
      </c>
      <c r="BD43" s="229">
        <v>0.4073</v>
      </c>
      <c r="BE43" s="228">
        <v>59</v>
      </c>
      <c r="BF43" s="228">
        <v>13</v>
      </c>
      <c r="BG43" s="228">
        <v>46</v>
      </c>
      <c r="BH43" s="229">
        <v>3.5314999999999999</v>
      </c>
      <c r="BI43" s="230">
        <v>3065</v>
      </c>
      <c r="BJ43" s="230">
        <v>4135</v>
      </c>
      <c r="BK43" s="230">
        <v>-1070</v>
      </c>
      <c r="BL43" s="229">
        <v>-0.25869999999999999</v>
      </c>
      <c r="BM43" s="230">
        <v>2108</v>
      </c>
      <c r="BN43" s="230">
        <v>2176</v>
      </c>
      <c r="BO43" s="228">
        <v>-68</v>
      </c>
      <c r="BP43" s="229">
        <v>-3.1099999999999999E-2</v>
      </c>
      <c r="BQ43" s="230">
        <v>7752</v>
      </c>
      <c r="BR43" s="230">
        <v>8141</v>
      </c>
      <c r="BS43" s="228">
        <v>-389</v>
      </c>
      <c r="BT43" s="229">
        <v>-4.7699999999999999E-2</v>
      </c>
      <c r="BU43" s="230">
        <v>2933504</v>
      </c>
      <c r="BV43" s="230">
        <v>1846915</v>
      </c>
      <c r="BW43" s="230">
        <v>1086589</v>
      </c>
      <c r="BX43" s="229">
        <v>0.58830000000000005</v>
      </c>
      <c r="BY43" s="230">
        <v>2670</v>
      </c>
      <c r="BZ43" s="230">
        <v>3217</v>
      </c>
      <c r="CA43" s="228">
        <v>-547</v>
      </c>
      <c r="CB43" s="229">
        <v>-0.1699</v>
      </c>
      <c r="CC43" s="228">
        <v>381</v>
      </c>
      <c r="CD43" s="230">
        <v>1025</v>
      </c>
      <c r="CE43" s="228">
        <v>-644</v>
      </c>
      <c r="CF43" s="229">
        <v>-0.628</v>
      </c>
      <c r="CG43" s="230">
        <v>2566</v>
      </c>
      <c r="CH43" s="230">
        <v>2122</v>
      </c>
      <c r="CI43" s="228">
        <v>444</v>
      </c>
      <c r="CJ43" s="229">
        <v>0.20910000000000001</v>
      </c>
      <c r="CK43" s="228">
        <v>104</v>
      </c>
      <c r="CL43" s="228">
        <v>69</v>
      </c>
      <c r="CM43" s="228">
        <v>35</v>
      </c>
      <c r="CN43" s="229">
        <v>0.50729999999999997</v>
      </c>
      <c r="CO43" s="228">
        <v>860</v>
      </c>
      <c r="CP43" s="230">
        <v>3224</v>
      </c>
      <c r="CQ43" s="230">
        <v>-2364</v>
      </c>
      <c r="CR43" s="229">
        <v>-0.73329999999999995</v>
      </c>
      <c r="CS43" s="228">
        <v>728</v>
      </c>
      <c r="CT43" s="230">
        <v>1978</v>
      </c>
      <c r="CU43" s="230">
        <v>-1250</v>
      </c>
      <c r="CV43" s="229">
        <v>-0.63190000000000002</v>
      </c>
      <c r="CW43" s="230">
        <v>4258</v>
      </c>
      <c r="CX43" s="230">
        <v>8419</v>
      </c>
      <c r="CY43" s="230">
        <v>-4161</v>
      </c>
      <c r="CZ43" s="229">
        <v>-0.49419999999999997</v>
      </c>
      <c r="DA43" s="228">
        <v>46.14</v>
      </c>
      <c r="DB43" s="228">
        <v>45.57</v>
      </c>
      <c r="DC43" s="228">
        <v>0.56999999999999995</v>
      </c>
      <c r="DD43" s="228">
        <v>0.56999999999999995</v>
      </c>
      <c r="DE43" s="228">
        <v>67.02</v>
      </c>
      <c r="DF43" s="228">
        <v>67.16</v>
      </c>
      <c r="DG43" s="228">
        <v>-20.88</v>
      </c>
      <c r="DH43" s="228">
        <v>-0.14000000000000001</v>
      </c>
      <c r="DI43" s="228">
        <v>45.37</v>
      </c>
      <c r="DJ43" s="228">
        <v>45.24</v>
      </c>
      <c r="DK43" s="228">
        <v>0.13</v>
      </c>
      <c r="DL43" s="228">
        <v>0.13</v>
      </c>
      <c r="DM43" s="228">
        <v>47.01</v>
      </c>
      <c r="DN43" s="228">
        <v>46.03</v>
      </c>
      <c r="DO43" s="228">
        <v>0.98</v>
      </c>
      <c r="DP43" s="228">
        <v>0.98</v>
      </c>
      <c r="DQ43" s="228">
        <v>0.85</v>
      </c>
      <c r="DR43" s="228">
        <v>0.61</v>
      </c>
      <c r="DS43" s="228">
        <v>0.24</v>
      </c>
      <c r="DT43" s="229">
        <v>0.39340000000000003</v>
      </c>
      <c r="DU43" s="231">
        <v>2800</v>
      </c>
      <c r="DV43" s="231">
        <v>2800</v>
      </c>
      <c r="DW43" s="228">
        <v>0.69</v>
      </c>
      <c r="DX43" s="228">
        <v>0.53</v>
      </c>
      <c r="DY43" s="228">
        <v>0.16</v>
      </c>
      <c r="DZ43" s="229">
        <v>0.3019</v>
      </c>
      <c r="EA43" s="229">
        <v>0.875</v>
      </c>
      <c r="EB43" s="230">
        <v>8989875</v>
      </c>
      <c r="EC43" s="229">
        <v>4.5999999999999999E-3</v>
      </c>
      <c r="ED43" s="229">
        <v>0.875</v>
      </c>
      <c r="EE43" s="228">
        <v>8.93</v>
      </c>
      <c r="EF43" s="229">
        <v>3.7000000000000002E-3</v>
      </c>
      <c r="EG43" s="230">
        <v>625425</v>
      </c>
      <c r="EH43" s="230">
        <v>421077</v>
      </c>
      <c r="EI43" s="229">
        <v>0.48530000000000001</v>
      </c>
      <c r="EJ43" s="229">
        <v>0.2132</v>
      </c>
      <c r="EK43" s="231">
        <v>3308.44</v>
      </c>
      <c r="EL43" s="231">
        <v>2110.5300000000002</v>
      </c>
      <c r="EM43" s="231">
        <v>2588.85</v>
      </c>
      <c r="EN43" s="228">
        <v>0</v>
      </c>
      <c r="EO43" s="231">
        <v>8007.82</v>
      </c>
      <c r="EP43" s="231">
        <v>8490.92</v>
      </c>
      <c r="EQ43" s="228">
        <v>-483.09</v>
      </c>
      <c r="ER43" s="229">
        <v>-5.6899999999999999E-2</v>
      </c>
      <c r="ES43" s="228">
        <v>944.43</v>
      </c>
      <c r="ET43" s="228">
        <v>695.89</v>
      </c>
      <c r="EU43" s="231">
        <v>2670.49</v>
      </c>
      <c r="EV43" s="231">
        <v>63536556</v>
      </c>
      <c r="EW43" s="231">
        <v>4310.8</v>
      </c>
      <c r="EX43" s="231">
        <v>8876.85</v>
      </c>
      <c r="EY43" s="231">
        <v>-4566.05</v>
      </c>
      <c r="EZ43" s="229">
        <v>-0.51439999999999997</v>
      </c>
      <c r="FA43" s="229">
        <v>0.27489999999999998</v>
      </c>
      <c r="FB43" s="227" t="s">
        <v>568</v>
      </c>
      <c r="FC43">
        <f t="shared" si="0"/>
        <v>2289</v>
      </c>
    </row>
    <row r="44" spans="1:159" ht="17.25" thickBot="1" x14ac:dyDescent="0.3">
      <c r="A44" s="226">
        <v>45869</v>
      </c>
      <c r="B44" s="227" t="s">
        <v>221</v>
      </c>
      <c r="C44" s="227" t="s">
        <v>531</v>
      </c>
      <c r="D44" s="228">
        <v>1300</v>
      </c>
      <c r="E44" s="228">
        <v>0</v>
      </c>
      <c r="F44" s="228">
        <v>0</v>
      </c>
      <c r="G44" s="228">
        <v>0</v>
      </c>
      <c r="H44" s="228">
        <v>0</v>
      </c>
      <c r="I44" s="229">
        <v>0</v>
      </c>
      <c r="J44" s="228">
        <v>391.5</v>
      </c>
      <c r="K44" s="228">
        <v>414.75</v>
      </c>
      <c r="L44" s="228">
        <v>-23.25</v>
      </c>
      <c r="M44" s="229">
        <v>-5.6099999999999997E-2</v>
      </c>
      <c r="N44" s="228">
        <v>391.3</v>
      </c>
      <c r="O44" s="228">
        <v>414.25</v>
      </c>
      <c r="P44" s="228">
        <v>-22.95</v>
      </c>
      <c r="Q44" s="229">
        <v>-5.5399999999999998E-2</v>
      </c>
      <c r="R44" s="228">
        <v>0</v>
      </c>
      <c r="S44" s="228">
        <v>0</v>
      </c>
      <c r="T44" s="228">
        <v>0</v>
      </c>
      <c r="U44" s="229">
        <v>0</v>
      </c>
      <c r="V44" s="228">
        <v>0</v>
      </c>
      <c r="W44" s="228">
        <v>0</v>
      </c>
      <c r="X44" s="228">
        <v>0</v>
      </c>
      <c r="Y44" s="229">
        <v>0</v>
      </c>
      <c r="Z44" s="228">
        <v>0</v>
      </c>
      <c r="AA44" s="228">
        <v>-0.5</v>
      </c>
      <c r="AB44" s="228">
        <v>0</v>
      </c>
      <c r="AC44" s="229">
        <v>0</v>
      </c>
      <c r="AD44" s="228">
        <v>-0.2</v>
      </c>
      <c r="AE44" s="228">
        <v>-0.5</v>
      </c>
      <c r="AF44" s="228">
        <v>0.3</v>
      </c>
      <c r="AG44" s="229">
        <v>-5.0000000000000001E-4</v>
      </c>
      <c r="AH44" s="228">
        <v>0</v>
      </c>
      <c r="AI44" s="228">
        <v>0</v>
      </c>
      <c r="AJ44" s="228">
        <v>0</v>
      </c>
      <c r="AK44" s="229">
        <v>0</v>
      </c>
      <c r="AL44" s="228">
        <v>0</v>
      </c>
      <c r="AM44" s="228">
        <v>0</v>
      </c>
      <c r="AN44" s="228">
        <v>0</v>
      </c>
      <c r="AO44" s="229">
        <v>0</v>
      </c>
      <c r="AP44" s="228">
        <v>397.13</v>
      </c>
      <c r="AQ44" s="228">
        <v>0</v>
      </c>
      <c r="AR44" s="228">
        <v>0</v>
      </c>
      <c r="AS44" s="228">
        <v>0</v>
      </c>
      <c r="AT44" s="228">
        <v>0</v>
      </c>
      <c r="AU44" s="228">
        <v>0</v>
      </c>
      <c r="AV44" s="229">
        <v>8.8099999999999998E-2</v>
      </c>
      <c r="AW44" s="228">
        <v>0</v>
      </c>
      <c r="AX44" s="228">
        <v>0</v>
      </c>
      <c r="AY44" s="228">
        <v>0</v>
      </c>
      <c r="AZ44" s="229">
        <v>8.8099999999999998E-2</v>
      </c>
      <c r="BA44" s="228">
        <v>0</v>
      </c>
      <c r="BB44" s="228">
        <v>0</v>
      </c>
      <c r="BC44" s="228">
        <v>0</v>
      </c>
      <c r="BD44" s="229">
        <v>0</v>
      </c>
      <c r="BE44" s="228">
        <v>0</v>
      </c>
      <c r="BF44" s="228">
        <v>0</v>
      </c>
      <c r="BG44" s="228">
        <v>0</v>
      </c>
      <c r="BH44" s="229">
        <v>0</v>
      </c>
      <c r="BI44" s="228">
        <v>0</v>
      </c>
      <c r="BJ44" s="228">
        <v>0</v>
      </c>
      <c r="BK44" s="228">
        <v>0</v>
      </c>
      <c r="BL44" s="229">
        <v>-0.66369999999999996</v>
      </c>
      <c r="BM44" s="228">
        <v>0</v>
      </c>
      <c r="BN44" s="228">
        <v>0</v>
      </c>
      <c r="BO44" s="228">
        <v>0</v>
      </c>
      <c r="BP44" s="229">
        <v>-4.9200000000000001E-2</v>
      </c>
      <c r="BQ44" s="228">
        <v>0</v>
      </c>
      <c r="BR44" s="228">
        <v>0</v>
      </c>
      <c r="BS44" s="228">
        <v>0</v>
      </c>
      <c r="BT44" s="229">
        <v>-0.38229999999999997</v>
      </c>
      <c r="BU44" s="230">
        <v>4674140</v>
      </c>
      <c r="BV44" s="230">
        <v>2797453</v>
      </c>
      <c r="BW44" s="230">
        <v>1876687</v>
      </c>
      <c r="BX44" s="229">
        <v>0.67090000000000005</v>
      </c>
      <c r="BY44" s="228">
        <v>0</v>
      </c>
      <c r="BZ44" s="228">
        <v>0</v>
      </c>
      <c r="CA44" s="228">
        <v>0</v>
      </c>
      <c r="CB44" s="229">
        <v>-1</v>
      </c>
      <c r="CC44" s="228">
        <v>0</v>
      </c>
      <c r="CD44" s="228">
        <v>0</v>
      </c>
      <c r="CE44" s="228">
        <v>0</v>
      </c>
      <c r="CF44" s="229">
        <v>-0.59009999999999996</v>
      </c>
      <c r="CG44" s="228">
        <v>0</v>
      </c>
      <c r="CH44" s="228">
        <v>0</v>
      </c>
      <c r="CI44" s="228">
        <v>0</v>
      </c>
      <c r="CJ44" s="229">
        <v>0</v>
      </c>
      <c r="CK44" s="228">
        <v>0</v>
      </c>
      <c r="CL44" s="228">
        <v>0</v>
      </c>
      <c r="CM44" s="228">
        <v>0</v>
      </c>
      <c r="CN44" s="229">
        <v>0</v>
      </c>
      <c r="CO44" s="228">
        <v>0</v>
      </c>
      <c r="CP44" s="228">
        <v>0</v>
      </c>
      <c r="CQ44" s="228">
        <v>0</v>
      </c>
      <c r="CR44" s="229">
        <v>-0.1298</v>
      </c>
      <c r="CS44" s="228">
        <v>0</v>
      </c>
      <c r="CT44" s="228">
        <v>0</v>
      </c>
      <c r="CU44" s="228">
        <v>0</v>
      </c>
      <c r="CV44" s="229">
        <v>-0.1835</v>
      </c>
      <c r="CW44" s="228">
        <v>0</v>
      </c>
      <c r="CX44" s="228">
        <v>0</v>
      </c>
      <c r="CY44" s="228">
        <v>0</v>
      </c>
      <c r="CZ44" s="229">
        <v>-0.39119999999999999</v>
      </c>
      <c r="DA44" s="228">
        <v>41.49</v>
      </c>
      <c r="DB44" s="228">
        <v>41.49</v>
      </c>
      <c r="DC44" s="228">
        <v>0</v>
      </c>
      <c r="DD44" s="228">
        <v>0</v>
      </c>
      <c r="DE44" s="228">
        <v>41.49</v>
      </c>
      <c r="DF44" s="228">
        <v>41.49</v>
      </c>
      <c r="DG44" s="228">
        <v>0</v>
      </c>
      <c r="DH44" s="228">
        <v>0</v>
      </c>
      <c r="DI44" s="228">
        <v>41.49</v>
      </c>
      <c r="DJ44" s="228">
        <v>41.49</v>
      </c>
      <c r="DK44" s="228">
        <v>0</v>
      </c>
      <c r="DL44" s="228">
        <v>0</v>
      </c>
      <c r="DM44" s="228">
        <v>41.49</v>
      </c>
      <c r="DN44" s="228">
        <v>41.49</v>
      </c>
      <c r="DO44" s="228">
        <v>0</v>
      </c>
      <c r="DP44" s="228">
        <v>0</v>
      </c>
      <c r="DQ44" s="228">
        <v>0.44</v>
      </c>
      <c r="DR44" s="228">
        <v>0.47</v>
      </c>
      <c r="DS44" s="228">
        <v>-0.03</v>
      </c>
      <c r="DT44" s="229">
        <v>-6.3799999999999996E-2</v>
      </c>
      <c r="DU44" s="228">
        <v>450</v>
      </c>
      <c r="DV44" s="228">
        <v>440</v>
      </c>
      <c r="DW44" s="228">
        <v>1.02</v>
      </c>
      <c r="DX44" s="228">
        <v>0.36</v>
      </c>
      <c r="DY44" s="228">
        <v>0.66</v>
      </c>
      <c r="DZ44" s="229">
        <v>1.8332999999999999</v>
      </c>
      <c r="EA44" s="229">
        <v>0</v>
      </c>
      <c r="EB44" s="228">
        <v>0</v>
      </c>
      <c r="EC44" s="229">
        <v>0</v>
      </c>
      <c r="ED44" s="229">
        <v>0</v>
      </c>
      <c r="EE44" s="228">
        <v>0</v>
      </c>
      <c r="EF44" s="229">
        <v>0</v>
      </c>
      <c r="EG44" s="230">
        <v>2627025</v>
      </c>
      <c r="EH44" s="230">
        <v>834588</v>
      </c>
      <c r="EI44" s="229">
        <v>2.1476999999999999</v>
      </c>
      <c r="EJ44" s="229">
        <v>0.56200000000000006</v>
      </c>
      <c r="EK44" s="228">
        <v>144.75</v>
      </c>
      <c r="EL44" s="228">
        <v>140.78</v>
      </c>
      <c r="EM44" s="228">
        <v>151.83000000000001</v>
      </c>
      <c r="EN44" s="228">
        <v>0</v>
      </c>
      <c r="EO44" s="228">
        <v>437.36</v>
      </c>
      <c r="EP44" s="228">
        <v>737.18</v>
      </c>
      <c r="EQ44" s="228">
        <v>-299.82</v>
      </c>
      <c r="ER44" s="229">
        <v>-0.40670000000000001</v>
      </c>
      <c r="ES44" s="228">
        <v>0</v>
      </c>
      <c r="ET44" s="228">
        <v>0</v>
      </c>
      <c r="EU44" s="228">
        <v>0</v>
      </c>
      <c r="EV44" s="231">
        <v>32988281</v>
      </c>
      <c r="EW44" s="228">
        <v>0</v>
      </c>
      <c r="EX44" s="228">
        <v>534.08000000000004</v>
      </c>
      <c r="EY44" s="228">
        <v>-534.08000000000004</v>
      </c>
      <c r="EZ44" s="229">
        <v>-1</v>
      </c>
      <c r="FA44" s="229">
        <v>0.23019999999999999</v>
      </c>
      <c r="FB44" s="227" t="s">
        <v>237</v>
      </c>
      <c r="FC44">
        <f t="shared" si="0"/>
        <v>0</v>
      </c>
    </row>
    <row r="45" spans="1:159" ht="17.25" thickBot="1" x14ac:dyDescent="0.3">
      <c r="A45" s="226">
        <v>45869</v>
      </c>
      <c r="B45" s="227" t="s">
        <v>175</v>
      </c>
      <c r="C45" s="227" t="s">
        <v>612</v>
      </c>
      <c r="D45" s="228">
        <v>150</v>
      </c>
      <c r="E45" s="228">
        <v>0</v>
      </c>
      <c r="F45" s="231">
        <v>3748.1</v>
      </c>
      <c r="G45" s="231">
        <v>3892.5</v>
      </c>
      <c r="H45" s="228">
        <v>-144.4</v>
      </c>
      <c r="I45" s="229">
        <v>-3.7100000000000001E-2</v>
      </c>
      <c r="J45" s="231">
        <v>3736.8</v>
      </c>
      <c r="K45" s="231">
        <v>3890.2</v>
      </c>
      <c r="L45" s="228">
        <v>-153.4</v>
      </c>
      <c r="M45" s="229">
        <v>-3.9399999999999998E-2</v>
      </c>
      <c r="N45" s="231">
        <v>3741.8</v>
      </c>
      <c r="O45" s="231">
        <v>3889.7</v>
      </c>
      <c r="P45" s="228">
        <v>-147.9</v>
      </c>
      <c r="Q45" s="229">
        <v>-3.7999999999999999E-2</v>
      </c>
      <c r="R45" s="231">
        <v>3748.1</v>
      </c>
      <c r="S45" s="231">
        <v>3892.5</v>
      </c>
      <c r="T45" s="228">
        <v>-144.4</v>
      </c>
      <c r="U45" s="229">
        <v>-3.7100000000000001E-2</v>
      </c>
      <c r="V45" s="231">
        <v>3765</v>
      </c>
      <c r="W45" s="231">
        <v>3904.2</v>
      </c>
      <c r="X45" s="228">
        <v>-139.19999999999999</v>
      </c>
      <c r="Y45" s="229">
        <v>-3.5700000000000003E-2</v>
      </c>
      <c r="Z45" s="228">
        <v>11.3</v>
      </c>
      <c r="AA45" s="228">
        <v>-0.5</v>
      </c>
      <c r="AB45" s="228">
        <v>11.8</v>
      </c>
      <c r="AC45" s="229">
        <v>3.0000000000000001E-3</v>
      </c>
      <c r="AD45" s="228">
        <v>5</v>
      </c>
      <c r="AE45" s="228">
        <v>-0.5</v>
      </c>
      <c r="AF45" s="228">
        <v>5.5</v>
      </c>
      <c r="AG45" s="229">
        <v>1.2999999999999999E-3</v>
      </c>
      <c r="AH45" s="228">
        <v>11.3</v>
      </c>
      <c r="AI45" s="228">
        <v>2.2999999999999998</v>
      </c>
      <c r="AJ45" s="228">
        <v>9</v>
      </c>
      <c r="AK45" s="229">
        <v>3.0000000000000001E-3</v>
      </c>
      <c r="AL45" s="228">
        <v>28.2</v>
      </c>
      <c r="AM45" s="228">
        <v>14</v>
      </c>
      <c r="AN45" s="228">
        <v>14.2</v>
      </c>
      <c r="AO45" s="229">
        <v>7.4999999999999997E-3</v>
      </c>
      <c r="AP45" s="231">
        <v>3754.85</v>
      </c>
      <c r="AQ45" s="231">
        <v>3761.23</v>
      </c>
      <c r="AR45" s="228">
        <v>0</v>
      </c>
      <c r="AS45" s="230">
        <v>1073</v>
      </c>
      <c r="AT45" s="228">
        <v>380</v>
      </c>
      <c r="AU45" s="228">
        <v>692</v>
      </c>
      <c r="AV45" s="229">
        <v>1.8204</v>
      </c>
      <c r="AW45" s="228">
        <v>449</v>
      </c>
      <c r="AX45" s="228">
        <v>175</v>
      </c>
      <c r="AY45" s="228">
        <v>275</v>
      </c>
      <c r="AZ45" s="229">
        <v>1.5729</v>
      </c>
      <c r="BA45" s="228">
        <v>611</v>
      </c>
      <c r="BB45" s="228">
        <v>201</v>
      </c>
      <c r="BC45" s="228">
        <v>410</v>
      </c>
      <c r="BD45" s="229">
        <v>2.0413999999999999</v>
      </c>
      <c r="BE45" s="228">
        <v>13</v>
      </c>
      <c r="BF45" s="228">
        <v>5</v>
      </c>
      <c r="BG45" s="228">
        <v>8</v>
      </c>
      <c r="BH45" s="229">
        <v>1.5794999999999999</v>
      </c>
      <c r="BI45" s="230">
        <v>1132</v>
      </c>
      <c r="BJ45" s="228">
        <v>643</v>
      </c>
      <c r="BK45" s="228">
        <v>489</v>
      </c>
      <c r="BL45" s="229">
        <v>0.7611</v>
      </c>
      <c r="BM45" s="228">
        <v>920</v>
      </c>
      <c r="BN45" s="228">
        <v>333</v>
      </c>
      <c r="BO45" s="228">
        <v>587</v>
      </c>
      <c r="BP45" s="229">
        <v>1.7597</v>
      </c>
      <c r="BQ45" s="230">
        <v>3124</v>
      </c>
      <c r="BR45" s="230">
        <v>1356</v>
      </c>
      <c r="BS45" s="230">
        <v>1768</v>
      </c>
      <c r="BT45" s="229">
        <v>1.3035000000000001</v>
      </c>
      <c r="BU45" s="230">
        <v>1085831</v>
      </c>
      <c r="BV45" s="230">
        <v>295391</v>
      </c>
      <c r="BW45" s="230">
        <v>790440</v>
      </c>
      <c r="BX45" s="229">
        <v>2.6758999999999999</v>
      </c>
      <c r="BY45" s="228">
        <v>801</v>
      </c>
      <c r="BZ45" s="228">
        <v>934</v>
      </c>
      <c r="CA45" s="228">
        <v>-133</v>
      </c>
      <c r="CB45" s="229">
        <v>-0.14249999999999999</v>
      </c>
      <c r="CC45" s="228">
        <v>190</v>
      </c>
      <c r="CD45" s="228">
        <v>407</v>
      </c>
      <c r="CE45" s="228">
        <v>-217</v>
      </c>
      <c r="CF45" s="229">
        <v>-0.53259999999999996</v>
      </c>
      <c r="CG45" s="228">
        <v>781</v>
      </c>
      <c r="CH45" s="228">
        <v>512</v>
      </c>
      <c r="CI45" s="228">
        <v>269</v>
      </c>
      <c r="CJ45" s="229">
        <v>0.52439999999999998</v>
      </c>
      <c r="CK45" s="228">
        <v>21</v>
      </c>
      <c r="CL45" s="228">
        <v>16</v>
      </c>
      <c r="CM45" s="228">
        <v>5</v>
      </c>
      <c r="CN45" s="229">
        <v>0.31180000000000002</v>
      </c>
      <c r="CO45" s="228">
        <v>250</v>
      </c>
      <c r="CP45" s="228">
        <v>512</v>
      </c>
      <c r="CQ45" s="228">
        <v>-262</v>
      </c>
      <c r="CR45" s="229">
        <v>-0.51149999999999995</v>
      </c>
      <c r="CS45" s="228">
        <v>166</v>
      </c>
      <c r="CT45" s="228">
        <v>370</v>
      </c>
      <c r="CU45" s="228">
        <v>-204</v>
      </c>
      <c r="CV45" s="229">
        <v>-0.55159999999999998</v>
      </c>
      <c r="CW45" s="230">
        <v>1217</v>
      </c>
      <c r="CX45" s="230">
        <v>1816</v>
      </c>
      <c r="CY45" s="228">
        <v>-599</v>
      </c>
      <c r="CZ45" s="229">
        <v>-0.32990000000000003</v>
      </c>
      <c r="DA45" s="228">
        <v>32.43</v>
      </c>
      <c r="DB45" s="228">
        <v>34.81</v>
      </c>
      <c r="DC45" s="228">
        <v>-2.38</v>
      </c>
      <c r="DD45" s="228">
        <v>-2.38</v>
      </c>
      <c r="DE45" s="228">
        <v>45.89</v>
      </c>
      <c r="DF45" s="228">
        <v>45.68</v>
      </c>
      <c r="DG45" s="228">
        <v>-13.46</v>
      </c>
      <c r="DH45" s="228">
        <v>0.21</v>
      </c>
      <c r="DI45" s="228">
        <v>32.630000000000003</v>
      </c>
      <c r="DJ45" s="228">
        <v>34.89</v>
      </c>
      <c r="DK45" s="228">
        <v>-2.2599999999999998</v>
      </c>
      <c r="DL45" s="228">
        <v>-2.2599999999999998</v>
      </c>
      <c r="DM45" s="228">
        <v>32.18</v>
      </c>
      <c r="DN45" s="228">
        <v>34.68</v>
      </c>
      <c r="DO45" s="228">
        <v>-2.5</v>
      </c>
      <c r="DP45" s="228">
        <v>-2.5</v>
      </c>
      <c r="DQ45" s="228">
        <v>0.66</v>
      </c>
      <c r="DR45" s="228">
        <v>0.72</v>
      </c>
      <c r="DS45" s="228">
        <v>-0.06</v>
      </c>
      <c r="DT45" s="229">
        <v>-8.3299999999999999E-2</v>
      </c>
      <c r="DU45" s="231">
        <v>4000</v>
      </c>
      <c r="DV45" s="231">
        <v>3800</v>
      </c>
      <c r="DW45" s="228">
        <v>0.81</v>
      </c>
      <c r="DX45" s="228">
        <v>0.52</v>
      </c>
      <c r="DY45" s="228">
        <v>0.28999999999999998</v>
      </c>
      <c r="DZ45" s="229">
        <v>0.55769999999999997</v>
      </c>
      <c r="EA45" s="229">
        <v>0.80830000000000002</v>
      </c>
      <c r="EB45" s="230">
        <v>1408050</v>
      </c>
      <c r="EC45" s="229">
        <v>1.6999999999999999E-3</v>
      </c>
      <c r="ED45" s="229">
        <v>0.80830000000000002</v>
      </c>
      <c r="EE45" s="228">
        <v>6.38</v>
      </c>
      <c r="EF45" s="229">
        <v>1.6999999999999999E-3</v>
      </c>
      <c r="EG45" s="230">
        <v>441339</v>
      </c>
      <c r="EH45" s="230">
        <v>159223</v>
      </c>
      <c r="EI45" s="229">
        <v>1.7718</v>
      </c>
      <c r="EJ45" s="229">
        <v>0.40649999999999997</v>
      </c>
      <c r="EK45" s="231">
        <v>1229.5999999999999</v>
      </c>
      <c r="EL45" s="228">
        <v>931.83</v>
      </c>
      <c r="EM45" s="231">
        <v>1075.56</v>
      </c>
      <c r="EN45" s="228">
        <v>0</v>
      </c>
      <c r="EO45" s="231">
        <v>3237</v>
      </c>
      <c r="EP45" s="231">
        <v>1458.68</v>
      </c>
      <c r="EQ45" s="231">
        <v>1778.32</v>
      </c>
      <c r="ER45" s="229">
        <v>1.2191000000000001</v>
      </c>
      <c r="ES45" s="228">
        <v>271.5</v>
      </c>
      <c r="ET45" s="228">
        <v>171.07</v>
      </c>
      <c r="EU45" s="228">
        <v>801.25</v>
      </c>
      <c r="EV45" s="231">
        <v>9885969</v>
      </c>
      <c r="EW45" s="231">
        <v>1243.82</v>
      </c>
      <c r="EX45" s="231">
        <v>1944.42</v>
      </c>
      <c r="EY45" s="228">
        <v>-700.6</v>
      </c>
      <c r="EZ45" s="229">
        <v>-0.36030000000000001</v>
      </c>
      <c r="FA45" s="229">
        <v>0.32850000000000001</v>
      </c>
      <c r="FB45" s="227" t="s">
        <v>568</v>
      </c>
      <c r="FC45">
        <f t="shared" si="0"/>
        <v>611</v>
      </c>
    </row>
    <row r="46" spans="1:159" ht="17.25" thickBot="1" x14ac:dyDescent="0.3">
      <c r="A46" s="226">
        <v>45869</v>
      </c>
      <c r="B46" s="227" t="s">
        <v>172</v>
      </c>
      <c r="C46" s="227" t="s">
        <v>196</v>
      </c>
      <c r="D46" s="228">
        <v>6750</v>
      </c>
      <c r="E46" s="228">
        <v>0</v>
      </c>
      <c r="F46" s="228">
        <v>107.84</v>
      </c>
      <c r="G46" s="228">
        <v>108.82</v>
      </c>
      <c r="H46" s="228">
        <v>-0.98</v>
      </c>
      <c r="I46" s="229">
        <v>-8.9999999999999993E-3</v>
      </c>
      <c r="J46" s="228">
        <v>107.25</v>
      </c>
      <c r="K46" s="228">
        <v>108.2</v>
      </c>
      <c r="L46" s="228">
        <v>-0.95</v>
      </c>
      <c r="M46" s="229">
        <v>-8.8000000000000005E-3</v>
      </c>
      <c r="N46" s="228">
        <v>107.18</v>
      </c>
      <c r="O46" s="228">
        <v>108.23</v>
      </c>
      <c r="P46" s="228">
        <v>-1.05</v>
      </c>
      <c r="Q46" s="229">
        <v>-9.7000000000000003E-3</v>
      </c>
      <c r="R46" s="228">
        <v>107.84</v>
      </c>
      <c r="S46" s="228">
        <v>108.82</v>
      </c>
      <c r="T46" s="228">
        <v>-0.98</v>
      </c>
      <c r="U46" s="229">
        <v>-8.9999999999999993E-3</v>
      </c>
      <c r="V46" s="228">
        <v>108.41</v>
      </c>
      <c r="W46" s="228">
        <v>109.45</v>
      </c>
      <c r="X46" s="228">
        <v>-1.04</v>
      </c>
      <c r="Y46" s="229">
        <v>-9.4999999999999998E-3</v>
      </c>
      <c r="Z46" s="228">
        <v>0.59</v>
      </c>
      <c r="AA46" s="228">
        <v>0.03</v>
      </c>
      <c r="AB46" s="228">
        <v>0.56000000000000005</v>
      </c>
      <c r="AC46" s="229">
        <v>5.4999999999999997E-3</v>
      </c>
      <c r="AD46" s="228">
        <v>-7.0000000000000007E-2</v>
      </c>
      <c r="AE46" s="228">
        <v>0.03</v>
      </c>
      <c r="AF46" s="228">
        <v>-0.1</v>
      </c>
      <c r="AG46" s="229">
        <v>-6.9999999999999999E-4</v>
      </c>
      <c r="AH46" s="228">
        <v>0.59</v>
      </c>
      <c r="AI46" s="228">
        <v>0.62</v>
      </c>
      <c r="AJ46" s="228">
        <v>-0.03</v>
      </c>
      <c r="AK46" s="229">
        <v>5.4999999999999997E-3</v>
      </c>
      <c r="AL46" s="228">
        <v>1.1599999999999999</v>
      </c>
      <c r="AM46" s="228">
        <v>1.25</v>
      </c>
      <c r="AN46" s="228">
        <v>-0.09</v>
      </c>
      <c r="AO46" s="229">
        <v>1.0800000000000001E-2</v>
      </c>
      <c r="AP46" s="228">
        <v>107.34</v>
      </c>
      <c r="AQ46" s="228">
        <v>107.95</v>
      </c>
      <c r="AR46" s="228">
        <v>0</v>
      </c>
      <c r="AS46" s="230">
        <v>1622</v>
      </c>
      <c r="AT46" s="230">
        <v>1160</v>
      </c>
      <c r="AU46" s="228">
        <v>462</v>
      </c>
      <c r="AV46" s="229">
        <v>0.3982</v>
      </c>
      <c r="AW46" s="228">
        <v>605</v>
      </c>
      <c r="AX46" s="228">
        <v>530</v>
      </c>
      <c r="AY46" s="228">
        <v>75</v>
      </c>
      <c r="AZ46" s="229">
        <v>0.14130000000000001</v>
      </c>
      <c r="BA46" s="228">
        <v>983</v>
      </c>
      <c r="BB46" s="228">
        <v>615</v>
      </c>
      <c r="BC46" s="228">
        <v>369</v>
      </c>
      <c r="BD46" s="229">
        <v>0.6</v>
      </c>
      <c r="BE46" s="228">
        <v>33</v>
      </c>
      <c r="BF46" s="228">
        <v>15</v>
      </c>
      <c r="BG46" s="228">
        <v>18</v>
      </c>
      <c r="BH46" s="229">
        <v>1.2195</v>
      </c>
      <c r="BI46" s="230">
        <v>1237</v>
      </c>
      <c r="BJ46" s="230">
        <v>1246</v>
      </c>
      <c r="BK46" s="228">
        <v>-10</v>
      </c>
      <c r="BL46" s="229">
        <v>-7.7000000000000002E-3</v>
      </c>
      <c r="BM46" s="228">
        <v>843</v>
      </c>
      <c r="BN46" s="228">
        <v>510</v>
      </c>
      <c r="BO46" s="228">
        <v>333</v>
      </c>
      <c r="BP46" s="229">
        <v>0.65169999999999995</v>
      </c>
      <c r="BQ46" s="230">
        <v>3701</v>
      </c>
      <c r="BR46" s="230">
        <v>2916</v>
      </c>
      <c r="BS46" s="228">
        <v>785</v>
      </c>
      <c r="BT46" s="229">
        <v>0.26910000000000001</v>
      </c>
      <c r="BU46" s="230">
        <v>49057983</v>
      </c>
      <c r="BV46" s="230">
        <v>24038065</v>
      </c>
      <c r="BW46" s="230">
        <v>25019918</v>
      </c>
      <c r="BX46" s="229">
        <v>1.0407999999999999</v>
      </c>
      <c r="BY46" s="230">
        <v>2429</v>
      </c>
      <c r="BZ46" s="230">
        <v>2401</v>
      </c>
      <c r="CA46" s="228">
        <v>28</v>
      </c>
      <c r="CB46" s="229">
        <v>1.18E-2</v>
      </c>
      <c r="CC46" s="228">
        <v>362</v>
      </c>
      <c r="CD46" s="228">
        <v>434</v>
      </c>
      <c r="CE46" s="228">
        <v>-71</v>
      </c>
      <c r="CF46" s="229">
        <v>-0.1648</v>
      </c>
      <c r="CG46" s="230">
        <v>2374</v>
      </c>
      <c r="CH46" s="230">
        <v>1925</v>
      </c>
      <c r="CI46" s="228">
        <v>449</v>
      </c>
      <c r="CJ46" s="229">
        <v>0.23350000000000001</v>
      </c>
      <c r="CK46" s="228">
        <v>55</v>
      </c>
      <c r="CL46" s="228">
        <v>42</v>
      </c>
      <c r="CM46" s="228">
        <v>13</v>
      </c>
      <c r="CN46" s="229">
        <v>0.3</v>
      </c>
      <c r="CO46" s="228">
        <v>776</v>
      </c>
      <c r="CP46" s="230">
        <v>1665</v>
      </c>
      <c r="CQ46" s="228">
        <v>-890</v>
      </c>
      <c r="CR46" s="229">
        <v>-0.53420000000000001</v>
      </c>
      <c r="CS46" s="228">
        <v>589</v>
      </c>
      <c r="CT46" s="230">
        <v>1082</v>
      </c>
      <c r="CU46" s="228">
        <v>-494</v>
      </c>
      <c r="CV46" s="229">
        <v>-0.45600000000000002</v>
      </c>
      <c r="CW46" s="230">
        <v>3793</v>
      </c>
      <c r="CX46" s="230">
        <v>5148</v>
      </c>
      <c r="CY46" s="230">
        <v>-1355</v>
      </c>
      <c r="CZ46" s="229">
        <v>-0.26319999999999999</v>
      </c>
      <c r="DA46" s="228">
        <v>28.63</v>
      </c>
      <c r="DB46" s="228">
        <v>29.26</v>
      </c>
      <c r="DC46" s="228">
        <v>-0.63</v>
      </c>
      <c r="DD46" s="228">
        <v>-0.63</v>
      </c>
      <c r="DE46" s="228">
        <v>39.840000000000003</v>
      </c>
      <c r="DF46" s="228">
        <v>39.92</v>
      </c>
      <c r="DG46" s="228">
        <v>-11.21</v>
      </c>
      <c r="DH46" s="228">
        <v>-0.08</v>
      </c>
      <c r="DI46" s="228">
        <v>28.89</v>
      </c>
      <c r="DJ46" s="228">
        <v>29.63</v>
      </c>
      <c r="DK46" s="228">
        <v>-0.74</v>
      </c>
      <c r="DL46" s="228">
        <v>-0.74</v>
      </c>
      <c r="DM46" s="228">
        <v>28.26</v>
      </c>
      <c r="DN46" s="228">
        <v>28.54</v>
      </c>
      <c r="DO46" s="228">
        <v>-0.28000000000000003</v>
      </c>
      <c r="DP46" s="228">
        <v>-0.28000000000000003</v>
      </c>
      <c r="DQ46" s="228">
        <v>0.76</v>
      </c>
      <c r="DR46" s="228">
        <v>0.65</v>
      </c>
      <c r="DS46" s="228">
        <v>0.11</v>
      </c>
      <c r="DT46" s="229">
        <v>0.16919999999999999</v>
      </c>
      <c r="DU46" s="228">
        <v>120</v>
      </c>
      <c r="DV46" s="228">
        <v>110</v>
      </c>
      <c r="DW46" s="228">
        <v>0.68</v>
      </c>
      <c r="DX46" s="228">
        <v>0.41</v>
      </c>
      <c r="DY46" s="228">
        <v>0.27</v>
      </c>
      <c r="DZ46" s="229">
        <v>0.65849999999999997</v>
      </c>
      <c r="EA46" s="229">
        <v>0.87019999999999997</v>
      </c>
      <c r="EB46" s="230">
        <v>182391750</v>
      </c>
      <c r="EC46" s="229">
        <v>6.1999999999999998E-3</v>
      </c>
      <c r="ED46" s="229">
        <v>0.87019999999999997</v>
      </c>
      <c r="EE46" s="228">
        <v>0.61</v>
      </c>
      <c r="EF46" s="229">
        <v>5.7000000000000002E-3</v>
      </c>
      <c r="EG46" s="230">
        <v>28401788</v>
      </c>
      <c r="EH46" s="230">
        <v>12568500</v>
      </c>
      <c r="EI46" s="229">
        <v>1.2598</v>
      </c>
      <c r="EJ46" s="229">
        <v>0.57889999999999997</v>
      </c>
      <c r="EK46" s="231">
        <v>1297.6099999999999</v>
      </c>
      <c r="EL46" s="228">
        <v>861.38</v>
      </c>
      <c r="EM46" s="231">
        <v>1620.17</v>
      </c>
      <c r="EN46" s="228">
        <v>0</v>
      </c>
      <c r="EO46" s="231">
        <v>3779.16</v>
      </c>
      <c r="EP46" s="231">
        <v>3014.31</v>
      </c>
      <c r="EQ46" s="228">
        <v>764.85</v>
      </c>
      <c r="ER46" s="229">
        <v>0.25369999999999998</v>
      </c>
      <c r="ES46" s="228">
        <v>823.32</v>
      </c>
      <c r="ET46" s="228">
        <v>592.41</v>
      </c>
      <c r="EU46" s="231">
        <v>2429.36</v>
      </c>
      <c r="EV46" s="231">
        <v>672420574</v>
      </c>
      <c r="EW46" s="231">
        <v>3845.08</v>
      </c>
      <c r="EX46" s="231">
        <v>5293.26</v>
      </c>
      <c r="EY46" s="231">
        <v>-1448.18</v>
      </c>
      <c r="EZ46" s="229">
        <v>-0.27360000000000001</v>
      </c>
      <c r="FA46" s="229">
        <v>0.52310000000000001</v>
      </c>
      <c r="FB46" s="227" t="s">
        <v>567</v>
      </c>
      <c r="FC46">
        <f t="shared" si="0"/>
        <v>2067</v>
      </c>
    </row>
    <row r="47" spans="1:159" ht="17.25" thickBot="1" x14ac:dyDescent="0.3">
      <c r="A47" s="226">
        <v>45869</v>
      </c>
      <c r="B47" s="227" t="s">
        <v>175</v>
      </c>
      <c r="C47" s="227" t="s">
        <v>598</v>
      </c>
      <c r="D47" s="228">
        <v>475</v>
      </c>
      <c r="E47" s="228">
        <v>0</v>
      </c>
      <c r="F47" s="231">
        <v>1476</v>
      </c>
      <c r="G47" s="231">
        <v>1502.3</v>
      </c>
      <c r="H47" s="228">
        <v>-26.3</v>
      </c>
      <c r="I47" s="229">
        <v>-1.7500000000000002E-2</v>
      </c>
      <c r="J47" s="231">
        <v>1480.8</v>
      </c>
      <c r="K47" s="231">
        <v>1512.8</v>
      </c>
      <c r="L47" s="228">
        <v>-32</v>
      </c>
      <c r="M47" s="229">
        <v>-2.12E-2</v>
      </c>
      <c r="N47" s="231">
        <v>1481</v>
      </c>
      <c r="O47" s="231">
        <v>1516.7</v>
      </c>
      <c r="P47" s="228">
        <v>-35.700000000000003</v>
      </c>
      <c r="Q47" s="229">
        <v>-2.35E-2</v>
      </c>
      <c r="R47" s="231">
        <v>1476</v>
      </c>
      <c r="S47" s="231">
        <v>1502.3</v>
      </c>
      <c r="T47" s="228">
        <v>-26.3</v>
      </c>
      <c r="U47" s="229">
        <v>-1.7500000000000002E-2</v>
      </c>
      <c r="V47" s="231">
        <v>1478.9</v>
      </c>
      <c r="W47" s="231">
        <v>1505</v>
      </c>
      <c r="X47" s="228">
        <v>-26.1</v>
      </c>
      <c r="Y47" s="229">
        <v>-1.7299999999999999E-2</v>
      </c>
      <c r="Z47" s="228">
        <v>-4.8</v>
      </c>
      <c r="AA47" s="228">
        <v>3.9</v>
      </c>
      <c r="AB47" s="228">
        <v>-8.6999999999999993</v>
      </c>
      <c r="AC47" s="229">
        <v>-3.2000000000000002E-3</v>
      </c>
      <c r="AD47" s="228">
        <v>0.2</v>
      </c>
      <c r="AE47" s="228">
        <v>3.9</v>
      </c>
      <c r="AF47" s="228">
        <v>-3.7</v>
      </c>
      <c r="AG47" s="229">
        <v>1E-4</v>
      </c>
      <c r="AH47" s="228">
        <v>-4.8</v>
      </c>
      <c r="AI47" s="228">
        <v>-10.5</v>
      </c>
      <c r="AJ47" s="228">
        <v>5.7</v>
      </c>
      <c r="AK47" s="229">
        <v>-3.2000000000000002E-3</v>
      </c>
      <c r="AL47" s="228">
        <v>-1.9</v>
      </c>
      <c r="AM47" s="228">
        <v>-7.8</v>
      </c>
      <c r="AN47" s="228">
        <v>5.9</v>
      </c>
      <c r="AO47" s="229">
        <v>-1.2999999999999999E-3</v>
      </c>
      <c r="AP47" s="231">
        <v>1494.18</v>
      </c>
      <c r="AQ47" s="231">
        <v>1485.22</v>
      </c>
      <c r="AR47" s="228">
        <v>0</v>
      </c>
      <c r="AS47" s="230">
        <v>1127</v>
      </c>
      <c r="AT47" s="230">
        <v>1035</v>
      </c>
      <c r="AU47" s="228">
        <v>92</v>
      </c>
      <c r="AV47" s="229">
        <v>8.9099999999999999E-2</v>
      </c>
      <c r="AW47" s="228">
        <v>483</v>
      </c>
      <c r="AX47" s="228">
        <v>466</v>
      </c>
      <c r="AY47" s="228">
        <v>17</v>
      </c>
      <c r="AZ47" s="229">
        <v>3.5499999999999997E-2</v>
      </c>
      <c r="BA47" s="228">
        <v>619</v>
      </c>
      <c r="BB47" s="228">
        <v>546</v>
      </c>
      <c r="BC47" s="228">
        <v>73</v>
      </c>
      <c r="BD47" s="229">
        <v>0.1341</v>
      </c>
      <c r="BE47" s="228">
        <v>25</v>
      </c>
      <c r="BF47" s="228">
        <v>23</v>
      </c>
      <c r="BG47" s="228">
        <v>2</v>
      </c>
      <c r="BH47" s="229">
        <v>0.108</v>
      </c>
      <c r="BI47" s="230">
        <v>1086</v>
      </c>
      <c r="BJ47" s="230">
        <v>1530</v>
      </c>
      <c r="BK47" s="228">
        <v>-444</v>
      </c>
      <c r="BL47" s="229">
        <v>-0.29039999999999999</v>
      </c>
      <c r="BM47" s="228">
        <v>744</v>
      </c>
      <c r="BN47" s="228">
        <v>961</v>
      </c>
      <c r="BO47" s="228">
        <v>-218</v>
      </c>
      <c r="BP47" s="229">
        <v>-0.2263</v>
      </c>
      <c r="BQ47" s="230">
        <v>2956</v>
      </c>
      <c r="BR47" s="230">
        <v>3526</v>
      </c>
      <c r="BS47" s="228">
        <v>-570</v>
      </c>
      <c r="BT47" s="229">
        <v>-0.16159999999999999</v>
      </c>
      <c r="BU47" s="230">
        <v>2862587</v>
      </c>
      <c r="BV47" s="230">
        <v>2574925</v>
      </c>
      <c r="BW47" s="230">
        <v>287662</v>
      </c>
      <c r="BX47" s="229">
        <v>0.11169999999999999</v>
      </c>
      <c r="BY47" s="230">
        <v>1377</v>
      </c>
      <c r="BZ47" s="230">
        <v>1610</v>
      </c>
      <c r="CA47" s="228">
        <v>-233</v>
      </c>
      <c r="CB47" s="229">
        <v>-0.1449</v>
      </c>
      <c r="CC47" s="228">
        <v>131</v>
      </c>
      <c r="CD47" s="228">
        <v>362</v>
      </c>
      <c r="CE47" s="228">
        <v>-230</v>
      </c>
      <c r="CF47" s="229">
        <v>-0.63739999999999997</v>
      </c>
      <c r="CG47" s="230">
        <v>1295</v>
      </c>
      <c r="CH47" s="230">
        <v>1179</v>
      </c>
      <c r="CI47" s="228">
        <v>116</v>
      </c>
      <c r="CJ47" s="229">
        <v>9.8199999999999996E-2</v>
      </c>
      <c r="CK47" s="228">
        <v>82</v>
      </c>
      <c r="CL47" s="228">
        <v>69</v>
      </c>
      <c r="CM47" s="228">
        <v>12</v>
      </c>
      <c r="CN47" s="229">
        <v>0.18029999999999999</v>
      </c>
      <c r="CO47" s="228">
        <v>691</v>
      </c>
      <c r="CP47" s="230">
        <v>1357</v>
      </c>
      <c r="CQ47" s="228">
        <v>-666</v>
      </c>
      <c r="CR47" s="229">
        <v>-0.4909</v>
      </c>
      <c r="CS47" s="228">
        <v>484</v>
      </c>
      <c r="CT47" s="228">
        <v>767</v>
      </c>
      <c r="CU47" s="228">
        <v>-283</v>
      </c>
      <c r="CV47" s="229">
        <v>-0.36859999999999998</v>
      </c>
      <c r="CW47" s="230">
        <v>2552</v>
      </c>
      <c r="CX47" s="230">
        <v>3734</v>
      </c>
      <c r="CY47" s="230">
        <v>-1182</v>
      </c>
      <c r="CZ47" s="229">
        <v>-0.31659999999999999</v>
      </c>
      <c r="DA47" s="228">
        <v>34.049999999999997</v>
      </c>
      <c r="DB47" s="228">
        <v>34.43</v>
      </c>
      <c r="DC47" s="228">
        <v>-0.38</v>
      </c>
      <c r="DD47" s="228">
        <v>-0.38</v>
      </c>
      <c r="DE47" s="228">
        <v>51.37</v>
      </c>
      <c r="DF47" s="228">
        <v>51.44</v>
      </c>
      <c r="DG47" s="228">
        <v>-17.32</v>
      </c>
      <c r="DH47" s="228">
        <v>-7.0000000000000007E-2</v>
      </c>
      <c r="DI47" s="228">
        <v>34.549999999999997</v>
      </c>
      <c r="DJ47" s="228">
        <v>34.82</v>
      </c>
      <c r="DK47" s="228">
        <v>-0.27</v>
      </c>
      <c r="DL47" s="228">
        <v>-0.27</v>
      </c>
      <c r="DM47" s="228">
        <v>33.32</v>
      </c>
      <c r="DN47" s="228">
        <v>33.76</v>
      </c>
      <c r="DO47" s="228">
        <v>-0.44</v>
      </c>
      <c r="DP47" s="228">
        <v>-0.44</v>
      </c>
      <c r="DQ47" s="228">
        <v>0.7</v>
      </c>
      <c r="DR47" s="228">
        <v>0.56999999999999995</v>
      </c>
      <c r="DS47" s="228">
        <v>0.13</v>
      </c>
      <c r="DT47" s="229">
        <v>0.2281</v>
      </c>
      <c r="DU47" s="231">
        <v>1800</v>
      </c>
      <c r="DV47" s="231">
        <v>1600</v>
      </c>
      <c r="DW47" s="228">
        <v>0.68</v>
      </c>
      <c r="DX47" s="228">
        <v>0.63</v>
      </c>
      <c r="DY47" s="228">
        <v>0.05</v>
      </c>
      <c r="DZ47" s="229">
        <v>7.9399999999999998E-2</v>
      </c>
      <c r="EA47" s="229">
        <v>0.91310000000000002</v>
      </c>
      <c r="EB47" s="230">
        <v>8458325</v>
      </c>
      <c r="EC47" s="229">
        <v>-3.3999999999999998E-3</v>
      </c>
      <c r="ED47" s="229">
        <v>0.91310000000000002</v>
      </c>
      <c r="EE47" s="228">
        <v>-8.9600000000000009</v>
      </c>
      <c r="EF47" s="229">
        <v>-6.0000000000000001E-3</v>
      </c>
      <c r="EG47" s="230">
        <v>952065</v>
      </c>
      <c r="EH47" s="230">
        <v>815410</v>
      </c>
      <c r="EI47" s="229">
        <v>0.1676</v>
      </c>
      <c r="EJ47" s="229">
        <v>0.33260000000000001</v>
      </c>
      <c r="EK47" s="231">
        <v>1205.3599999999999</v>
      </c>
      <c r="EL47" s="228">
        <v>781.39</v>
      </c>
      <c r="EM47" s="231">
        <v>1136.96</v>
      </c>
      <c r="EN47" s="228">
        <v>0</v>
      </c>
      <c r="EO47" s="231">
        <v>3123.7</v>
      </c>
      <c r="EP47" s="231">
        <v>3775.42</v>
      </c>
      <c r="EQ47" s="228">
        <v>-651.72</v>
      </c>
      <c r="ER47" s="229">
        <v>-0.1726</v>
      </c>
      <c r="ES47" s="228">
        <v>788.81</v>
      </c>
      <c r="ET47" s="228">
        <v>502.24</v>
      </c>
      <c r="EU47" s="231">
        <v>1376.91</v>
      </c>
      <c r="EV47" s="231">
        <v>35530000</v>
      </c>
      <c r="EW47" s="231">
        <v>2667.96</v>
      </c>
      <c r="EX47" s="231">
        <v>4080.84</v>
      </c>
      <c r="EY47" s="231">
        <v>-1412.88</v>
      </c>
      <c r="EZ47" s="229">
        <v>-0.34620000000000001</v>
      </c>
      <c r="FA47" s="229">
        <v>0.48659999999999998</v>
      </c>
      <c r="FB47" s="227" t="s">
        <v>568</v>
      </c>
      <c r="FC47">
        <f t="shared" si="0"/>
        <v>1246</v>
      </c>
    </row>
    <row r="48" spans="1:159" ht="17.25" thickBot="1" x14ac:dyDescent="0.3">
      <c r="A48" s="226">
        <v>45869</v>
      </c>
      <c r="B48" s="227" t="s">
        <v>161</v>
      </c>
      <c r="C48" s="227" t="s">
        <v>602</v>
      </c>
      <c r="D48" s="228">
        <v>3625</v>
      </c>
      <c r="E48" s="228">
        <v>0</v>
      </c>
      <c r="F48" s="228">
        <v>170.04</v>
      </c>
      <c r="G48" s="228">
        <v>177.75</v>
      </c>
      <c r="H48" s="228">
        <v>-7.71</v>
      </c>
      <c r="I48" s="229">
        <v>-4.3400000000000001E-2</v>
      </c>
      <c r="J48" s="228">
        <v>169.51</v>
      </c>
      <c r="K48" s="228">
        <v>176.61</v>
      </c>
      <c r="L48" s="228">
        <v>-7.1</v>
      </c>
      <c r="M48" s="229">
        <v>-4.02E-2</v>
      </c>
      <c r="N48" s="228">
        <v>169.05</v>
      </c>
      <c r="O48" s="228">
        <v>176.87</v>
      </c>
      <c r="P48" s="228">
        <v>-7.82</v>
      </c>
      <c r="Q48" s="229">
        <v>-4.4200000000000003E-2</v>
      </c>
      <c r="R48" s="228">
        <v>170.04</v>
      </c>
      <c r="S48" s="228">
        <v>177.75</v>
      </c>
      <c r="T48" s="228">
        <v>-7.71</v>
      </c>
      <c r="U48" s="229">
        <v>-4.3400000000000001E-2</v>
      </c>
      <c r="V48" s="228">
        <v>0</v>
      </c>
      <c r="W48" s="228">
        <v>0</v>
      </c>
      <c r="X48" s="228">
        <v>0</v>
      </c>
      <c r="Y48" s="229">
        <v>0</v>
      </c>
      <c r="Z48" s="228">
        <v>0.53</v>
      </c>
      <c r="AA48" s="228">
        <v>0.26</v>
      </c>
      <c r="AB48" s="228">
        <v>0.27</v>
      </c>
      <c r="AC48" s="229">
        <v>3.0999999999999999E-3</v>
      </c>
      <c r="AD48" s="228">
        <v>-0.46</v>
      </c>
      <c r="AE48" s="228">
        <v>0.26</v>
      </c>
      <c r="AF48" s="228">
        <v>-0.72</v>
      </c>
      <c r="AG48" s="229">
        <v>-2.7000000000000001E-3</v>
      </c>
      <c r="AH48" s="228">
        <v>0.53</v>
      </c>
      <c r="AI48" s="228">
        <v>1.1399999999999999</v>
      </c>
      <c r="AJ48" s="228">
        <v>-0.61</v>
      </c>
      <c r="AK48" s="229">
        <v>3.0999999999999999E-3</v>
      </c>
      <c r="AL48" s="228">
        <v>0</v>
      </c>
      <c r="AM48" s="228">
        <v>0</v>
      </c>
      <c r="AN48" s="228">
        <v>0</v>
      </c>
      <c r="AO48" s="229">
        <v>0</v>
      </c>
      <c r="AP48" s="228">
        <v>172.29</v>
      </c>
      <c r="AQ48" s="228">
        <v>173.25</v>
      </c>
      <c r="AR48" s="228">
        <v>0</v>
      </c>
      <c r="AS48" s="228">
        <v>322</v>
      </c>
      <c r="AT48" s="228">
        <v>403</v>
      </c>
      <c r="AU48" s="228">
        <v>-81</v>
      </c>
      <c r="AV48" s="229">
        <v>-0.2009</v>
      </c>
      <c r="AW48" s="228">
        <v>130</v>
      </c>
      <c r="AX48" s="228">
        <v>159</v>
      </c>
      <c r="AY48" s="228">
        <v>-29</v>
      </c>
      <c r="AZ48" s="229">
        <v>-0.18290000000000001</v>
      </c>
      <c r="BA48" s="228">
        <v>192</v>
      </c>
      <c r="BB48" s="228">
        <v>244</v>
      </c>
      <c r="BC48" s="228">
        <v>-52</v>
      </c>
      <c r="BD48" s="229">
        <v>-0.21260000000000001</v>
      </c>
      <c r="BE48" s="228">
        <v>0</v>
      </c>
      <c r="BF48" s="228">
        <v>0</v>
      </c>
      <c r="BG48" s="228">
        <v>0</v>
      </c>
      <c r="BH48" s="229">
        <v>0</v>
      </c>
      <c r="BI48" s="228">
        <v>253</v>
      </c>
      <c r="BJ48" s="228">
        <v>338</v>
      </c>
      <c r="BK48" s="228">
        <v>-85</v>
      </c>
      <c r="BL48" s="229">
        <v>-0.25169999999999998</v>
      </c>
      <c r="BM48" s="228">
        <v>135</v>
      </c>
      <c r="BN48" s="228">
        <v>142</v>
      </c>
      <c r="BO48" s="228">
        <v>-7</v>
      </c>
      <c r="BP48" s="229">
        <v>-5.0299999999999997E-2</v>
      </c>
      <c r="BQ48" s="228">
        <v>710</v>
      </c>
      <c r="BR48" s="228">
        <v>883</v>
      </c>
      <c r="BS48" s="228">
        <v>-173</v>
      </c>
      <c r="BT48" s="229">
        <v>-0.1961</v>
      </c>
      <c r="BU48" s="230">
        <v>6396046</v>
      </c>
      <c r="BV48" s="230">
        <v>6630867</v>
      </c>
      <c r="BW48" s="230">
        <v>-234821</v>
      </c>
      <c r="BX48" s="229">
        <v>-3.5400000000000001E-2</v>
      </c>
      <c r="BY48" s="228">
        <v>267</v>
      </c>
      <c r="BZ48" s="228">
        <v>296</v>
      </c>
      <c r="CA48" s="228">
        <v>-29</v>
      </c>
      <c r="CB48" s="229">
        <v>-9.6500000000000002E-2</v>
      </c>
      <c r="CC48" s="228">
        <v>21</v>
      </c>
      <c r="CD48" s="228">
        <v>74</v>
      </c>
      <c r="CE48" s="228">
        <v>-54</v>
      </c>
      <c r="CF48" s="229">
        <v>-0.72209999999999996</v>
      </c>
      <c r="CG48" s="228">
        <v>267</v>
      </c>
      <c r="CH48" s="228">
        <v>222</v>
      </c>
      <c r="CI48" s="228">
        <v>46</v>
      </c>
      <c r="CJ48" s="229">
        <v>0.20549999999999999</v>
      </c>
      <c r="CK48" s="228">
        <v>0</v>
      </c>
      <c r="CL48" s="228">
        <v>0</v>
      </c>
      <c r="CM48" s="228">
        <v>0</v>
      </c>
      <c r="CN48" s="229">
        <v>0</v>
      </c>
      <c r="CO48" s="228">
        <v>67</v>
      </c>
      <c r="CP48" s="228">
        <v>178</v>
      </c>
      <c r="CQ48" s="228">
        <v>-110</v>
      </c>
      <c r="CR48" s="229">
        <v>-0.62009999999999998</v>
      </c>
      <c r="CS48" s="228">
        <v>32</v>
      </c>
      <c r="CT48" s="228">
        <v>103</v>
      </c>
      <c r="CU48" s="228">
        <v>-71</v>
      </c>
      <c r="CV48" s="229">
        <v>-0.68959999999999999</v>
      </c>
      <c r="CW48" s="228">
        <v>367</v>
      </c>
      <c r="CX48" s="228">
        <v>576</v>
      </c>
      <c r="CY48" s="228">
        <v>-210</v>
      </c>
      <c r="CZ48" s="229">
        <v>-0.36380000000000001</v>
      </c>
      <c r="DA48" s="228">
        <v>32.75</v>
      </c>
      <c r="DB48" s="228">
        <v>35.15</v>
      </c>
      <c r="DC48" s="228">
        <v>-2.4</v>
      </c>
      <c r="DD48" s="228">
        <v>-2.4</v>
      </c>
      <c r="DE48" s="228">
        <v>43.24</v>
      </c>
      <c r="DF48" s="228">
        <v>42.93</v>
      </c>
      <c r="DG48" s="228">
        <v>-10.49</v>
      </c>
      <c r="DH48" s="228">
        <v>0.31</v>
      </c>
      <c r="DI48" s="228">
        <v>33.75</v>
      </c>
      <c r="DJ48" s="228">
        <v>35.15</v>
      </c>
      <c r="DK48" s="228">
        <v>-1.4</v>
      </c>
      <c r="DL48" s="228">
        <v>-1.4</v>
      </c>
      <c r="DM48" s="228">
        <v>30.59</v>
      </c>
      <c r="DN48" s="228">
        <v>35.14</v>
      </c>
      <c r="DO48" s="228">
        <v>-4.55</v>
      </c>
      <c r="DP48" s="228">
        <v>-4.55</v>
      </c>
      <c r="DQ48" s="228">
        <v>0.47</v>
      </c>
      <c r="DR48" s="228">
        <v>0.57999999999999996</v>
      </c>
      <c r="DS48" s="228">
        <v>-0.11</v>
      </c>
      <c r="DT48" s="229">
        <v>-0.18970000000000001</v>
      </c>
      <c r="DU48" s="228">
        <v>200</v>
      </c>
      <c r="DV48" s="228">
        <v>160</v>
      </c>
      <c r="DW48" s="228">
        <v>0.53</v>
      </c>
      <c r="DX48" s="228">
        <v>0.42</v>
      </c>
      <c r="DY48" s="228">
        <v>0.11</v>
      </c>
      <c r="DZ48" s="229">
        <v>0.26190000000000002</v>
      </c>
      <c r="EA48" s="229">
        <v>0.92849999999999999</v>
      </c>
      <c r="EB48" s="230">
        <v>13035500</v>
      </c>
      <c r="EC48" s="229">
        <v>5.8999999999999999E-3</v>
      </c>
      <c r="ED48" s="229">
        <v>0.92849999999999999</v>
      </c>
      <c r="EE48" s="228">
        <v>0.96</v>
      </c>
      <c r="EF48" s="229">
        <v>5.5999999999999999E-3</v>
      </c>
      <c r="EG48" s="230">
        <v>2816216</v>
      </c>
      <c r="EH48" s="230">
        <v>2628396</v>
      </c>
      <c r="EI48" s="229">
        <v>7.1499999999999994E-2</v>
      </c>
      <c r="EJ48" s="229">
        <v>0.44030000000000002</v>
      </c>
      <c r="EK48" s="228">
        <v>273.61</v>
      </c>
      <c r="EL48" s="228">
        <v>139.63</v>
      </c>
      <c r="EM48" s="228">
        <v>327.73</v>
      </c>
      <c r="EN48" s="228">
        <v>0</v>
      </c>
      <c r="EO48" s="228">
        <v>740.97</v>
      </c>
      <c r="EP48" s="228">
        <v>945.18</v>
      </c>
      <c r="EQ48" s="228">
        <v>-204.21</v>
      </c>
      <c r="ER48" s="229">
        <v>-0.21609999999999999</v>
      </c>
      <c r="ES48" s="228">
        <v>72.88</v>
      </c>
      <c r="ET48" s="228">
        <v>31.73</v>
      </c>
      <c r="EU48" s="228">
        <v>267.20999999999998</v>
      </c>
      <c r="EV48" s="231">
        <v>126959974</v>
      </c>
      <c r="EW48" s="228">
        <v>371.82</v>
      </c>
      <c r="EX48" s="228">
        <v>605.64</v>
      </c>
      <c r="EY48" s="228">
        <v>-233.82</v>
      </c>
      <c r="EZ48" s="229">
        <v>-0.3861</v>
      </c>
      <c r="FA48" s="229">
        <v>0.16980000000000001</v>
      </c>
      <c r="FB48" s="227" t="s">
        <v>568</v>
      </c>
      <c r="FC48">
        <f t="shared" si="0"/>
        <v>246</v>
      </c>
    </row>
    <row r="49" spans="1:159" ht="17.25" thickBot="1" x14ac:dyDescent="0.3">
      <c r="A49" s="226">
        <v>45869</v>
      </c>
      <c r="B49" s="227" t="s">
        <v>161</v>
      </c>
      <c r="C49" s="227" t="s">
        <v>613</v>
      </c>
      <c r="D49" s="228">
        <v>850</v>
      </c>
      <c r="E49" s="228">
        <v>0</v>
      </c>
      <c r="F49" s="228">
        <v>664.2</v>
      </c>
      <c r="G49" s="228">
        <v>664.45</v>
      </c>
      <c r="H49" s="228">
        <v>-0.25</v>
      </c>
      <c r="I49" s="229">
        <v>-4.0000000000000002E-4</v>
      </c>
      <c r="J49" s="228">
        <v>661.7</v>
      </c>
      <c r="K49" s="228">
        <v>660.35</v>
      </c>
      <c r="L49" s="228">
        <v>1.35</v>
      </c>
      <c r="M49" s="229">
        <v>2E-3</v>
      </c>
      <c r="N49" s="228">
        <v>659.7</v>
      </c>
      <c r="O49" s="228">
        <v>660.25</v>
      </c>
      <c r="P49" s="228">
        <v>-0.55000000000000004</v>
      </c>
      <c r="Q49" s="229">
        <v>-8.0000000000000004E-4</v>
      </c>
      <c r="R49" s="228">
        <v>664.2</v>
      </c>
      <c r="S49" s="228">
        <v>664.45</v>
      </c>
      <c r="T49" s="228">
        <v>-0.25</v>
      </c>
      <c r="U49" s="229">
        <v>-4.0000000000000002E-4</v>
      </c>
      <c r="V49" s="228">
        <v>667.9</v>
      </c>
      <c r="W49" s="228">
        <v>668.95</v>
      </c>
      <c r="X49" s="228">
        <v>-1.05</v>
      </c>
      <c r="Y49" s="229">
        <v>-1.6000000000000001E-3</v>
      </c>
      <c r="Z49" s="228">
        <v>2.5</v>
      </c>
      <c r="AA49" s="228">
        <v>-0.1</v>
      </c>
      <c r="AB49" s="228">
        <v>2.6</v>
      </c>
      <c r="AC49" s="229">
        <v>3.8E-3</v>
      </c>
      <c r="AD49" s="228">
        <v>-2</v>
      </c>
      <c r="AE49" s="228">
        <v>-0.1</v>
      </c>
      <c r="AF49" s="228">
        <v>-1.9</v>
      </c>
      <c r="AG49" s="229">
        <v>-3.0000000000000001E-3</v>
      </c>
      <c r="AH49" s="228">
        <v>2.5</v>
      </c>
      <c r="AI49" s="228">
        <v>4.0999999999999996</v>
      </c>
      <c r="AJ49" s="228">
        <v>-1.6</v>
      </c>
      <c r="AK49" s="229">
        <v>3.8E-3</v>
      </c>
      <c r="AL49" s="228">
        <v>6.2</v>
      </c>
      <c r="AM49" s="228">
        <v>8.6</v>
      </c>
      <c r="AN49" s="228">
        <v>-2.4</v>
      </c>
      <c r="AO49" s="229">
        <v>9.4000000000000004E-3</v>
      </c>
      <c r="AP49" s="228">
        <v>660.26</v>
      </c>
      <c r="AQ49" s="228">
        <v>664.33</v>
      </c>
      <c r="AR49" s="228">
        <v>0</v>
      </c>
      <c r="AS49" s="228">
        <v>530</v>
      </c>
      <c r="AT49" s="228">
        <v>664</v>
      </c>
      <c r="AU49" s="228">
        <v>-134</v>
      </c>
      <c r="AV49" s="229">
        <v>-0.20230000000000001</v>
      </c>
      <c r="AW49" s="228">
        <v>221</v>
      </c>
      <c r="AX49" s="228">
        <v>307</v>
      </c>
      <c r="AY49" s="228">
        <v>-87</v>
      </c>
      <c r="AZ49" s="229">
        <v>-0.28249999999999997</v>
      </c>
      <c r="BA49" s="228">
        <v>305</v>
      </c>
      <c r="BB49" s="228">
        <v>355</v>
      </c>
      <c r="BC49" s="228">
        <v>-50</v>
      </c>
      <c r="BD49" s="229">
        <v>-0.14030000000000001</v>
      </c>
      <c r="BE49" s="228">
        <v>4</v>
      </c>
      <c r="BF49" s="228">
        <v>1</v>
      </c>
      <c r="BG49" s="228">
        <v>2</v>
      </c>
      <c r="BH49" s="229">
        <v>1.5769</v>
      </c>
      <c r="BI49" s="228">
        <v>234</v>
      </c>
      <c r="BJ49" s="228">
        <v>319</v>
      </c>
      <c r="BK49" s="228">
        <v>-85</v>
      </c>
      <c r="BL49" s="229">
        <v>-0.26729999999999998</v>
      </c>
      <c r="BM49" s="228">
        <v>94</v>
      </c>
      <c r="BN49" s="228">
        <v>134</v>
      </c>
      <c r="BO49" s="228">
        <v>-40</v>
      </c>
      <c r="BP49" s="229">
        <v>-0.29830000000000001</v>
      </c>
      <c r="BQ49" s="228">
        <v>857</v>
      </c>
      <c r="BR49" s="230">
        <v>1117</v>
      </c>
      <c r="BS49" s="228">
        <v>-259</v>
      </c>
      <c r="BT49" s="229">
        <v>-0.2324</v>
      </c>
      <c r="BU49" s="230">
        <v>2071585</v>
      </c>
      <c r="BV49" s="230">
        <v>5528286</v>
      </c>
      <c r="BW49" s="230">
        <v>-3456701</v>
      </c>
      <c r="BX49" s="229">
        <v>-0.62529999999999997</v>
      </c>
      <c r="BY49" s="230">
        <v>1186</v>
      </c>
      <c r="BZ49" s="230">
        <v>1363</v>
      </c>
      <c r="CA49" s="228">
        <v>-177</v>
      </c>
      <c r="CB49" s="229">
        <v>-0.12970000000000001</v>
      </c>
      <c r="CC49" s="228">
        <v>236</v>
      </c>
      <c r="CD49" s="228">
        <v>269</v>
      </c>
      <c r="CE49" s="228">
        <v>-34</v>
      </c>
      <c r="CF49" s="229">
        <v>-0.12520000000000001</v>
      </c>
      <c r="CG49" s="230">
        <v>1178</v>
      </c>
      <c r="CH49" s="230">
        <v>1087</v>
      </c>
      <c r="CI49" s="228">
        <v>91</v>
      </c>
      <c r="CJ49" s="229">
        <v>8.4099999999999994E-2</v>
      </c>
      <c r="CK49" s="228">
        <v>8</v>
      </c>
      <c r="CL49" s="228">
        <v>6</v>
      </c>
      <c r="CM49" s="228">
        <v>1</v>
      </c>
      <c r="CN49" s="229">
        <v>0.17699999999999999</v>
      </c>
      <c r="CO49" s="228">
        <v>97</v>
      </c>
      <c r="CP49" s="228">
        <v>325</v>
      </c>
      <c r="CQ49" s="228">
        <v>-228</v>
      </c>
      <c r="CR49" s="229">
        <v>-0.70020000000000004</v>
      </c>
      <c r="CS49" s="228">
        <v>87</v>
      </c>
      <c r="CT49" s="228">
        <v>213</v>
      </c>
      <c r="CU49" s="228">
        <v>-126</v>
      </c>
      <c r="CV49" s="229">
        <v>-0.59</v>
      </c>
      <c r="CW49" s="230">
        <v>1371</v>
      </c>
      <c r="CX49" s="230">
        <v>1900</v>
      </c>
      <c r="CY49" s="228">
        <v>-530</v>
      </c>
      <c r="CZ49" s="229">
        <v>-0.27879999999999999</v>
      </c>
      <c r="DA49" s="228">
        <v>28.44</v>
      </c>
      <c r="DB49" s="228">
        <v>29.09</v>
      </c>
      <c r="DC49" s="228">
        <v>-0.65</v>
      </c>
      <c r="DD49" s="228">
        <v>-0.65</v>
      </c>
      <c r="DE49" s="228">
        <v>44.81</v>
      </c>
      <c r="DF49" s="228">
        <v>44.93</v>
      </c>
      <c r="DG49" s="228">
        <v>-16.37</v>
      </c>
      <c r="DH49" s="228">
        <v>-0.12</v>
      </c>
      <c r="DI49" s="228">
        <v>28.42</v>
      </c>
      <c r="DJ49" s="228">
        <v>29.47</v>
      </c>
      <c r="DK49" s="228">
        <v>-1.05</v>
      </c>
      <c r="DL49" s="228">
        <v>-1.05</v>
      </c>
      <c r="DM49" s="228">
        <v>28.47</v>
      </c>
      <c r="DN49" s="228">
        <v>28.64</v>
      </c>
      <c r="DO49" s="228">
        <v>-0.17</v>
      </c>
      <c r="DP49" s="228">
        <v>-0.17</v>
      </c>
      <c r="DQ49" s="228">
        <v>0.9</v>
      </c>
      <c r="DR49" s="228">
        <v>0.65</v>
      </c>
      <c r="DS49" s="228">
        <v>0.25</v>
      </c>
      <c r="DT49" s="229">
        <v>0.3846</v>
      </c>
      <c r="DU49" s="228">
        <v>700</v>
      </c>
      <c r="DV49" s="228">
        <v>630</v>
      </c>
      <c r="DW49" s="228">
        <v>0.4</v>
      </c>
      <c r="DX49" s="228">
        <v>0.42</v>
      </c>
      <c r="DY49" s="228">
        <v>-0.02</v>
      </c>
      <c r="DZ49" s="229">
        <v>-4.7600000000000003E-2</v>
      </c>
      <c r="EA49" s="229">
        <v>0.83430000000000004</v>
      </c>
      <c r="EB49" s="230">
        <v>16461950</v>
      </c>
      <c r="EC49" s="229">
        <v>6.7999999999999996E-3</v>
      </c>
      <c r="ED49" s="229">
        <v>0.83430000000000004</v>
      </c>
      <c r="EE49" s="228">
        <v>4.07</v>
      </c>
      <c r="EF49" s="229">
        <v>6.1999999999999998E-3</v>
      </c>
      <c r="EG49" s="230">
        <v>790312</v>
      </c>
      <c r="EH49" s="230">
        <v>4523731</v>
      </c>
      <c r="EI49" s="229">
        <v>-0.82530000000000003</v>
      </c>
      <c r="EJ49" s="229">
        <v>0.38150000000000001</v>
      </c>
      <c r="EK49" s="228">
        <v>242.14</v>
      </c>
      <c r="EL49" s="228">
        <v>95.47</v>
      </c>
      <c r="EM49" s="228">
        <v>528.51</v>
      </c>
      <c r="EN49" s="228">
        <v>0</v>
      </c>
      <c r="EO49" s="228">
        <v>866.12</v>
      </c>
      <c r="EP49" s="231">
        <v>1131.75</v>
      </c>
      <c r="EQ49" s="228">
        <v>-265.63</v>
      </c>
      <c r="ER49" s="229">
        <v>-0.23469999999999999</v>
      </c>
      <c r="ES49" s="228">
        <v>101.69</v>
      </c>
      <c r="ET49" s="228">
        <v>85.99</v>
      </c>
      <c r="EU49" s="231">
        <v>1185.98</v>
      </c>
      <c r="EV49" s="231">
        <v>128243866</v>
      </c>
      <c r="EW49" s="231">
        <v>1373.66</v>
      </c>
      <c r="EX49" s="231">
        <v>1910.09</v>
      </c>
      <c r="EY49" s="228">
        <v>-536.42999999999995</v>
      </c>
      <c r="EZ49" s="229">
        <v>-0.28079999999999999</v>
      </c>
      <c r="FA49" s="229">
        <v>0.16089999999999999</v>
      </c>
      <c r="FB49" s="227" t="s">
        <v>568</v>
      </c>
      <c r="FC49">
        <f t="shared" si="0"/>
        <v>950</v>
      </c>
    </row>
    <row r="50" spans="1:159" ht="17.25" thickBot="1" x14ac:dyDescent="0.3">
      <c r="A50" s="226">
        <v>45869</v>
      </c>
      <c r="B50" s="227" t="s">
        <v>498</v>
      </c>
      <c r="C50" s="227" t="s">
        <v>532</v>
      </c>
      <c r="D50" s="228">
        <v>950</v>
      </c>
      <c r="E50" s="228">
        <v>0</v>
      </c>
      <c r="F50" s="228">
        <v>0</v>
      </c>
      <c r="G50" s="228">
        <v>0</v>
      </c>
      <c r="H50" s="228">
        <v>0</v>
      </c>
      <c r="I50" s="229">
        <v>0</v>
      </c>
      <c r="J50" s="228">
        <v>514.9</v>
      </c>
      <c r="K50" s="228">
        <v>538.20000000000005</v>
      </c>
      <c r="L50" s="228">
        <v>-23.3</v>
      </c>
      <c r="M50" s="229">
        <v>-4.3299999999999998E-2</v>
      </c>
      <c r="N50" s="228">
        <v>514.04999999999995</v>
      </c>
      <c r="O50" s="228">
        <v>538</v>
      </c>
      <c r="P50" s="228">
        <v>-23.95</v>
      </c>
      <c r="Q50" s="229">
        <v>-4.4499999999999998E-2</v>
      </c>
      <c r="R50" s="228">
        <v>0</v>
      </c>
      <c r="S50" s="228">
        <v>0</v>
      </c>
      <c r="T50" s="228">
        <v>0</v>
      </c>
      <c r="U50" s="229">
        <v>0</v>
      </c>
      <c r="V50" s="228">
        <v>0</v>
      </c>
      <c r="W50" s="228">
        <v>0</v>
      </c>
      <c r="X50" s="228">
        <v>0</v>
      </c>
      <c r="Y50" s="229">
        <v>0</v>
      </c>
      <c r="Z50" s="228">
        <v>0</v>
      </c>
      <c r="AA50" s="228">
        <v>-0.2</v>
      </c>
      <c r="AB50" s="228">
        <v>0</v>
      </c>
      <c r="AC50" s="229">
        <v>0</v>
      </c>
      <c r="AD50" s="228">
        <v>-0.85</v>
      </c>
      <c r="AE50" s="228">
        <v>-0.2</v>
      </c>
      <c r="AF50" s="228">
        <v>-0.65</v>
      </c>
      <c r="AG50" s="229">
        <v>-1.6999999999999999E-3</v>
      </c>
      <c r="AH50" s="228">
        <v>0</v>
      </c>
      <c r="AI50" s="228">
        <v>0</v>
      </c>
      <c r="AJ50" s="228">
        <v>0</v>
      </c>
      <c r="AK50" s="229">
        <v>0</v>
      </c>
      <c r="AL50" s="228">
        <v>0</v>
      </c>
      <c r="AM50" s="228">
        <v>0</v>
      </c>
      <c r="AN50" s="228">
        <v>0</v>
      </c>
      <c r="AO50" s="229">
        <v>0</v>
      </c>
      <c r="AP50" s="228">
        <v>519.53</v>
      </c>
      <c r="AQ50" s="228">
        <v>0</v>
      </c>
      <c r="AR50" s="228">
        <v>0</v>
      </c>
      <c r="AS50" s="228">
        <v>0</v>
      </c>
      <c r="AT50" s="228">
        <v>0</v>
      </c>
      <c r="AU50" s="228">
        <v>0</v>
      </c>
      <c r="AV50" s="229">
        <v>1.3772</v>
      </c>
      <c r="AW50" s="228">
        <v>0</v>
      </c>
      <c r="AX50" s="228">
        <v>0</v>
      </c>
      <c r="AY50" s="228">
        <v>0</v>
      </c>
      <c r="AZ50" s="229">
        <v>1.3772</v>
      </c>
      <c r="BA50" s="228">
        <v>0</v>
      </c>
      <c r="BB50" s="228">
        <v>0</v>
      </c>
      <c r="BC50" s="228">
        <v>0</v>
      </c>
      <c r="BD50" s="229">
        <v>0</v>
      </c>
      <c r="BE50" s="228">
        <v>0</v>
      </c>
      <c r="BF50" s="228">
        <v>0</v>
      </c>
      <c r="BG50" s="228">
        <v>0</v>
      </c>
      <c r="BH50" s="229">
        <v>0</v>
      </c>
      <c r="BI50" s="228">
        <v>0</v>
      </c>
      <c r="BJ50" s="228">
        <v>0</v>
      </c>
      <c r="BK50" s="228">
        <v>0</v>
      </c>
      <c r="BL50" s="229">
        <v>-0.75270000000000004</v>
      </c>
      <c r="BM50" s="228">
        <v>0</v>
      </c>
      <c r="BN50" s="228">
        <v>0</v>
      </c>
      <c r="BO50" s="228">
        <v>0</v>
      </c>
      <c r="BP50" s="229">
        <v>3.1600000000000003E-2</v>
      </c>
      <c r="BQ50" s="228">
        <v>0</v>
      </c>
      <c r="BR50" s="228">
        <v>0</v>
      </c>
      <c r="BS50" s="228">
        <v>0</v>
      </c>
      <c r="BT50" s="229">
        <v>-0.30669999999999997</v>
      </c>
      <c r="BU50" s="230">
        <v>7749712</v>
      </c>
      <c r="BV50" s="230">
        <v>2731792</v>
      </c>
      <c r="BW50" s="230">
        <v>5017920</v>
      </c>
      <c r="BX50" s="229">
        <v>1.8369</v>
      </c>
      <c r="BY50" s="228">
        <v>0</v>
      </c>
      <c r="BZ50" s="228">
        <v>0</v>
      </c>
      <c r="CA50" s="228">
        <v>0</v>
      </c>
      <c r="CB50" s="229">
        <v>-1</v>
      </c>
      <c r="CC50" s="228">
        <v>0</v>
      </c>
      <c r="CD50" s="228">
        <v>0</v>
      </c>
      <c r="CE50" s="228">
        <v>0</v>
      </c>
      <c r="CF50" s="229">
        <v>-0.63939999999999997</v>
      </c>
      <c r="CG50" s="228">
        <v>0</v>
      </c>
      <c r="CH50" s="228">
        <v>0</v>
      </c>
      <c r="CI50" s="228">
        <v>0</v>
      </c>
      <c r="CJ50" s="229">
        <v>0</v>
      </c>
      <c r="CK50" s="228">
        <v>0</v>
      </c>
      <c r="CL50" s="228">
        <v>0</v>
      </c>
      <c r="CM50" s="228">
        <v>0</v>
      </c>
      <c r="CN50" s="229">
        <v>0</v>
      </c>
      <c r="CO50" s="228">
        <v>0</v>
      </c>
      <c r="CP50" s="228">
        <v>0</v>
      </c>
      <c r="CQ50" s="228">
        <v>0</v>
      </c>
      <c r="CR50" s="229">
        <v>-0.17799999999999999</v>
      </c>
      <c r="CS50" s="228">
        <v>0</v>
      </c>
      <c r="CT50" s="228">
        <v>0</v>
      </c>
      <c r="CU50" s="228">
        <v>0</v>
      </c>
      <c r="CV50" s="229">
        <v>-0.20810000000000001</v>
      </c>
      <c r="CW50" s="228">
        <v>0</v>
      </c>
      <c r="CX50" s="228">
        <v>0</v>
      </c>
      <c r="CY50" s="228">
        <v>0</v>
      </c>
      <c r="CZ50" s="229">
        <v>-0.5615</v>
      </c>
      <c r="DA50" s="228">
        <v>46.04</v>
      </c>
      <c r="DB50" s="228">
        <v>46.04</v>
      </c>
      <c r="DC50" s="228">
        <v>0</v>
      </c>
      <c r="DD50" s="228">
        <v>0</v>
      </c>
      <c r="DE50" s="228">
        <v>46.04</v>
      </c>
      <c r="DF50" s="228">
        <v>46.04</v>
      </c>
      <c r="DG50" s="228">
        <v>0</v>
      </c>
      <c r="DH50" s="228">
        <v>0</v>
      </c>
      <c r="DI50" s="228">
        <v>46.04</v>
      </c>
      <c r="DJ50" s="228">
        <v>46.04</v>
      </c>
      <c r="DK50" s="228">
        <v>0</v>
      </c>
      <c r="DL50" s="228">
        <v>0</v>
      </c>
      <c r="DM50" s="228">
        <v>46.04</v>
      </c>
      <c r="DN50" s="228">
        <v>46.04</v>
      </c>
      <c r="DO50" s="228">
        <v>0</v>
      </c>
      <c r="DP50" s="228">
        <v>0</v>
      </c>
      <c r="DQ50" s="228">
        <v>0.49</v>
      </c>
      <c r="DR50" s="228">
        <v>0.51</v>
      </c>
      <c r="DS50" s="228">
        <v>-0.02</v>
      </c>
      <c r="DT50" s="229">
        <v>-3.9199999999999999E-2</v>
      </c>
      <c r="DU50" s="228">
        <v>570</v>
      </c>
      <c r="DV50" s="228">
        <v>530</v>
      </c>
      <c r="DW50" s="228">
        <v>0.71</v>
      </c>
      <c r="DX50" s="228">
        <v>0.17</v>
      </c>
      <c r="DY50" s="228">
        <v>0.54</v>
      </c>
      <c r="DZ50" s="229">
        <v>3.1764999999999999</v>
      </c>
      <c r="EA50" s="229">
        <v>0</v>
      </c>
      <c r="EB50" s="228">
        <v>0</v>
      </c>
      <c r="EC50" s="229">
        <v>0</v>
      </c>
      <c r="ED50" s="229">
        <v>0</v>
      </c>
      <c r="EE50" s="228">
        <v>0</v>
      </c>
      <c r="EF50" s="229">
        <v>0</v>
      </c>
      <c r="EG50" s="230">
        <v>4629175</v>
      </c>
      <c r="EH50" s="230">
        <v>1254329</v>
      </c>
      <c r="EI50" s="229">
        <v>2.6905999999999999</v>
      </c>
      <c r="EJ50" s="229">
        <v>0.59730000000000005</v>
      </c>
      <c r="EK50" s="228">
        <v>165.13</v>
      </c>
      <c r="EL50" s="228">
        <v>116.43</v>
      </c>
      <c r="EM50" s="228">
        <v>343.41</v>
      </c>
      <c r="EN50" s="228">
        <v>0</v>
      </c>
      <c r="EO50" s="228">
        <v>624.97</v>
      </c>
      <c r="EP50" s="228">
        <v>931.94</v>
      </c>
      <c r="EQ50" s="228">
        <v>-306.95999999999998</v>
      </c>
      <c r="ER50" s="229">
        <v>-0.32940000000000003</v>
      </c>
      <c r="ES50" s="228">
        <v>0</v>
      </c>
      <c r="ET50" s="228">
        <v>0</v>
      </c>
      <c r="EU50" s="228">
        <v>0</v>
      </c>
      <c r="EV50" s="231">
        <v>31728204</v>
      </c>
      <c r="EW50" s="228">
        <v>0</v>
      </c>
      <c r="EX50" s="228">
        <v>682.25</v>
      </c>
      <c r="EY50" s="228">
        <v>-682.25</v>
      </c>
      <c r="EZ50" s="229">
        <v>-1</v>
      </c>
      <c r="FA50" s="229">
        <v>0.17050000000000001</v>
      </c>
      <c r="FB50" s="227" t="s">
        <v>237</v>
      </c>
      <c r="FC50">
        <f t="shared" si="0"/>
        <v>0</v>
      </c>
    </row>
    <row r="51" spans="1:159" ht="17.25" thickBot="1" x14ac:dyDescent="0.3">
      <c r="A51" s="226">
        <v>45869</v>
      </c>
      <c r="B51" s="227" t="s">
        <v>175</v>
      </c>
      <c r="C51" s="227" t="s">
        <v>198</v>
      </c>
      <c r="D51" s="228">
        <v>625</v>
      </c>
      <c r="E51" s="228">
        <v>0</v>
      </c>
      <c r="F51" s="231">
        <v>1426.8</v>
      </c>
      <c r="G51" s="231">
        <v>1482</v>
      </c>
      <c r="H51" s="228">
        <v>-55.2</v>
      </c>
      <c r="I51" s="229">
        <v>-3.7199999999999997E-2</v>
      </c>
      <c r="J51" s="231">
        <v>1443.2</v>
      </c>
      <c r="K51" s="231">
        <v>1478.1</v>
      </c>
      <c r="L51" s="228">
        <v>-34.9</v>
      </c>
      <c r="M51" s="229">
        <v>-2.3599999999999999E-2</v>
      </c>
      <c r="N51" s="231">
        <v>1442.2</v>
      </c>
      <c r="O51" s="231">
        <v>1476.6</v>
      </c>
      <c r="P51" s="228">
        <v>-34.4</v>
      </c>
      <c r="Q51" s="229">
        <v>-2.3300000000000001E-2</v>
      </c>
      <c r="R51" s="231">
        <v>1426.8</v>
      </c>
      <c r="S51" s="231">
        <v>1482</v>
      </c>
      <c r="T51" s="228">
        <v>-55.2</v>
      </c>
      <c r="U51" s="229">
        <v>-3.7199999999999997E-2</v>
      </c>
      <c r="V51" s="231">
        <v>1429.6</v>
      </c>
      <c r="W51" s="231">
        <v>1486.7</v>
      </c>
      <c r="X51" s="228">
        <v>-57.1</v>
      </c>
      <c r="Y51" s="229">
        <v>-3.8399999999999997E-2</v>
      </c>
      <c r="Z51" s="228">
        <v>-16.399999999999999</v>
      </c>
      <c r="AA51" s="228">
        <v>-1.5</v>
      </c>
      <c r="AB51" s="228">
        <v>-14.9</v>
      </c>
      <c r="AC51" s="229">
        <v>-1.14E-2</v>
      </c>
      <c r="AD51" s="228">
        <v>-1</v>
      </c>
      <c r="AE51" s="228">
        <v>-1.5</v>
      </c>
      <c r="AF51" s="228">
        <v>0.5</v>
      </c>
      <c r="AG51" s="229">
        <v>-6.9999999999999999E-4</v>
      </c>
      <c r="AH51" s="228">
        <v>-16.399999999999999</v>
      </c>
      <c r="AI51" s="228">
        <v>3.9</v>
      </c>
      <c r="AJ51" s="228">
        <v>-20.3</v>
      </c>
      <c r="AK51" s="229">
        <v>-1.14E-2</v>
      </c>
      <c r="AL51" s="228">
        <v>-13.6</v>
      </c>
      <c r="AM51" s="228">
        <v>8.6</v>
      </c>
      <c r="AN51" s="228">
        <v>-22.2</v>
      </c>
      <c r="AO51" s="229">
        <v>-9.4000000000000004E-3</v>
      </c>
      <c r="AP51" s="231">
        <v>1450.27</v>
      </c>
      <c r="AQ51" s="231">
        <v>1447.15</v>
      </c>
      <c r="AR51" s="228">
        <v>0</v>
      </c>
      <c r="AS51" s="230">
        <v>1938</v>
      </c>
      <c r="AT51" s="230">
        <v>1059</v>
      </c>
      <c r="AU51" s="228">
        <v>880</v>
      </c>
      <c r="AV51" s="229">
        <v>0.83130000000000004</v>
      </c>
      <c r="AW51" s="228">
        <v>406</v>
      </c>
      <c r="AX51" s="228">
        <v>463</v>
      </c>
      <c r="AY51" s="228">
        <v>-57</v>
      </c>
      <c r="AZ51" s="229">
        <v>-0.1227</v>
      </c>
      <c r="BA51" s="230">
        <v>1503</v>
      </c>
      <c r="BB51" s="228">
        <v>591</v>
      </c>
      <c r="BC51" s="228">
        <v>911</v>
      </c>
      <c r="BD51" s="229">
        <v>1.5408999999999999</v>
      </c>
      <c r="BE51" s="228">
        <v>30</v>
      </c>
      <c r="BF51" s="228">
        <v>4</v>
      </c>
      <c r="BG51" s="228">
        <v>26</v>
      </c>
      <c r="BH51" s="229">
        <v>6.3555999999999999</v>
      </c>
      <c r="BI51" s="230">
        <v>1431</v>
      </c>
      <c r="BJ51" s="228">
        <v>690</v>
      </c>
      <c r="BK51" s="228">
        <v>740</v>
      </c>
      <c r="BL51" s="229">
        <v>1.0723</v>
      </c>
      <c r="BM51" s="228">
        <v>947</v>
      </c>
      <c r="BN51" s="228">
        <v>269</v>
      </c>
      <c r="BO51" s="228">
        <v>679</v>
      </c>
      <c r="BP51" s="229">
        <v>2.5249000000000001</v>
      </c>
      <c r="BQ51" s="230">
        <v>4317</v>
      </c>
      <c r="BR51" s="230">
        <v>2018</v>
      </c>
      <c r="BS51" s="230">
        <v>2299</v>
      </c>
      <c r="BT51" s="229">
        <v>1.1394</v>
      </c>
      <c r="BU51" s="230">
        <v>6537632</v>
      </c>
      <c r="BV51" s="230">
        <v>766100</v>
      </c>
      <c r="BW51" s="230">
        <v>5771532</v>
      </c>
      <c r="BX51" s="229">
        <v>7.5336999999999996</v>
      </c>
      <c r="BY51" s="230">
        <v>1882</v>
      </c>
      <c r="BZ51" s="230">
        <v>1736</v>
      </c>
      <c r="CA51" s="228">
        <v>145</v>
      </c>
      <c r="CB51" s="229">
        <v>8.3799999999999999E-2</v>
      </c>
      <c r="CC51" s="228">
        <v>106</v>
      </c>
      <c r="CD51" s="228">
        <v>236</v>
      </c>
      <c r="CE51" s="228">
        <v>-130</v>
      </c>
      <c r="CF51" s="229">
        <v>-0.5514</v>
      </c>
      <c r="CG51" s="230">
        <v>1855</v>
      </c>
      <c r="CH51" s="230">
        <v>1482</v>
      </c>
      <c r="CI51" s="228">
        <v>373</v>
      </c>
      <c r="CJ51" s="229">
        <v>0.252</v>
      </c>
      <c r="CK51" s="228">
        <v>26</v>
      </c>
      <c r="CL51" s="228">
        <v>18</v>
      </c>
      <c r="CM51" s="228">
        <v>8</v>
      </c>
      <c r="CN51" s="229">
        <v>0.44390000000000002</v>
      </c>
      <c r="CO51" s="228">
        <v>273</v>
      </c>
      <c r="CP51" s="228">
        <v>640</v>
      </c>
      <c r="CQ51" s="228">
        <v>-366</v>
      </c>
      <c r="CR51" s="229">
        <v>-0.57240000000000002</v>
      </c>
      <c r="CS51" s="228">
        <v>203</v>
      </c>
      <c r="CT51" s="228">
        <v>409</v>
      </c>
      <c r="CU51" s="228">
        <v>-206</v>
      </c>
      <c r="CV51" s="229">
        <v>-0.50290000000000001</v>
      </c>
      <c r="CW51" s="230">
        <v>2359</v>
      </c>
      <c r="CX51" s="230">
        <v>2785</v>
      </c>
      <c r="CY51" s="228">
        <v>-426</v>
      </c>
      <c r="CZ51" s="229">
        <v>-0.15310000000000001</v>
      </c>
      <c r="DA51" s="228">
        <v>31.65</v>
      </c>
      <c r="DB51" s="228">
        <v>31.44</v>
      </c>
      <c r="DC51" s="228">
        <v>0.21</v>
      </c>
      <c r="DD51" s="228">
        <v>0.21</v>
      </c>
      <c r="DE51" s="228">
        <v>40.11</v>
      </c>
      <c r="DF51" s="228">
        <v>40.08</v>
      </c>
      <c r="DG51" s="228">
        <v>-8.4600000000000009</v>
      </c>
      <c r="DH51" s="228">
        <v>0.03</v>
      </c>
      <c r="DI51" s="228">
        <v>31.59</v>
      </c>
      <c r="DJ51" s="228">
        <v>31.43</v>
      </c>
      <c r="DK51" s="228">
        <v>0.16</v>
      </c>
      <c r="DL51" s="228">
        <v>0.16</v>
      </c>
      <c r="DM51" s="228">
        <v>31.73</v>
      </c>
      <c r="DN51" s="228">
        <v>31.46</v>
      </c>
      <c r="DO51" s="228">
        <v>0.27</v>
      </c>
      <c r="DP51" s="228">
        <v>0.27</v>
      </c>
      <c r="DQ51" s="228">
        <v>0.74</v>
      </c>
      <c r="DR51" s="228">
        <v>0.64</v>
      </c>
      <c r="DS51" s="228">
        <v>0.1</v>
      </c>
      <c r="DT51" s="229">
        <v>0.15620000000000001</v>
      </c>
      <c r="DU51" s="231">
        <v>1600</v>
      </c>
      <c r="DV51" s="231">
        <v>1500</v>
      </c>
      <c r="DW51" s="228">
        <v>0.66</v>
      </c>
      <c r="DX51" s="228">
        <v>0.39</v>
      </c>
      <c r="DY51" s="228">
        <v>0.27</v>
      </c>
      <c r="DZ51" s="229">
        <v>0.69230000000000003</v>
      </c>
      <c r="EA51" s="229">
        <v>0.94669999999999999</v>
      </c>
      <c r="EB51" s="230">
        <v>10515000</v>
      </c>
      <c r="EC51" s="229">
        <v>-1.0699999999999999E-2</v>
      </c>
      <c r="ED51" s="229">
        <v>0.94669999999999999</v>
      </c>
      <c r="EE51" s="228">
        <v>-3.12</v>
      </c>
      <c r="EF51" s="229">
        <v>-2.2000000000000001E-3</v>
      </c>
      <c r="EG51" s="230">
        <v>4411786</v>
      </c>
      <c r="EH51" s="230">
        <v>393179</v>
      </c>
      <c r="EI51" s="229">
        <v>10.220800000000001</v>
      </c>
      <c r="EJ51" s="229">
        <v>0.67479999999999996</v>
      </c>
      <c r="EK51" s="231">
        <v>1554.07</v>
      </c>
      <c r="EL51" s="228">
        <v>974.01</v>
      </c>
      <c r="EM51" s="231">
        <v>1967.03</v>
      </c>
      <c r="EN51" s="228">
        <v>0</v>
      </c>
      <c r="EO51" s="231">
        <v>4495.1099999999997</v>
      </c>
      <c r="EP51" s="231">
        <v>2140.41</v>
      </c>
      <c r="EQ51" s="231">
        <v>2354.6999999999998</v>
      </c>
      <c r="ER51" s="229">
        <v>1.1001000000000001</v>
      </c>
      <c r="ES51" s="228">
        <v>295.77</v>
      </c>
      <c r="ET51" s="228">
        <v>204.56</v>
      </c>
      <c r="EU51" s="231">
        <v>1881.91</v>
      </c>
      <c r="EV51" s="231">
        <v>84229462</v>
      </c>
      <c r="EW51" s="231">
        <v>2382.2399999999998</v>
      </c>
      <c r="EX51" s="231">
        <v>2953.35</v>
      </c>
      <c r="EY51" s="228">
        <v>-571.11</v>
      </c>
      <c r="EZ51" s="229">
        <v>-0.19339999999999999</v>
      </c>
      <c r="FA51" s="229">
        <v>0.1963</v>
      </c>
      <c r="FB51" s="227" t="s">
        <v>567</v>
      </c>
      <c r="FC51">
        <f t="shared" si="0"/>
        <v>1776</v>
      </c>
    </row>
    <row r="52" spans="1:159" ht="17.25" thickBot="1" x14ac:dyDescent="0.3">
      <c r="A52" s="226">
        <v>45869</v>
      </c>
      <c r="B52" s="227" t="s">
        <v>170</v>
      </c>
      <c r="C52" s="227" t="s">
        <v>199</v>
      </c>
      <c r="D52" s="228">
        <v>375</v>
      </c>
      <c r="E52" s="228">
        <v>0</v>
      </c>
      <c r="F52" s="231">
        <v>1560.8</v>
      </c>
      <c r="G52" s="231">
        <v>1567.4</v>
      </c>
      <c r="H52" s="228">
        <v>-6.6</v>
      </c>
      <c r="I52" s="229">
        <v>-4.1999999999999997E-3</v>
      </c>
      <c r="J52" s="231">
        <v>1554.6</v>
      </c>
      <c r="K52" s="231">
        <v>1559.4</v>
      </c>
      <c r="L52" s="228">
        <v>-4.8</v>
      </c>
      <c r="M52" s="229">
        <v>-3.0999999999999999E-3</v>
      </c>
      <c r="N52" s="231">
        <v>1555.9</v>
      </c>
      <c r="O52" s="231">
        <v>1559</v>
      </c>
      <c r="P52" s="228">
        <v>-3.1</v>
      </c>
      <c r="Q52" s="229">
        <v>-2E-3</v>
      </c>
      <c r="R52" s="231">
        <v>1560.8</v>
      </c>
      <c r="S52" s="231">
        <v>1567.4</v>
      </c>
      <c r="T52" s="228">
        <v>-6.6</v>
      </c>
      <c r="U52" s="229">
        <v>-4.1999999999999997E-3</v>
      </c>
      <c r="V52" s="231">
        <v>1569</v>
      </c>
      <c r="W52" s="231">
        <v>1578.4</v>
      </c>
      <c r="X52" s="228">
        <v>-9.4</v>
      </c>
      <c r="Y52" s="229">
        <v>-6.0000000000000001E-3</v>
      </c>
      <c r="Z52" s="228">
        <v>6.2</v>
      </c>
      <c r="AA52" s="228">
        <v>-0.4</v>
      </c>
      <c r="AB52" s="228">
        <v>6.6</v>
      </c>
      <c r="AC52" s="229">
        <v>4.0000000000000001E-3</v>
      </c>
      <c r="AD52" s="228">
        <v>1.3</v>
      </c>
      <c r="AE52" s="228">
        <v>-0.4</v>
      </c>
      <c r="AF52" s="228">
        <v>1.7</v>
      </c>
      <c r="AG52" s="229">
        <v>8.0000000000000004E-4</v>
      </c>
      <c r="AH52" s="228">
        <v>6.2</v>
      </c>
      <c r="AI52" s="228">
        <v>8</v>
      </c>
      <c r="AJ52" s="228">
        <v>-1.8</v>
      </c>
      <c r="AK52" s="229">
        <v>4.0000000000000001E-3</v>
      </c>
      <c r="AL52" s="228">
        <v>14.4</v>
      </c>
      <c r="AM52" s="228">
        <v>19</v>
      </c>
      <c r="AN52" s="228">
        <v>-4.5999999999999996</v>
      </c>
      <c r="AO52" s="229">
        <v>9.2999999999999992E-3</v>
      </c>
      <c r="AP52" s="231">
        <v>1548.92</v>
      </c>
      <c r="AQ52" s="231">
        <v>1556.44</v>
      </c>
      <c r="AR52" s="228">
        <v>0</v>
      </c>
      <c r="AS52" s="228">
        <v>711</v>
      </c>
      <c r="AT52" s="230">
        <v>1201</v>
      </c>
      <c r="AU52" s="228">
        <v>-490</v>
      </c>
      <c r="AV52" s="229">
        <v>-0.40789999999999998</v>
      </c>
      <c r="AW52" s="228">
        <v>302</v>
      </c>
      <c r="AX52" s="228">
        <v>567</v>
      </c>
      <c r="AY52" s="228">
        <v>-265</v>
      </c>
      <c r="AZ52" s="229">
        <v>-0.46729999999999999</v>
      </c>
      <c r="BA52" s="228">
        <v>405</v>
      </c>
      <c r="BB52" s="228">
        <v>631</v>
      </c>
      <c r="BC52" s="228">
        <v>-226</v>
      </c>
      <c r="BD52" s="229">
        <v>-0.3584</v>
      </c>
      <c r="BE52" s="228">
        <v>5</v>
      </c>
      <c r="BF52" s="228">
        <v>4</v>
      </c>
      <c r="BG52" s="228">
        <v>1</v>
      </c>
      <c r="BH52" s="229">
        <v>0.2344</v>
      </c>
      <c r="BI52" s="228">
        <v>576</v>
      </c>
      <c r="BJ52" s="230">
        <v>1029</v>
      </c>
      <c r="BK52" s="228">
        <v>-453</v>
      </c>
      <c r="BL52" s="229">
        <v>-0.44009999999999999</v>
      </c>
      <c r="BM52" s="228">
        <v>584</v>
      </c>
      <c r="BN52" s="228">
        <v>613</v>
      </c>
      <c r="BO52" s="228">
        <v>-29</v>
      </c>
      <c r="BP52" s="229">
        <v>-4.7100000000000003E-2</v>
      </c>
      <c r="BQ52" s="230">
        <v>1872</v>
      </c>
      <c r="BR52" s="230">
        <v>2843</v>
      </c>
      <c r="BS52" s="228">
        <v>-972</v>
      </c>
      <c r="BT52" s="229">
        <v>-0.34179999999999999</v>
      </c>
      <c r="BU52" s="230">
        <v>2515103</v>
      </c>
      <c r="BV52" s="230">
        <v>1428250</v>
      </c>
      <c r="BW52" s="230">
        <v>1086853</v>
      </c>
      <c r="BX52" s="229">
        <v>0.76100000000000001</v>
      </c>
      <c r="BY52" s="230">
        <v>1855</v>
      </c>
      <c r="BZ52" s="230">
        <v>1955</v>
      </c>
      <c r="CA52" s="228">
        <v>-100</v>
      </c>
      <c r="CB52" s="229">
        <v>-5.1400000000000001E-2</v>
      </c>
      <c r="CC52" s="228">
        <v>77</v>
      </c>
      <c r="CD52" s="228">
        <v>255</v>
      </c>
      <c r="CE52" s="228">
        <v>-178</v>
      </c>
      <c r="CF52" s="229">
        <v>-0.69679999999999997</v>
      </c>
      <c r="CG52" s="230">
        <v>1822</v>
      </c>
      <c r="CH52" s="230">
        <v>1668</v>
      </c>
      <c r="CI52" s="228">
        <v>154</v>
      </c>
      <c r="CJ52" s="229">
        <v>9.2399999999999996E-2</v>
      </c>
      <c r="CK52" s="228">
        <v>33</v>
      </c>
      <c r="CL52" s="228">
        <v>32</v>
      </c>
      <c r="CM52" s="228">
        <v>1</v>
      </c>
      <c r="CN52" s="229">
        <v>2.58E-2</v>
      </c>
      <c r="CO52" s="228">
        <v>229</v>
      </c>
      <c r="CP52" s="228">
        <v>917</v>
      </c>
      <c r="CQ52" s="228">
        <v>-689</v>
      </c>
      <c r="CR52" s="229">
        <v>-0.75080000000000002</v>
      </c>
      <c r="CS52" s="228">
        <v>150</v>
      </c>
      <c r="CT52" s="228">
        <v>615</v>
      </c>
      <c r="CU52" s="228">
        <v>-464</v>
      </c>
      <c r="CV52" s="229">
        <v>-0.75539999999999996</v>
      </c>
      <c r="CW52" s="230">
        <v>2234</v>
      </c>
      <c r="CX52" s="230">
        <v>3487</v>
      </c>
      <c r="CY52" s="230">
        <v>-1253</v>
      </c>
      <c r="CZ52" s="229">
        <v>-0.35949999999999999</v>
      </c>
      <c r="DA52" s="228">
        <v>21.58</v>
      </c>
      <c r="DB52" s="228">
        <v>22.08</v>
      </c>
      <c r="DC52" s="228">
        <v>-0.5</v>
      </c>
      <c r="DD52" s="228">
        <v>-0.5</v>
      </c>
      <c r="DE52" s="228">
        <v>27.27</v>
      </c>
      <c r="DF52" s="228">
        <v>27.33</v>
      </c>
      <c r="DG52" s="228">
        <v>-5.69</v>
      </c>
      <c r="DH52" s="228">
        <v>-0.06</v>
      </c>
      <c r="DI52" s="228">
        <v>21.29</v>
      </c>
      <c r="DJ52" s="228">
        <v>22.04</v>
      </c>
      <c r="DK52" s="228">
        <v>-0.75</v>
      </c>
      <c r="DL52" s="228">
        <v>-0.75</v>
      </c>
      <c r="DM52" s="228">
        <v>21.89</v>
      </c>
      <c r="DN52" s="228">
        <v>22.16</v>
      </c>
      <c r="DO52" s="228">
        <v>-0.27</v>
      </c>
      <c r="DP52" s="228">
        <v>-0.27</v>
      </c>
      <c r="DQ52" s="228">
        <v>0.66</v>
      </c>
      <c r="DR52" s="228">
        <v>0.67</v>
      </c>
      <c r="DS52" s="228">
        <v>-0.01</v>
      </c>
      <c r="DT52" s="229">
        <v>-1.49E-2</v>
      </c>
      <c r="DU52" s="231">
        <v>1600</v>
      </c>
      <c r="DV52" s="231">
        <v>1480</v>
      </c>
      <c r="DW52" s="228">
        <v>1.01</v>
      </c>
      <c r="DX52" s="228">
        <v>0.6</v>
      </c>
      <c r="DY52" s="228">
        <v>0.41</v>
      </c>
      <c r="DZ52" s="229">
        <v>0.68330000000000002</v>
      </c>
      <c r="EA52" s="229">
        <v>0.95989999999999998</v>
      </c>
      <c r="EB52" s="230">
        <v>10889250</v>
      </c>
      <c r="EC52" s="229">
        <v>3.0999999999999999E-3</v>
      </c>
      <c r="ED52" s="229">
        <v>0.95989999999999998</v>
      </c>
      <c r="EE52" s="228">
        <v>7.52</v>
      </c>
      <c r="EF52" s="229">
        <v>4.8999999999999998E-3</v>
      </c>
      <c r="EG52" s="230">
        <v>1620191</v>
      </c>
      <c r="EH52" s="230">
        <v>814260</v>
      </c>
      <c r="EI52" s="229">
        <v>0.98980000000000001</v>
      </c>
      <c r="EJ52" s="229">
        <v>0.64419999999999999</v>
      </c>
      <c r="EK52" s="228">
        <v>588.97</v>
      </c>
      <c r="EL52" s="228">
        <v>572.65</v>
      </c>
      <c r="EM52" s="228">
        <v>707.84</v>
      </c>
      <c r="EN52" s="228">
        <v>0</v>
      </c>
      <c r="EO52" s="231">
        <v>1869.46</v>
      </c>
      <c r="EP52" s="231">
        <v>2865.3</v>
      </c>
      <c r="EQ52" s="228">
        <v>-995.84</v>
      </c>
      <c r="ER52" s="229">
        <v>-0.34760000000000002</v>
      </c>
      <c r="ES52" s="228">
        <v>234.47</v>
      </c>
      <c r="ET52" s="228">
        <v>144.37</v>
      </c>
      <c r="EU52" s="231">
        <v>1854.75</v>
      </c>
      <c r="EV52" s="231">
        <v>114117893</v>
      </c>
      <c r="EW52" s="231">
        <v>2233.59</v>
      </c>
      <c r="EX52" s="231">
        <v>3483.07</v>
      </c>
      <c r="EY52" s="231">
        <v>-1249.48</v>
      </c>
      <c r="EZ52" s="229">
        <v>-0.35870000000000002</v>
      </c>
      <c r="FA52" s="229">
        <v>0.12540000000000001</v>
      </c>
      <c r="FB52" s="227" t="s">
        <v>568</v>
      </c>
      <c r="FC52">
        <f t="shared" si="0"/>
        <v>1778</v>
      </c>
    </row>
    <row r="53" spans="1:159" ht="17.25" thickBot="1" x14ac:dyDescent="0.3">
      <c r="A53" s="226">
        <v>45869</v>
      </c>
      <c r="B53" s="227" t="s">
        <v>227</v>
      </c>
      <c r="C53" s="227" t="s">
        <v>200</v>
      </c>
      <c r="D53" s="228">
        <v>1350</v>
      </c>
      <c r="E53" s="228">
        <v>0</v>
      </c>
      <c r="F53" s="228">
        <v>370.7</v>
      </c>
      <c r="G53" s="228">
        <v>375.85</v>
      </c>
      <c r="H53" s="228">
        <v>-5.15</v>
      </c>
      <c r="I53" s="229">
        <v>-1.37E-2</v>
      </c>
      <c r="J53" s="228">
        <v>376.35</v>
      </c>
      <c r="K53" s="228">
        <v>379.9</v>
      </c>
      <c r="L53" s="228">
        <v>-3.55</v>
      </c>
      <c r="M53" s="229">
        <v>-9.2999999999999992E-3</v>
      </c>
      <c r="N53" s="228">
        <v>375.95</v>
      </c>
      <c r="O53" s="228">
        <v>379.75</v>
      </c>
      <c r="P53" s="228">
        <v>-3.8</v>
      </c>
      <c r="Q53" s="229">
        <v>-0.01</v>
      </c>
      <c r="R53" s="228">
        <v>370.7</v>
      </c>
      <c r="S53" s="228">
        <v>375.85</v>
      </c>
      <c r="T53" s="228">
        <v>-5.15</v>
      </c>
      <c r="U53" s="229">
        <v>-1.37E-2</v>
      </c>
      <c r="V53" s="228">
        <v>371.85</v>
      </c>
      <c r="W53" s="228">
        <v>377.3</v>
      </c>
      <c r="X53" s="228">
        <v>-5.45</v>
      </c>
      <c r="Y53" s="229">
        <v>-1.44E-2</v>
      </c>
      <c r="Z53" s="228">
        <v>-5.65</v>
      </c>
      <c r="AA53" s="228">
        <v>-0.15</v>
      </c>
      <c r="AB53" s="228">
        <v>-5.5</v>
      </c>
      <c r="AC53" s="229">
        <v>-1.4999999999999999E-2</v>
      </c>
      <c r="AD53" s="228">
        <v>-0.4</v>
      </c>
      <c r="AE53" s="228">
        <v>-0.15</v>
      </c>
      <c r="AF53" s="228">
        <v>-0.25</v>
      </c>
      <c r="AG53" s="229">
        <v>-1.1000000000000001E-3</v>
      </c>
      <c r="AH53" s="228">
        <v>-5.65</v>
      </c>
      <c r="AI53" s="228">
        <v>-4.05</v>
      </c>
      <c r="AJ53" s="228">
        <v>-1.6</v>
      </c>
      <c r="AK53" s="229">
        <v>-1.4999999999999999E-2</v>
      </c>
      <c r="AL53" s="228">
        <v>-4.5</v>
      </c>
      <c r="AM53" s="228">
        <v>-2.6</v>
      </c>
      <c r="AN53" s="228">
        <v>-1.9</v>
      </c>
      <c r="AO53" s="229">
        <v>-1.2E-2</v>
      </c>
      <c r="AP53" s="228">
        <v>376.17</v>
      </c>
      <c r="AQ53" s="228">
        <v>372.15</v>
      </c>
      <c r="AR53" s="228">
        <v>0</v>
      </c>
      <c r="AS53" s="230">
        <v>1386</v>
      </c>
      <c r="AT53" s="230">
        <v>1703</v>
      </c>
      <c r="AU53" s="228">
        <v>-317</v>
      </c>
      <c r="AV53" s="229">
        <v>-0.18590000000000001</v>
      </c>
      <c r="AW53" s="228">
        <v>588</v>
      </c>
      <c r="AX53" s="228">
        <v>820</v>
      </c>
      <c r="AY53" s="228">
        <v>-232</v>
      </c>
      <c r="AZ53" s="229">
        <v>-0.28270000000000001</v>
      </c>
      <c r="BA53" s="228">
        <v>757</v>
      </c>
      <c r="BB53" s="228">
        <v>858</v>
      </c>
      <c r="BC53" s="228">
        <v>-101</v>
      </c>
      <c r="BD53" s="229">
        <v>-0.11799999999999999</v>
      </c>
      <c r="BE53" s="228">
        <v>42</v>
      </c>
      <c r="BF53" s="228">
        <v>25</v>
      </c>
      <c r="BG53" s="228">
        <v>16</v>
      </c>
      <c r="BH53" s="229">
        <v>0.64170000000000005</v>
      </c>
      <c r="BI53" s="230">
        <v>1042</v>
      </c>
      <c r="BJ53" s="228">
        <v>835</v>
      </c>
      <c r="BK53" s="228">
        <v>207</v>
      </c>
      <c r="BL53" s="229">
        <v>0.2475</v>
      </c>
      <c r="BM53" s="228">
        <v>724</v>
      </c>
      <c r="BN53" s="228">
        <v>622</v>
      </c>
      <c r="BO53" s="228">
        <v>102</v>
      </c>
      <c r="BP53" s="229">
        <v>0.1633</v>
      </c>
      <c r="BQ53" s="230">
        <v>3152</v>
      </c>
      <c r="BR53" s="230">
        <v>3160</v>
      </c>
      <c r="BS53" s="228">
        <v>-8</v>
      </c>
      <c r="BT53" s="229">
        <v>-2.5999999999999999E-3</v>
      </c>
      <c r="BU53" s="230">
        <v>6591622</v>
      </c>
      <c r="BV53" s="230">
        <v>5648966</v>
      </c>
      <c r="BW53" s="230">
        <v>942656</v>
      </c>
      <c r="BX53" s="229">
        <v>0.16689999999999999</v>
      </c>
      <c r="BY53" s="230">
        <v>2681</v>
      </c>
      <c r="BZ53" s="230">
        <v>2852</v>
      </c>
      <c r="CA53" s="228">
        <v>-171</v>
      </c>
      <c r="CB53" s="229">
        <v>-5.9799999999999999E-2</v>
      </c>
      <c r="CC53" s="228">
        <v>373</v>
      </c>
      <c r="CD53" s="228">
        <v>471</v>
      </c>
      <c r="CE53" s="228">
        <v>-98</v>
      </c>
      <c r="CF53" s="229">
        <v>-0.20760000000000001</v>
      </c>
      <c r="CG53" s="230">
        <v>2617</v>
      </c>
      <c r="CH53" s="230">
        <v>2331</v>
      </c>
      <c r="CI53" s="228">
        <v>286</v>
      </c>
      <c r="CJ53" s="229">
        <v>0.12280000000000001</v>
      </c>
      <c r="CK53" s="228">
        <v>64</v>
      </c>
      <c r="CL53" s="228">
        <v>50</v>
      </c>
      <c r="CM53" s="228">
        <v>14</v>
      </c>
      <c r="CN53" s="229">
        <v>0.28370000000000001</v>
      </c>
      <c r="CO53" s="228">
        <v>755</v>
      </c>
      <c r="CP53" s="230">
        <v>1452</v>
      </c>
      <c r="CQ53" s="228">
        <v>-698</v>
      </c>
      <c r="CR53" s="229">
        <v>-0.48039999999999999</v>
      </c>
      <c r="CS53" s="228">
        <v>767</v>
      </c>
      <c r="CT53" s="230">
        <v>1089</v>
      </c>
      <c r="CU53" s="228">
        <v>-322</v>
      </c>
      <c r="CV53" s="229">
        <v>-0.2954</v>
      </c>
      <c r="CW53" s="230">
        <v>4203</v>
      </c>
      <c r="CX53" s="230">
        <v>5393</v>
      </c>
      <c r="CY53" s="230">
        <v>-1190</v>
      </c>
      <c r="CZ53" s="229">
        <v>-0.22059999999999999</v>
      </c>
      <c r="DA53" s="228">
        <v>21.81</v>
      </c>
      <c r="DB53" s="228">
        <v>21.78</v>
      </c>
      <c r="DC53" s="228">
        <v>0.03</v>
      </c>
      <c r="DD53" s="228">
        <v>0.03</v>
      </c>
      <c r="DE53" s="228">
        <v>31.64</v>
      </c>
      <c r="DF53" s="228">
        <v>31.66</v>
      </c>
      <c r="DG53" s="228">
        <v>-9.83</v>
      </c>
      <c r="DH53" s="228">
        <v>-0.02</v>
      </c>
      <c r="DI53" s="228">
        <v>22.28</v>
      </c>
      <c r="DJ53" s="228">
        <v>21.93</v>
      </c>
      <c r="DK53" s="228">
        <v>0.35</v>
      </c>
      <c r="DL53" s="228">
        <v>0.35</v>
      </c>
      <c r="DM53" s="228">
        <v>21.11</v>
      </c>
      <c r="DN53" s="228">
        <v>21.59</v>
      </c>
      <c r="DO53" s="228">
        <v>-0.48</v>
      </c>
      <c r="DP53" s="228">
        <v>-0.48</v>
      </c>
      <c r="DQ53" s="228">
        <v>1.02</v>
      </c>
      <c r="DR53" s="228">
        <v>0.75</v>
      </c>
      <c r="DS53" s="228">
        <v>0.27</v>
      </c>
      <c r="DT53" s="229">
        <v>0.36</v>
      </c>
      <c r="DU53" s="228">
        <v>400</v>
      </c>
      <c r="DV53" s="228">
        <v>370</v>
      </c>
      <c r="DW53" s="228">
        <v>0.69</v>
      </c>
      <c r="DX53" s="228">
        <v>0.75</v>
      </c>
      <c r="DY53" s="228">
        <v>-0.06</v>
      </c>
      <c r="DZ53" s="229">
        <v>-0.08</v>
      </c>
      <c r="EA53" s="229">
        <v>0.87780000000000002</v>
      </c>
      <c r="EB53" s="230">
        <v>64227600</v>
      </c>
      <c r="EC53" s="229">
        <v>-1.4E-2</v>
      </c>
      <c r="ED53" s="229">
        <v>0.87780000000000002</v>
      </c>
      <c r="EE53" s="228">
        <v>-4.0199999999999996</v>
      </c>
      <c r="EF53" s="229">
        <v>-1.0699999999999999E-2</v>
      </c>
      <c r="EG53" s="230">
        <v>4062231</v>
      </c>
      <c r="EH53" s="230">
        <v>3153307</v>
      </c>
      <c r="EI53" s="229">
        <v>0.28820000000000001</v>
      </c>
      <c r="EJ53" s="229">
        <v>0.61629999999999996</v>
      </c>
      <c r="EK53" s="231">
        <v>1098.33</v>
      </c>
      <c r="EL53" s="228">
        <v>743.21</v>
      </c>
      <c r="EM53" s="231">
        <v>1398.18</v>
      </c>
      <c r="EN53" s="228">
        <v>0</v>
      </c>
      <c r="EO53" s="231">
        <v>3239.72</v>
      </c>
      <c r="EP53" s="231">
        <v>3278.65</v>
      </c>
      <c r="EQ53" s="228">
        <v>-38.93</v>
      </c>
      <c r="ER53" s="229">
        <v>-1.1900000000000001E-2</v>
      </c>
      <c r="ES53" s="228">
        <v>799.19</v>
      </c>
      <c r="ET53" s="228">
        <v>793.71</v>
      </c>
      <c r="EU53" s="231">
        <v>2681.63</v>
      </c>
      <c r="EV53" s="231">
        <v>454398477</v>
      </c>
      <c r="EW53" s="231">
        <v>4274.53</v>
      </c>
      <c r="EX53" s="231">
        <v>5594.8</v>
      </c>
      <c r="EY53" s="231">
        <v>-1320.27</v>
      </c>
      <c r="EZ53" s="229">
        <v>-0.23599999999999999</v>
      </c>
      <c r="FA53" s="229">
        <v>0.2495</v>
      </c>
      <c r="FB53" s="227" t="s">
        <v>568</v>
      </c>
      <c r="FC53">
        <f t="shared" si="0"/>
        <v>2308</v>
      </c>
    </row>
    <row r="54" spans="1:159" ht="17.25" thickBot="1" x14ac:dyDescent="0.3">
      <c r="A54" s="226">
        <v>45869</v>
      </c>
      <c r="B54" s="227" t="s">
        <v>221</v>
      </c>
      <c r="C54" s="227" t="s">
        <v>470</v>
      </c>
      <c r="D54" s="228">
        <v>375</v>
      </c>
      <c r="E54" s="228">
        <v>0</v>
      </c>
      <c r="F54" s="231">
        <v>1752.6</v>
      </c>
      <c r="G54" s="231">
        <v>1752.6</v>
      </c>
      <c r="H54" s="228">
        <v>0</v>
      </c>
      <c r="I54" s="229">
        <v>0</v>
      </c>
      <c r="J54" s="231">
        <v>1748.2</v>
      </c>
      <c r="K54" s="231">
        <v>1749.5</v>
      </c>
      <c r="L54" s="228">
        <v>-1.3</v>
      </c>
      <c r="M54" s="229">
        <v>-6.9999999999999999E-4</v>
      </c>
      <c r="N54" s="231">
        <v>1743.2</v>
      </c>
      <c r="O54" s="231">
        <v>1743.8</v>
      </c>
      <c r="P54" s="228">
        <v>-0.6</v>
      </c>
      <c r="Q54" s="229">
        <v>-2.9999999999999997E-4</v>
      </c>
      <c r="R54" s="231">
        <v>1752.6</v>
      </c>
      <c r="S54" s="231">
        <v>1752.6</v>
      </c>
      <c r="T54" s="228">
        <v>0</v>
      </c>
      <c r="U54" s="229">
        <v>0</v>
      </c>
      <c r="V54" s="231">
        <v>1759.1</v>
      </c>
      <c r="W54" s="231">
        <v>1760</v>
      </c>
      <c r="X54" s="228">
        <v>-0.9</v>
      </c>
      <c r="Y54" s="229">
        <v>-5.0000000000000001E-4</v>
      </c>
      <c r="Z54" s="228">
        <v>4.4000000000000004</v>
      </c>
      <c r="AA54" s="228">
        <v>-5.7</v>
      </c>
      <c r="AB54" s="228">
        <v>10.1</v>
      </c>
      <c r="AC54" s="229">
        <v>2.5000000000000001E-3</v>
      </c>
      <c r="AD54" s="228">
        <v>-5</v>
      </c>
      <c r="AE54" s="228">
        <v>-5.7</v>
      </c>
      <c r="AF54" s="228">
        <v>0.7</v>
      </c>
      <c r="AG54" s="229">
        <v>-2.8999999999999998E-3</v>
      </c>
      <c r="AH54" s="228">
        <v>4.4000000000000004</v>
      </c>
      <c r="AI54" s="228">
        <v>3.1</v>
      </c>
      <c r="AJ54" s="228">
        <v>1.3</v>
      </c>
      <c r="AK54" s="229">
        <v>2.5000000000000001E-3</v>
      </c>
      <c r="AL54" s="228">
        <v>10.9</v>
      </c>
      <c r="AM54" s="228">
        <v>10.5</v>
      </c>
      <c r="AN54" s="228">
        <v>0.4</v>
      </c>
      <c r="AO54" s="229">
        <v>6.1999999999999998E-3</v>
      </c>
      <c r="AP54" s="231">
        <v>1733.11</v>
      </c>
      <c r="AQ54" s="231">
        <v>1740.72</v>
      </c>
      <c r="AR54" s="228">
        <v>0</v>
      </c>
      <c r="AS54" s="230">
        <v>1690</v>
      </c>
      <c r="AT54" s="230">
        <v>1845</v>
      </c>
      <c r="AU54" s="228">
        <v>-155</v>
      </c>
      <c r="AV54" s="229">
        <v>-8.3799999999999999E-2</v>
      </c>
      <c r="AW54" s="228">
        <v>751</v>
      </c>
      <c r="AX54" s="228">
        <v>862</v>
      </c>
      <c r="AY54" s="228">
        <v>-111</v>
      </c>
      <c r="AZ54" s="229">
        <v>-0.12839999999999999</v>
      </c>
      <c r="BA54" s="228">
        <v>927</v>
      </c>
      <c r="BB54" s="228">
        <v>975</v>
      </c>
      <c r="BC54" s="228">
        <v>-48</v>
      </c>
      <c r="BD54" s="229">
        <v>-4.8800000000000003E-2</v>
      </c>
      <c r="BE54" s="228">
        <v>11</v>
      </c>
      <c r="BF54" s="228">
        <v>8</v>
      </c>
      <c r="BG54" s="228">
        <v>4</v>
      </c>
      <c r="BH54" s="229">
        <v>0.4914</v>
      </c>
      <c r="BI54" s="230">
        <v>1572</v>
      </c>
      <c r="BJ54" s="230">
        <v>2541</v>
      </c>
      <c r="BK54" s="228">
        <v>-969</v>
      </c>
      <c r="BL54" s="229">
        <v>-0.38129999999999997</v>
      </c>
      <c r="BM54" s="228">
        <v>685</v>
      </c>
      <c r="BN54" s="228">
        <v>743</v>
      </c>
      <c r="BO54" s="228">
        <v>-58</v>
      </c>
      <c r="BP54" s="229">
        <v>-7.8299999999999995E-2</v>
      </c>
      <c r="BQ54" s="230">
        <v>3947</v>
      </c>
      <c r="BR54" s="230">
        <v>5129</v>
      </c>
      <c r="BS54" s="230">
        <v>-1182</v>
      </c>
      <c r="BT54" s="229">
        <v>-0.23039999999999999</v>
      </c>
      <c r="BU54" s="230">
        <v>2900859</v>
      </c>
      <c r="BV54" s="230">
        <v>1993799</v>
      </c>
      <c r="BW54" s="230">
        <v>907060</v>
      </c>
      <c r="BX54" s="229">
        <v>0.45490000000000003</v>
      </c>
      <c r="BY54" s="230">
        <v>2591</v>
      </c>
      <c r="BZ54" s="230">
        <v>3078</v>
      </c>
      <c r="CA54" s="228">
        <v>-487</v>
      </c>
      <c r="CB54" s="229">
        <v>-0.15809999999999999</v>
      </c>
      <c r="CC54" s="228">
        <v>209</v>
      </c>
      <c r="CD54" s="228">
        <v>670</v>
      </c>
      <c r="CE54" s="228">
        <v>-461</v>
      </c>
      <c r="CF54" s="229">
        <v>-0.68820000000000003</v>
      </c>
      <c r="CG54" s="230">
        <v>2567</v>
      </c>
      <c r="CH54" s="230">
        <v>2385</v>
      </c>
      <c r="CI54" s="228">
        <v>181</v>
      </c>
      <c r="CJ54" s="229">
        <v>7.5999999999999998E-2</v>
      </c>
      <c r="CK54" s="228">
        <v>25</v>
      </c>
      <c r="CL54" s="228">
        <v>23</v>
      </c>
      <c r="CM54" s="228">
        <v>1</v>
      </c>
      <c r="CN54" s="229">
        <v>6.2100000000000002E-2</v>
      </c>
      <c r="CO54" s="228">
        <v>471</v>
      </c>
      <c r="CP54" s="230">
        <v>1552</v>
      </c>
      <c r="CQ54" s="230">
        <v>-1082</v>
      </c>
      <c r="CR54" s="229">
        <v>-0.69679999999999997</v>
      </c>
      <c r="CS54" s="228">
        <v>301</v>
      </c>
      <c r="CT54" s="228">
        <v>671</v>
      </c>
      <c r="CU54" s="228">
        <v>-369</v>
      </c>
      <c r="CV54" s="229">
        <v>-0.55069999999999997</v>
      </c>
      <c r="CW54" s="230">
        <v>3363</v>
      </c>
      <c r="CX54" s="230">
        <v>5301</v>
      </c>
      <c r="CY54" s="230">
        <v>-1938</v>
      </c>
      <c r="CZ54" s="229">
        <v>-0.36549999999999999</v>
      </c>
      <c r="DA54" s="228">
        <v>30.77</v>
      </c>
      <c r="DB54" s="228">
        <v>32.25</v>
      </c>
      <c r="DC54" s="228">
        <v>-1.48</v>
      </c>
      <c r="DD54" s="228">
        <v>-1.48</v>
      </c>
      <c r="DE54" s="228">
        <v>43.76</v>
      </c>
      <c r="DF54" s="228">
        <v>43.87</v>
      </c>
      <c r="DG54" s="228">
        <v>-12.99</v>
      </c>
      <c r="DH54" s="228">
        <v>-0.11</v>
      </c>
      <c r="DI54" s="228">
        <v>30.54</v>
      </c>
      <c r="DJ54" s="228">
        <v>32.17</v>
      </c>
      <c r="DK54" s="228">
        <v>-1.63</v>
      </c>
      <c r="DL54" s="228">
        <v>-1.63</v>
      </c>
      <c r="DM54" s="228">
        <v>31.23</v>
      </c>
      <c r="DN54" s="228">
        <v>32.49</v>
      </c>
      <c r="DO54" s="228">
        <v>-1.26</v>
      </c>
      <c r="DP54" s="228">
        <v>-1.26</v>
      </c>
      <c r="DQ54" s="228">
        <v>0.64</v>
      </c>
      <c r="DR54" s="228">
        <v>0.43</v>
      </c>
      <c r="DS54" s="228">
        <v>0.21</v>
      </c>
      <c r="DT54" s="229">
        <v>0.4884</v>
      </c>
      <c r="DU54" s="231">
        <v>1900</v>
      </c>
      <c r="DV54" s="231">
        <v>1700</v>
      </c>
      <c r="DW54" s="228">
        <v>0.44</v>
      </c>
      <c r="DX54" s="228">
        <v>0.28999999999999998</v>
      </c>
      <c r="DY54" s="228">
        <v>0.15</v>
      </c>
      <c r="DZ54" s="229">
        <v>0.51719999999999999</v>
      </c>
      <c r="EA54" s="229">
        <v>0.92549999999999999</v>
      </c>
      <c r="EB54" s="230">
        <v>13742250</v>
      </c>
      <c r="EC54" s="229">
        <v>5.4000000000000003E-3</v>
      </c>
      <c r="ED54" s="229">
        <v>0.92549999999999999</v>
      </c>
      <c r="EE54" s="228">
        <v>7.61</v>
      </c>
      <c r="EF54" s="229">
        <v>4.4000000000000003E-3</v>
      </c>
      <c r="EG54" s="230">
        <v>1645606</v>
      </c>
      <c r="EH54" s="230">
        <v>1106192</v>
      </c>
      <c r="EI54" s="229">
        <v>0.48759999999999998</v>
      </c>
      <c r="EJ54" s="229">
        <v>0.56730000000000003</v>
      </c>
      <c r="EK54" s="231">
        <v>1645.32</v>
      </c>
      <c r="EL54" s="228">
        <v>682.85</v>
      </c>
      <c r="EM54" s="231">
        <v>1675.58</v>
      </c>
      <c r="EN54" s="228">
        <v>0</v>
      </c>
      <c r="EO54" s="231">
        <v>4003.75</v>
      </c>
      <c r="EP54" s="231">
        <v>5183.32</v>
      </c>
      <c r="EQ54" s="231">
        <v>-1179.56</v>
      </c>
      <c r="ER54" s="229">
        <v>-0.2276</v>
      </c>
      <c r="ES54" s="228">
        <v>493.52</v>
      </c>
      <c r="ET54" s="228">
        <v>287.01</v>
      </c>
      <c r="EU54" s="231">
        <v>2591.4</v>
      </c>
      <c r="EV54" s="231">
        <v>66878856</v>
      </c>
      <c r="EW54" s="231">
        <v>3371.93</v>
      </c>
      <c r="EX54" s="231">
        <v>5404.09</v>
      </c>
      <c r="EY54" s="231">
        <v>-2032.16</v>
      </c>
      <c r="EZ54" s="229">
        <v>-0.376</v>
      </c>
      <c r="FA54" s="229">
        <v>0.28689999999999999</v>
      </c>
      <c r="FB54" s="227" t="s">
        <v>237</v>
      </c>
      <c r="FC54">
        <f t="shared" si="0"/>
        <v>2382</v>
      </c>
    </row>
    <row r="55" spans="1:159" ht="17.25" thickBot="1" x14ac:dyDescent="0.3">
      <c r="A55" s="226">
        <v>45869</v>
      </c>
      <c r="B55" s="227" t="s">
        <v>168</v>
      </c>
      <c r="C55" s="227" t="s">
        <v>201</v>
      </c>
      <c r="D55" s="228">
        <v>225</v>
      </c>
      <c r="E55" s="228">
        <v>0</v>
      </c>
      <c r="F55" s="231">
        <v>2258</v>
      </c>
      <c r="G55" s="231">
        <v>2248.9</v>
      </c>
      <c r="H55" s="228">
        <v>9.1</v>
      </c>
      <c r="I55" s="229">
        <v>4.0000000000000001E-3</v>
      </c>
      <c r="J55" s="231">
        <v>2245.3000000000002</v>
      </c>
      <c r="K55" s="231">
        <v>2237.1</v>
      </c>
      <c r="L55" s="228">
        <v>8.1999999999999993</v>
      </c>
      <c r="M55" s="229">
        <v>3.7000000000000002E-3</v>
      </c>
      <c r="N55" s="231">
        <v>2244.3000000000002</v>
      </c>
      <c r="O55" s="231">
        <v>2239.6999999999998</v>
      </c>
      <c r="P55" s="228">
        <v>4.5999999999999996</v>
      </c>
      <c r="Q55" s="229">
        <v>2.0999999999999999E-3</v>
      </c>
      <c r="R55" s="231">
        <v>2258</v>
      </c>
      <c r="S55" s="231">
        <v>2248.9</v>
      </c>
      <c r="T55" s="228">
        <v>9.1</v>
      </c>
      <c r="U55" s="229">
        <v>4.0000000000000001E-3</v>
      </c>
      <c r="V55" s="231">
        <v>2269.6</v>
      </c>
      <c r="W55" s="231">
        <v>2261.6999999999998</v>
      </c>
      <c r="X55" s="228">
        <v>7.9</v>
      </c>
      <c r="Y55" s="229">
        <v>3.5000000000000001E-3</v>
      </c>
      <c r="Z55" s="228">
        <v>12.7</v>
      </c>
      <c r="AA55" s="228">
        <v>2.6</v>
      </c>
      <c r="AB55" s="228">
        <v>10.1</v>
      </c>
      <c r="AC55" s="229">
        <v>5.7000000000000002E-3</v>
      </c>
      <c r="AD55" s="228">
        <v>-1</v>
      </c>
      <c r="AE55" s="228">
        <v>2.6</v>
      </c>
      <c r="AF55" s="228">
        <v>-3.6</v>
      </c>
      <c r="AG55" s="229">
        <v>-4.0000000000000002E-4</v>
      </c>
      <c r="AH55" s="228">
        <v>12.7</v>
      </c>
      <c r="AI55" s="228">
        <v>11.8</v>
      </c>
      <c r="AJ55" s="228">
        <v>0.9</v>
      </c>
      <c r="AK55" s="229">
        <v>5.7000000000000002E-3</v>
      </c>
      <c r="AL55" s="228">
        <v>24.3</v>
      </c>
      <c r="AM55" s="228">
        <v>24.6</v>
      </c>
      <c r="AN55" s="228">
        <v>-0.3</v>
      </c>
      <c r="AO55" s="229">
        <v>1.0800000000000001E-2</v>
      </c>
      <c r="AP55" s="231">
        <v>2238.19</v>
      </c>
      <c r="AQ55" s="231">
        <v>2250.65</v>
      </c>
      <c r="AR55" s="228">
        <v>0</v>
      </c>
      <c r="AS55" s="228">
        <v>626</v>
      </c>
      <c r="AT55" s="228">
        <v>703</v>
      </c>
      <c r="AU55" s="228">
        <v>-77</v>
      </c>
      <c r="AV55" s="229">
        <v>-0.1089</v>
      </c>
      <c r="AW55" s="228">
        <v>282</v>
      </c>
      <c r="AX55" s="228">
        <v>322</v>
      </c>
      <c r="AY55" s="228">
        <v>-40</v>
      </c>
      <c r="AZ55" s="229">
        <v>-0.12429999999999999</v>
      </c>
      <c r="BA55" s="228">
        <v>334</v>
      </c>
      <c r="BB55" s="228">
        <v>370</v>
      </c>
      <c r="BC55" s="228">
        <v>-36</v>
      </c>
      <c r="BD55" s="229">
        <v>-9.74E-2</v>
      </c>
      <c r="BE55" s="228">
        <v>11</v>
      </c>
      <c r="BF55" s="228">
        <v>11</v>
      </c>
      <c r="BG55" s="228">
        <v>-1</v>
      </c>
      <c r="BH55" s="229">
        <v>-4.4200000000000003E-2</v>
      </c>
      <c r="BI55" s="228">
        <v>565</v>
      </c>
      <c r="BJ55" s="228">
        <v>556</v>
      </c>
      <c r="BK55" s="228">
        <v>9</v>
      </c>
      <c r="BL55" s="229">
        <v>1.66E-2</v>
      </c>
      <c r="BM55" s="228">
        <v>288</v>
      </c>
      <c r="BN55" s="228">
        <v>195</v>
      </c>
      <c r="BO55" s="228">
        <v>93</v>
      </c>
      <c r="BP55" s="229">
        <v>0.47839999999999999</v>
      </c>
      <c r="BQ55" s="230">
        <v>1480</v>
      </c>
      <c r="BR55" s="230">
        <v>1454</v>
      </c>
      <c r="BS55" s="228">
        <v>26</v>
      </c>
      <c r="BT55" s="229">
        <v>1.7899999999999999E-2</v>
      </c>
      <c r="BU55" s="230">
        <v>702509</v>
      </c>
      <c r="BV55" s="230">
        <v>908410</v>
      </c>
      <c r="BW55" s="230">
        <v>-205901</v>
      </c>
      <c r="BX55" s="229">
        <v>-0.22670000000000001</v>
      </c>
      <c r="BY55" s="230">
        <v>1247</v>
      </c>
      <c r="BZ55" s="230">
        <v>1312</v>
      </c>
      <c r="CA55" s="228">
        <v>-65</v>
      </c>
      <c r="CB55" s="229">
        <v>-4.9799999999999997E-2</v>
      </c>
      <c r="CC55" s="228">
        <v>49</v>
      </c>
      <c r="CD55" s="228">
        <v>222</v>
      </c>
      <c r="CE55" s="228">
        <v>-173</v>
      </c>
      <c r="CF55" s="229">
        <v>-0.77880000000000005</v>
      </c>
      <c r="CG55" s="230">
        <v>1203</v>
      </c>
      <c r="CH55" s="230">
        <v>1052</v>
      </c>
      <c r="CI55" s="228">
        <v>151</v>
      </c>
      <c r="CJ55" s="229">
        <v>0.1434</v>
      </c>
      <c r="CK55" s="228">
        <v>44</v>
      </c>
      <c r="CL55" s="228">
        <v>38</v>
      </c>
      <c r="CM55" s="228">
        <v>6</v>
      </c>
      <c r="CN55" s="229">
        <v>0.1547</v>
      </c>
      <c r="CO55" s="228">
        <v>261</v>
      </c>
      <c r="CP55" s="228">
        <v>584</v>
      </c>
      <c r="CQ55" s="228">
        <v>-323</v>
      </c>
      <c r="CR55" s="229">
        <v>-0.55310000000000004</v>
      </c>
      <c r="CS55" s="228">
        <v>226</v>
      </c>
      <c r="CT55" s="228">
        <v>382</v>
      </c>
      <c r="CU55" s="228">
        <v>-156</v>
      </c>
      <c r="CV55" s="229">
        <v>-0.40770000000000001</v>
      </c>
      <c r="CW55" s="230">
        <v>1734</v>
      </c>
      <c r="CX55" s="230">
        <v>2278</v>
      </c>
      <c r="CY55" s="228">
        <v>-544</v>
      </c>
      <c r="CZ55" s="229">
        <v>-0.2389</v>
      </c>
      <c r="DA55" s="228">
        <v>19.97</v>
      </c>
      <c r="DB55" s="228">
        <v>20.239999999999998</v>
      </c>
      <c r="DC55" s="228">
        <v>-0.27</v>
      </c>
      <c r="DD55" s="228">
        <v>-0.27</v>
      </c>
      <c r="DE55" s="228">
        <v>28.86</v>
      </c>
      <c r="DF55" s="228">
        <v>28.93</v>
      </c>
      <c r="DG55" s="228">
        <v>-8.89</v>
      </c>
      <c r="DH55" s="228">
        <v>-7.0000000000000007E-2</v>
      </c>
      <c r="DI55" s="228">
        <v>20</v>
      </c>
      <c r="DJ55" s="228">
        <v>20.52</v>
      </c>
      <c r="DK55" s="228">
        <v>-0.52</v>
      </c>
      <c r="DL55" s="228">
        <v>-0.52</v>
      </c>
      <c r="DM55" s="228">
        <v>19.93</v>
      </c>
      <c r="DN55" s="228">
        <v>19.64</v>
      </c>
      <c r="DO55" s="228">
        <v>0.28999999999999998</v>
      </c>
      <c r="DP55" s="228">
        <v>0.28999999999999998</v>
      </c>
      <c r="DQ55" s="228">
        <v>0.87</v>
      </c>
      <c r="DR55" s="228">
        <v>0.65</v>
      </c>
      <c r="DS55" s="228">
        <v>0.22</v>
      </c>
      <c r="DT55" s="229">
        <v>0.33850000000000002</v>
      </c>
      <c r="DU55" s="231">
        <v>2300</v>
      </c>
      <c r="DV55" s="231">
        <v>2300</v>
      </c>
      <c r="DW55" s="228">
        <v>0.51</v>
      </c>
      <c r="DX55" s="228">
        <v>0.35</v>
      </c>
      <c r="DY55" s="228">
        <v>0.16</v>
      </c>
      <c r="DZ55" s="229">
        <v>0.45710000000000001</v>
      </c>
      <c r="EA55" s="229">
        <v>0.96209999999999996</v>
      </c>
      <c r="EB55" s="230">
        <v>4826475</v>
      </c>
      <c r="EC55" s="229">
        <v>6.1000000000000004E-3</v>
      </c>
      <c r="ED55" s="229">
        <v>0.96209999999999996</v>
      </c>
      <c r="EE55" s="228">
        <v>12.46</v>
      </c>
      <c r="EF55" s="229">
        <v>5.5999999999999999E-3</v>
      </c>
      <c r="EG55" s="230">
        <v>359977</v>
      </c>
      <c r="EH55" s="230">
        <v>601326</v>
      </c>
      <c r="EI55" s="229">
        <v>-0.40139999999999998</v>
      </c>
      <c r="EJ55" s="229">
        <v>0.51239999999999997</v>
      </c>
      <c r="EK55" s="228">
        <v>587.73</v>
      </c>
      <c r="EL55" s="228">
        <v>291.64</v>
      </c>
      <c r="EM55" s="228">
        <v>622.79999999999995</v>
      </c>
      <c r="EN55" s="228">
        <v>0</v>
      </c>
      <c r="EO55" s="231">
        <v>1502.17</v>
      </c>
      <c r="EP55" s="231">
        <v>1466.93</v>
      </c>
      <c r="EQ55" s="228">
        <v>35.24</v>
      </c>
      <c r="ER55" s="229">
        <v>2.4E-2</v>
      </c>
      <c r="ES55" s="228">
        <v>274.11</v>
      </c>
      <c r="ET55" s="228">
        <v>226.09</v>
      </c>
      <c r="EU55" s="231">
        <v>1246.73</v>
      </c>
      <c r="EV55" s="231">
        <v>26654592</v>
      </c>
      <c r="EW55" s="231">
        <v>1746.93</v>
      </c>
      <c r="EX55" s="231">
        <v>2314.9699999999998</v>
      </c>
      <c r="EY55" s="228">
        <v>-568.04</v>
      </c>
      <c r="EZ55" s="229">
        <v>-0.24540000000000001</v>
      </c>
      <c r="FA55" s="229">
        <v>0.28810000000000002</v>
      </c>
      <c r="FB55" s="227" t="s">
        <v>556</v>
      </c>
      <c r="FC55">
        <f t="shared" si="0"/>
        <v>1198</v>
      </c>
    </row>
    <row r="56" spans="1:159" ht="17.25" thickBot="1" x14ac:dyDescent="0.3">
      <c r="A56" s="226">
        <v>45869</v>
      </c>
      <c r="B56" s="227" t="s">
        <v>215</v>
      </c>
      <c r="C56" s="227" t="s">
        <v>202</v>
      </c>
      <c r="D56" s="228">
        <v>1250</v>
      </c>
      <c r="E56" s="228">
        <v>0</v>
      </c>
      <c r="F56" s="228">
        <v>579.4</v>
      </c>
      <c r="G56" s="228">
        <v>587</v>
      </c>
      <c r="H56" s="228">
        <v>-7.6</v>
      </c>
      <c r="I56" s="229">
        <v>-1.29E-2</v>
      </c>
      <c r="J56" s="228">
        <v>578.20000000000005</v>
      </c>
      <c r="K56" s="228">
        <v>585.15</v>
      </c>
      <c r="L56" s="228">
        <v>-6.95</v>
      </c>
      <c r="M56" s="229">
        <v>-1.1900000000000001E-2</v>
      </c>
      <c r="N56" s="228">
        <v>577.04999999999995</v>
      </c>
      <c r="O56" s="228">
        <v>586.6</v>
      </c>
      <c r="P56" s="228">
        <v>-9.5500000000000007</v>
      </c>
      <c r="Q56" s="229">
        <v>-1.6299999999999999E-2</v>
      </c>
      <c r="R56" s="228">
        <v>579.4</v>
      </c>
      <c r="S56" s="228">
        <v>587</v>
      </c>
      <c r="T56" s="228">
        <v>-7.6</v>
      </c>
      <c r="U56" s="229">
        <v>-1.29E-2</v>
      </c>
      <c r="V56" s="228">
        <v>581.5</v>
      </c>
      <c r="W56" s="228">
        <v>589.9</v>
      </c>
      <c r="X56" s="228">
        <v>-8.4</v>
      </c>
      <c r="Y56" s="229">
        <v>-1.4200000000000001E-2</v>
      </c>
      <c r="Z56" s="228">
        <v>1.2</v>
      </c>
      <c r="AA56" s="228">
        <v>1.45</v>
      </c>
      <c r="AB56" s="228">
        <v>-0.25</v>
      </c>
      <c r="AC56" s="229">
        <v>2.0999999999999999E-3</v>
      </c>
      <c r="AD56" s="228">
        <v>-1.1499999999999999</v>
      </c>
      <c r="AE56" s="228">
        <v>1.45</v>
      </c>
      <c r="AF56" s="228">
        <v>-2.6</v>
      </c>
      <c r="AG56" s="229">
        <v>-2E-3</v>
      </c>
      <c r="AH56" s="228">
        <v>1.2</v>
      </c>
      <c r="AI56" s="228">
        <v>1.85</v>
      </c>
      <c r="AJ56" s="228">
        <v>-0.65</v>
      </c>
      <c r="AK56" s="229">
        <v>2.0999999999999999E-3</v>
      </c>
      <c r="AL56" s="228">
        <v>3.3</v>
      </c>
      <c r="AM56" s="228">
        <v>4.75</v>
      </c>
      <c r="AN56" s="228">
        <v>-1.45</v>
      </c>
      <c r="AO56" s="229">
        <v>5.7000000000000002E-3</v>
      </c>
      <c r="AP56" s="228">
        <v>581.04</v>
      </c>
      <c r="AQ56" s="228">
        <v>582.41</v>
      </c>
      <c r="AR56" s="228">
        <v>0</v>
      </c>
      <c r="AS56" s="228">
        <v>635</v>
      </c>
      <c r="AT56" s="228">
        <v>900</v>
      </c>
      <c r="AU56" s="228">
        <v>-265</v>
      </c>
      <c r="AV56" s="229">
        <v>-0.2944</v>
      </c>
      <c r="AW56" s="228">
        <v>287</v>
      </c>
      <c r="AX56" s="228">
        <v>414</v>
      </c>
      <c r="AY56" s="228">
        <v>-127</v>
      </c>
      <c r="AZ56" s="229">
        <v>-0.30730000000000002</v>
      </c>
      <c r="BA56" s="228">
        <v>316</v>
      </c>
      <c r="BB56" s="228">
        <v>474</v>
      </c>
      <c r="BC56" s="228">
        <v>-158</v>
      </c>
      <c r="BD56" s="229">
        <v>-0.3327</v>
      </c>
      <c r="BE56" s="228">
        <v>32</v>
      </c>
      <c r="BF56" s="228">
        <v>12</v>
      </c>
      <c r="BG56" s="228">
        <v>20</v>
      </c>
      <c r="BH56" s="229">
        <v>1.593</v>
      </c>
      <c r="BI56" s="228">
        <v>200</v>
      </c>
      <c r="BJ56" s="228">
        <v>311</v>
      </c>
      <c r="BK56" s="228">
        <v>-111</v>
      </c>
      <c r="BL56" s="229">
        <v>-0.35770000000000002</v>
      </c>
      <c r="BM56" s="228">
        <v>174</v>
      </c>
      <c r="BN56" s="228">
        <v>192</v>
      </c>
      <c r="BO56" s="228">
        <v>-18</v>
      </c>
      <c r="BP56" s="229">
        <v>-9.3799999999999994E-2</v>
      </c>
      <c r="BQ56" s="230">
        <v>1010</v>
      </c>
      <c r="BR56" s="230">
        <v>1404</v>
      </c>
      <c r="BS56" s="228">
        <v>-394</v>
      </c>
      <c r="BT56" s="229">
        <v>-0.28089999999999998</v>
      </c>
      <c r="BU56" s="230">
        <v>1056691</v>
      </c>
      <c r="BV56" s="230">
        <v>1326506</v>
      </c>
      <c r="BW56" s="230">
        <v>-269815</v>
      </c>
      <c r="BX56" s="229">
        <v>-0.2034</v>
      </c>
      <c r="BY56" s="230">
        <v>1128</v>
      </c>
      <c r="BZ56" s="230">
        <v>1245</v>
      </c>
      <c r="CA56" s="228">
        <v>-117</v>
      </c>
      <c r="CB56" s="229">
        <v>-9.4200000000000006E-2</v>
      </c>
      <c r="CC56" s="228">
        <v>76</v>
      </c>
      <c r="CD56" s="228">
        <v>195</v>
      </c>
      <c r="CE56" s="228">
        <v>-119</v>
      </c>
      <c r="CF56" s="229">
        <v>-0.61180000000000001</v>
      </c>
      <c r="CG56" s="230">
        <v>1083</v>
      </c>
      <c r="CH56" s="230">
        <v>1013</v>
      </c>
      <c r="CI56" s="228">
        <v>70</v>
      </c>
      <c r="CJ56" s="229">
        <v>6.8599999999999994E-2</v>
      </c>
      <c r="CK56" s="228">
        <v>45</v>
      </c>
      <c r="CL56" s="228">
        <v>37</v>
      </c>
      <c r="CM56" s="228">
        <v>8</v>
      </c>
      <c r="CN56" s="229">
        <v>0.22109999999999999</v>
      </c>
      <c r="CO56" s="228">
        <v>187</v>
      </c>
      <c r="CP56" s="228">
        <v>499</v>
      </c>
      <c r="CQ56" s="228">
        <v>-311</v>
      </c>
      <c r="CR56" s="229">
        <v>-0.62460000000000004</v>
      </c>
      <c r="CS56" s="228">
        <v>176</v>
      </c>
      <c r="CT56" s="228">
        <v>341</v>
      </c>
      <c r="CU56" s="228">
        <v>-164</v>
      </c>
      <c r="CV56" s="229">
        <v>-0.48270000000000002</v>
      </c>
      <c r="CW56" s="230">
        <v>1491</v>
      </c>
      <c r="CX56" s="230">
        <v>2085</v>
      </c>
      <c r="CY56" s="228">
        <v>-593</v>
      </c>
      <c r="CZ56" s="229">
        <v>-0.28449999999999998</v>
      </c>
      <c r="DA56" s="228">
        <v>27.2</v>
      </c>
      <c r="DB56" s="228">
        <v>27.64</v>
      </c>
      <c r="DC56" s="228">
        <v>-0.44</v>
      </c>
      <c r="DD56" s="228">
        <v>-0.44</v>
      </c>
      <c r="DE56" s="228">
        <v>39.049999999999997</v>
      </c>
      <c r="DF56" s="228">
        <v>39.11</v>
      </c>
      <c r="DG56" s="228">
        <v>-11.85</v>
      </c>
      <c r="DH56" s="228">
        <v>-0.06</v>
      </c>
      <c r="DI56" s="228">
        <v>27.32</v>
      </c>
      <c r="DJ56" s="228">
        <v>27.38</v>
      </c>
      <c r="DK56" s="228">
        <v>-0.06</v>
      </c>
      <c r="DL56" s="228">
        <v>-0.06</v>
      </c>
      <c r="DM56" s="228">
        <v>27.07</v>
      </c>
      <c r="DN56" s="228">
        <v>27.96</v>
      </c>
      <c r="DO56" s="228">
        <v>-0.89</v>
      </c>
      <c r="DP56" s="228">
        <v>-0.89</v>
      </c>
      <c r="DQ56" s="228">
        <v>0.94</v>
      </c>
      <c r="DR56" s="228">
        <v>0.68</v>
      </c>
      <c r="DS56" s="228">
        <v>0.26</v>
      </c>
      <c r="DT56" s="229">
        <v>0.38240000000000002</v>
      </c>
      <c r="DU56" s="228">
        <v>600</v>
      </c>
      <c r="DV56" s="228">
        <v>600</v>
      </c>
      <c r="DW56" s="228">
        <v>0.87</v>
      </c>
      <c r="DX56" s="228">
        <v>0.62</v>
      </c>
      <c r="DY56" s="228">
        <v>0.25</v>
      </c>
      <c r="DZ56" s="229">
        <v>0.4032</v>
      </c>
      <c r="EA56" s="229">
        <v>0.93710000000000004</v>
      </c>
      <c r="EB56" s="230">
        <v>18128750</v>
      </c>
      <c r="EC56" s="229">
        <v>4.1000000000000003E-3</v>
      </c>
      <c r="ED56" s="229">
        <v>0.93710000000000004</v>
      </c>
      <c r="EE56" s="228">
        <v>1.37</v>
      </c>
      <c r="EF56" s="229">
        <v>2.3999999999999998E-3</v>
      </c>
      <c r="EG56" s="230">
        <v>541721</v>
      </c>
      <c r="EH56" s="230">
        <v>824368</v>
      </c>
      <c r="EI56" s="229">
        <v>-0.34289999999999998</v>
      </c>
      <c r="EJ56" s="229">
        <v>0.51270000000000004</v>
      </c>
      <c r="EK56" s="228">
        <v>212.42</v>
      </c>
      <c r="EL56" s="228">
        <v>182.35</v>
      </c>
      <c r="EM56" s="228">
        <v>638.15</v>
      </c>
      <c r="EN56" s="228">
        <v>0</v>
      </c>
      <c r="EO56" s="231">
        <v>1032.92</v>
      </c>
      <c r="EP56" s="231">
        <v>1462.35</v>
      </c>
      <c r="EQ56" s="228">
        <v>-429.43</v>
      </c>
      <c r="ER56" s="229">
        <v>-0.29370000000000002</v>
      </c>
      <c r="ES56" s="228">
        <v>200.72</v>
      </c>
      <c r="ET56" s="228">
        <v>182.24</v>
      </c>
      <c r="EU56" s="231">
        <v>1128.26</v>
      </c>
      <c r="EV56" s="231">
        <v>68852343</v>
      </c>
      <c r="EW56" s="231">
        <v>1511.21</v>
      </c>
      <c r="EX56" s="231">
        <v>2154.61</v>
      </c>
      <c r="EY56" s="228">
        <v>-643.4</v>
      </c>
      <c r="EZ56" s="229">
        <v>-0.29859999999999998</v>
      </c>
      <c r="FA56" s="229">
        <v>0.37390000000000001</v>
      </c>
      <c r="FB56" s="227" t="s">
        <v>568</v>
      </c>
      <c r="FC56">
        <f t="shared" si="0"/>
        <v>1052</v>
      </c>
    </row>
    <row r="57" spans="1:159" ht="17.25" thickBot="1" x14ac:dyDescent="0.3">
      <c r="A57" s="226">
        <v>45869</v>
      </c>
      <c r="B57" s="227" t="s">
        <v>184</v>
      </c>
      <c r="C57" s="227" t="s">
        <v>523</v>
      </c>
      <c r="D57" s="228">
        <v>1800</v>
      </c>
      <c r="E57" s="228">
        <v>0</v>
      </c>
      <c r="F57" s="228">
        <v>324.85000000000002</v>
      </c>
      <c r="G57" s="228">
        <v>325.55</v>
      </c>
      <c r="H57" s="228">
        <v>-0.7</v>
      </c>
      <c r="I57" s="229">
        <v>-2.2000000000000001E-3</v>
      </c>
      <c r="J57" s="228">
        <v>323</v>
      </c>
      <c r="K57" s="228">
        <v>324.14999999999998</v>
      </c>
      <c r="L57" s="228">
        <v>-1.1499999999999999</v>
      </c>
      <c r="M57" s="229">
        <v>-3.5000000000000001E-3</v>
      </c>
      <c r="N57" s="228">
        <v>323.2</v>
      </c>
      <c r="O57" s="228">
        <v>323.7</v>
      </c>
      <c r="P57" s="228">
        <v>-0.5</v>
      </c>
      <c r="Q57" s="229">
        <v>-1.5E-3</v>
      </c>
      <c r="R57" s="228">
        <v>324.85000000000002</v>
      </c>
      <c r="S57" s="228">
        <v>325.55</v>
      </c>
      <c r="T57" s="228">
        <v>-0.7</v>
      </c>
      <c r="U57" s="229">
        <v>-2.2000000000000001E-3</v>
      </c>
      <c r="V57" s="228">
        <v>326.95</v>
      </c>
      <c r="W57" s="228">
        <v>327.25</v>
      </c>
      <c r="X57" s="228">
        <v>-0.3</v>
      </c>
      <c r="Y57" s="229">
        <v>-8.9999999999999998E-4</v>
      </c>
      <c r="Z57" s="228">
        <v>1.85</v>
      </c>
      <c r="AA57" s="228">
        <v>-0.45</v>
      </c>
      <c r="AB57" s="228">
        <v>2.2999999999999998</v>
      </c>
      <c r="AC57" s="229">
        <v>5.7000000000000002E-3</v>
      </c>
      <c r="AD57" s="228">
        <v>0.2</v>
      </c>
      <c r="AE57" s="228">
        <v>-0.45</v>
      </c>
      <c r="AF57" s="228">
        <v>0.65</v>
      </c>
      <c r="AG57" s="229">
        <v>5.9999999999999995E-4</v>
      </c>
      <c r="AH57" s="228">
        <v>1.85</v>
      </c>
      <c r="AI57" s="228">
        <v>1.4</v>
      </c>
      <c r="AJ57" s="228">
        <v>0.45</v>
      </c>
      <c r="AK57" s="229">
        <v>5.7000000000000002E-3</v>
      </c>
      <c r="AL57" s="228">
        <v>3.95</v>
      </c>
      <c r="AM57" s="228">
        <v>3.1</v>
      </c>
      <c r="AN57" s="228">
        <v>0.85</v>
      </c>
      <c r="AO57" s="229">
        <v>1.2200000000000001E-2</v>
      </c>
      <c r="AP57" s="228">
        <v>323.5</v>
      </c>
      <c r="AQ57" s="228">
        <v>325.31</v>
      </c>
      <c r="AR57" s="228">
        <v>0</v>
      </c>
      <c r="AS57" s="228">
        <v>389</v>
      </c>
      <c r="AT57" s="228">
        <v>801</v>
      </c>
      <c r="AU57" s="228">
        <v>-412</v>
      </c>
      <c r="AV57" s="229">
        <v>-0.51390000000000002</v>
      </c>
      <c r="AW57" s="228">
        <v>151</v>
      </c>
      <c r="AX57" s="228">
        <v>328</v>
      </c>
      <c r="AY57" s="228">
        <v>-178</v>
      </c>
      <c r="AZ57" s="229">
        <v>-0.54110000000000003</v>
      </c>
      <c r="BA57" s="228">
        <v>232</v>
      </c>
      <c r="BB57" s="228">
        <v>467</v>
      </c>
      <c r="BC57" s="228">
        <v>-235</v>
      </c>
      <c r="BD57" s="229">
        <v>-0.50380000000000003</v>
      </c>
      <c r="BE57" s="228">
        <v>7</v>
      </c>
      <c r="BF57" s="228">
        <v>5</v>
      </c>
      <c r="BG57" s="228">
        <v>1</v>
      </c>
      <c r="BH57" s="229">
        <v>0.24729999999999999</v>
      </c>
      <c r="BI57" s="228">
        <v>124</v>
      </c>
      <c r="BJ57" s="228">
        <v>208</v>
      </c>
      <c r="BK57" s="228">
        <v>-83</v>
      </c>
      <c r="BL57" s="229">
        <v>-0.40089999999999998</v>
      </c>
      <c r="BM57" s="228">
        <v>125</v>
      </c>
      <c r="BN57" s="228">
        <v>161</v>
      </c>
      <c r="BO57" s="228">
        <v>-36</v>
      </c>
      <c r="BP57" s="229">
        <v>-0.22420000000000001</v>
      </c>
      <c r="BQ57" s="228">
        <v>638</v>
      </c>
      <c r="BR57" s="230">
        <v>1169</v>
      </c>
      <c r="BS57" s="228">
        <v>-531</v>
      </c>
      <c r="BT57" s="229">
        <v>-0.4541</v>
      </c>
      <c r="BU57" s="230">
        <v>1592607</v>
      </c>
      <c r="BV57" s="230">
        <v>2181754</v>
      </c>
      <c r="BW57" s="230">
        <v>-589147</v>
      </c>
      <c r="BX57" s="229">
        <v>-0.27</v>
      </c>
      <c r="BY57" s="230">
        <v>1271</v>
      </c>
      <c r="BZ57" s="230">
        <v>1303</v>
      </c>
      <c r="CA57" s="228">
        <v>-33</v>
      </c>
      <c r="CB57" s="229">
        <v>-2.52E-2</v>
      </c>
      <c r="CC57" s="228">
        <v>23</v>
      </c>
      <c r="CD57" s="228">
        <v>111</v>
      </c>
      <c r="CE57" s="228">
        <v>-89</v>
      </c>
      <c r="CF57" s="229">
        <v>-0.79600000000000004</v>
      </c>
      <c r="CG57" s="230">
        <v>1254</v>
      </c>
      <c r="CH57" s="230">
        <v>1180</v>
      </c>
      <c r="CI57" s="228">
        <v>74</v>
      </c>
      <c r="CJ57" s="229">
        <v>6.2399999999999997E-2</v>
      </c>
      <c r="CK57" s="228">
        <v>17</v>
      </c>
      <c r="CL57" s="228">
        <v>12</v>
      </c>
      <c r="CM57" s="228">
        <v>5</v>
      </c>
      <c r="CN57" s="229">
        <v>0.40200000000000002</v>
      </c>
      <c r="CO57" s="228">
        <v>78</v>
      </c>
      <c r="CP57" s="228">
        <v>243</v>
      </c>
      <c r="CQ57" s="228">
        <v>-165</v>
      </c>
      <c r="CR57" s="229">
        <v>-0.68069999999999997</v>
      </c>
      <c r="CS57" s="228">
        <v>93</v>
      </c>
      <c r="CT57" s="228">
        <v>162</v>
      </c>
      <c r="CU57" s="228">
        <v>-69</v>
      </c>
      <c r="CV57" s="229">
        <v>-0.42630000000000001</v>
      </c>
      <c r="CW57" s="230">
        <v>1441</v>
      </c>
      <c r="CX57" s="230">
        <v>1709</v>
      </c>
      <c r="CY57" s="228">
        <v>-267</v>
      </c>
      <c r="CZ57" s="229">
        <v>-0.1565</v>
      </c>
      <c r="DA57" s="228">
        <v>32.67</v>
      </c>
      <c r="DB57" s="228">
        <v>32.340000000000003</v>
      </c>
      <c r="DC57" s="228">
        <v>0.33</v>
      </c>
      <c r="DD57" s="228">
        <v>0.33</v>
      </c>
      <c r="DE57" s="228">
        <v>35.17</v>
      </c>
      <c r="DF57" s="228">
        <v>35.26</v>
      </c>
      <c r="DG57" s="228">
        <v>-2.5</v>
      </c>
      <c r="DH57" s="228">
        <v>-0.09</v>
      </c>
      <c r="DI57" s="228">
        <v>32.42</v>
      </c>
      <c r="DJ57" s="228">
        <v>32.19</v>
      </c>
      <c r="DK57" s="228">
        <v>0.23</v>
      </c>
      <c r="DL57" s="228">
        <v>0.23</v>
      </c>
      <c r="DM57" s="228">
        <v>32.94</v>
      </c>
      <c r="DN57" s="228">
        <v>32.57</v>
      </c>
      <c r="DO57" s="228">
        <v>0.37</v>
      </c>
      <c r="DP57" s="228">
        <v>0.37</v>
      </c>
      <c r="DQ57" s="228">
        <v>1.2</v>
      </c>
      <c r="DR57" s="228">
        <v>0.67</v>
      </c>
      <c r="DS57" s="228">
        <v>0.53</v>
      </c>
      <c r="DT57" s="229">
        <v>0.79100000000000004</v>
      </c>
      <c r="DU57" s="228">
        <v>360</v>
      </c>
      <c r="DV57" s="228">
        <v>330</v>
      </c>
      <c r="DW57" s="228">
        <v>1</v>
      </c>
      <c r="DX57" s="228">
        <v>0.77</v>
      </c>
      <c r="DY57" s="228">
        <v>0.23</v>
      </c>
      <c r="DZ57" s="229">
        <v>0.29870000000000002</v>
      </c>
      <c r="EA57" s="229">
        <v>0.98250000000000004</v>
      </c>
      <c r="EB57" s="230">
        <v>36702000</v>
      </c>
      <c r="EC57" s="229">
        <v>5.1000000000000004E-3</v>
      </c>
      <c r="ED57" s="229">
        <v>0.98250000000000004</v>
      </c>
      <c r="EE57" s="228">
        <v>1.81</v>
      </c>
      <c r="EF57" s="229">
        <v>5.5999999999999999E-3</v>
      </c>
      <c r="EG57" s="230">
        <v>839916</v>
      </c>
      <c r="EH57" s="230">
        <v>964727</v>
      </c>
      <c r="EI57" s="229">
        <v>-0.12939999999999999</v>
      </c>
      <c r="EJ57" s="229">
        <v>0.52739999999999998</v>
      </c>
      <c r="EK57" s="228">
        <v>131.91999999999999</v>
      </c>
      <c r="EL57" s="228">
        <v>128.80000000000001</v>
      </c>
      <c r="EM57" s="228">
        <v>389.07</v>
      </c>
      <c r="EN57" s="228">
        <v>0</v>
      </c>
      <c r="EO57" s="228">
        <v>649.79999999999995</v>
      </c>
      <c r="EP57" s="231">
        <v>1184.18</v>
      </c>
      <c r="EQ57" s="228">
        <v>-534.37</v>
      </c>
      <c r="ER57" s="229">
        <v>-0.45129999999999998</v>
      </c>
      <c r="ES57" s="228">
        <v>81.96</v>
      </c>
      <c r="ET57" s="228">
        <v>93.29</v>
      </c>
      <c r="EU57" s="231">
        <v>1270.78</v>
      </c>
      <c r="EV57" s="231">
        <v>128761832</v>
      </c>
      <c r="EW57" s="231">
        <v>1446.03</v>
      </c>
      <c r="EX57" s="231">
        <v>1734.96</v>
      </c>
      <c r="EY57" s="228">
        <v>-288.93</v>
      </c>
      <c r="EZ57" s="229">
        <v>-0.16650000000000001</v>
      </c>
      <c r="FA57" s="229">
        <v>0.34460000000000002</v>
      </c>
      <c r="FB57" s="227" t="s">
        <v>568</v>
      </c>
      <c r="FC57">
        <f t="shared" si="0"/>
        <v>1248</v>
      </c>
    </row>
    <row r="58" spans="1:159" ht="17.25" thickBot="1" x14ac:dyDescent="0.3">
      <c r="A58" s="226">
        <v>45869</v>
      </c>
      <c r="B58" s="227" t="s">
        <v>184</v>
      </c>
      <c r="C58" s="227" t="s">
        <v>203</v>
      </c>
      <c r="D58" s="228">
        <v>200</v>
      </c>
      <c r="E58" s="228">
        <v>0</v>
      </c>
      <c r="F58" s="231">
        <v>3575.6</v>
      </c>
      <c r="G58" s="231">
        <v>3593.2</v>
      </c>
      <c r="H58" s="228">
        <v>-17.600000000000001</v>
      </c>
      <c r="I58" s="229">
        <v>-4.8999999999999998E-3</v>
      </c>
      <c r="J58" s="231">
        <v>3555.5</v>
      </c>
      <c r="K58" s="231">
        <v>3581.9</v>
      </c>
      <c r="L58" s="228">
        <v>-26.4</v>
      </c>
      <c r="M58" s="229">
        <v>-7.4000000000000003E-3</v>
      </c>
      <c r="N58" s="231">
        <v>3552</v>
      </c>
      <c r="O58" s="231">
        <v>3577.5</v>
      </c>
      <c r="P58" s="228">
        <v>-25.5</v>
      </c>
      <c r="Q58" s="229">
        <v>-7.1000000000000004E-3</v>
      </c>
      <c r="R58" s="231">
        <v>3575.6</v>
      </c>
      <c r="S58" s="231">
        <v>3593.2</v>
      </c>
      <c r="T58" s="228">
        <v>-17.600000000000001</v>
      </c>
      <c r="U58" s="229">
        <v>-4.8999999999999998E-3</v>
      </c>
      <c r="V58" s="231">
        <v>3592.1</v>
      </c>
      <c r="W58" s="231">
        <v>3613.7</v>
      </c>
      <c r="X58" s="228">
        <v>-21.6</v>
      </c>
      <c r="Y58" s="229">
        <v>-6.0000000000000001E-3</v>
      </c>
      <c r="Z58" s="228">
        <v>20.100000000000001</v>
      </c>
      <c r="AA58" s="228">
        <v>-4.4000000000000004</v>
      </c>
      <c r="AB58" s="228">
        <v>24.5</v>
      </c>
      <c r="AC58" s="229">
        <v>5.7000000000000002E-3</v>
      </c>
      <c r="AD58" s="228">
        <v>-3.5</v>
      </c>
      <c r="AE58" s="228">
        <v>-4.4000000000000004</v>
      </c>
      <c r="AF58" s="228">
        <v>0.9</v>
      </c>
      <c r="AG58" s="229">
        <v>-1E-3</v>
      </c>
      <c r="AH58" s="228">
        <v>20.100000000000001</v>
      </c>
      <c r="AI58" s="228">
        <v>11.3</v>
      </c>
      <c r="AJ58" s="228">
        <v>8.8000000000000007</v>
      </c>
      <c r="AK58" s="229">
        <v>5.7000000000000002E-3</v>
      </c>
      <c r="AL58" s="228">
        <v>36.6</v>
      </c>
      <c r="AM58" s="228">
        <v>31.8</v>
      </c>
      <c r="AN58" s="228">
        <v>4.8</v>
      </c>
      <c r="AO58" s="229">
        <v>1.03E-2</v>
      </c>
      <c r="AP58" s="231">
        <v>3549.51</v>
      </c>
      <c r="AQ58" s="231">
        <v>3568.69</v>
      </c>
      <c r="AR58" s="228">
        <v>0</v>
      </c>
      <c r="AS58" s="228">
        <v>688</v>
      </c>
      <c r="AT58" s="228">
        <v>725</v>
      </c>
      <c r="AU58" s="228">
        <v>-38</v>
      </c>
      <c r="AV58" s="229">
        <v>-5.2200000000000003E-2</v>
      </c>
      <c r="AW58" s="228">
        <v>248</v>
      </c>
      <c r="AX58" s="228">
        <v>308</v>
      </c>
      <c r="AY58" s="228">
        <v>-60</v>
      </c>
      <c r="AZ58" s="229">
        <v>-0.19450000000000001</v>
      </c>
      <c r="BA58" s="228">
        <v>436</v>
      </c>
      <c r="BB58" s="228">
        <v>415</v>
      </c>
      <c r="BC58" s="228">
        <v>22</v>
      </c>
      <c r="BD58" s="229">
        <v>5.1900000000000002E-2</v>
      </c>
      <c r="BE58" s="228">
        <v>3</v>
      </c>
      <c r="BF58" s="228">
        <v>2</v>
      </c>
      <c r="BG58" s="228">
        <v>1</v>
      </c>
      <c r="BH58" s="229">
        <v>0.23530000000000001</v>
      </c>
      <c r="BI58" s="228">
        <v>279</v>
      </c>
      <c r="BJ58" s="228">
        <v>363</v>
      </c>
      <c r="BK58" s="228">
        <v>-84</v>
      </c>
      <c r="BL58" s="229">
        <v>-0.23230000000000001</v>
      </c>
      <c r="BM58" s="228">
        <v>205</v>
      </c>
      <c r="BN58" s="228">
        <v>187</v>
      </c>
      <c r="BO58" s="228">
        <v>19</v>
      </c>
      <c r="BP58" s="229">
        <v>0.1003</v>
      </c>
      <c r="BQ58" s="230">
        <v>1172</v>
      </c>
      <c r="BR58" s="230">
        <v>1275</v>
      </c>
      <c r="BS58" s="228">
        <v>-103</v>
      </c>
      <c r="BT58" s="229">
        <v>-8.1100000000000005E-2</v>
      </c>
      <c r="BU58" s="230">
        <v>623346</v>
      </c>
      <c r="BV58" s="230">
        <v>506173</v>
      </c>
      <c r="BW58" s="230">
        <v>117173</v>
      </c>
      <c r="BX58" s="229">
        <v>0.23150000000000001</v>
      </c>
      <c r="BY58" s="230">
        <v>1203</v>
      </c>
      <c r="BZ58" s="230">
        <v>1295</v>
      </c>
      <c r="CA58" s="228">
        <v>-93</v>
      </c>
      <c r="CB58" s="229">
        <v>-7.1599999999999997E-2</v>
      </c>
      <c r="CC58" s="228">
        <v>64</v>
      </c>
      <c r="CD58" s="228">
        <v>164</v>
      </c>
      <c r="CE58" s="228">
        <v>-100</v>
      </c>
      <c r="CF58" s="229">
        <v>-0.60880000000000001</v>
      </c>
      <c r="CG58" s="230">
        <v>1197</v>
      </c>
      <c r="CH58" s="230">
        <v>1128</v>
      </c>
      <c r="CI58" s="228">
        <v>70</v>
      </c>
      <c r="CJ58" s="229">
        <v>6.1699999999999998E-2</v>
      </c>
      <c r="CK58" s="228">
        <v>5</v>
      </c>
      <c r="CL58" s="228">
        <v>4</v>
      </c>
      <c r="CM58" s="228">
        <v>1</v>
      </c>
      <c r="CN58" s="229">
        <v>0.35849999999999999</v>
      </c>
      <c r="CO58" s="228">
        <v>60</v>
      </c>
      <c r="CP58" s="228">
        <v>222</v>
      </c>
      <c r="CQ58" s="228">
        <v>-162</v>
      </c>
      <c r="CR58" s="229">
        <v>-0.73</v>
      </c>
      <c r="CS58" s="228">
        <v>64</v>
      </c>
      <c r="CT58" s="228">
        <v>203</v>
      </c>
      <c r="CU58" s="228">
        <v>-139</v>
      </c>
      <c r="CV58" s="229">
        <v>-0.68579999999999997</v>
      </c>
      <c r="CW58" s="230">
        <v>1327</v>
      </c>
      <c r="CX58" s="230">
        <v>1721</v>
      </c>
      <c r="CY58" s="228">
        <v>-394</v>
      </c>
      <c r="CZ58" s="229">
        <v>-0.22919999999999999</v>
      </c>
      <c r="DA58" s="228">
        <v>32.28</v>
      </c>
      <c r="DB58" s="228">
        <v>31.33</v>
      </c>
      <c r="DC58" s="228">
        <v>0.95</v>
      </c>
      <c r="DD58" s="228">
        <v>0.95</v>
      </c>
      <c r="DE58" s="228">
        <v>38.29</v>
      </c>
      <c r="DF58" s="228">
        <v>38.369999999999997</v>
      </c>
      <c r="DG58" s="228">
        <v>-6.01</v>
      </c>
      <c r="DH58" s="228">
        <v>-0.08</v>
      </c>
      <c r="DI58" s="228">
        <v>31.81</v>
      </c>
      <c r="DJ58" s="228">
        <v>31.08</v>
      </c>
      <c r="DK58" s="228">
        <v>0.73</v>
      </c>
      <c r="DL58" s="228">
        <v>0.73</v>
      </c>
      <c r="DM58" s="228">
        <v>33.07</v>
      </c>
      <c r="DN58" s="228">
        <v>31.83</v>
      </c>
      <c r="DO58" s="228">
        <v>1.24</v>
      </c>
      <c r="DP58" s="228">
        <v>1.24</v>
      </c>
      <c r="DQ58" s="228">
        <v>1.06</v>
      </c>
      <c r="DR58" s="228">
        <v>0.91</v>
      </c>
      <c r="DS58" s="228">
        <v>0.15</v>
      </c>
      <c r="DT58" s="229">
        <v>0.1648</v>
      </c>
      <c r="DU58" s="231">
        <v>3900</v>
      </c>
      <c r="DV58" s="231">
        <v>3300</v>
      </c>
      <c r="DW58" s="228">
        <v>0.74</v>
      </c>
      <c r="DX58" s="228">
        <v>0.51</v>
      </c>
      <c r="DY58" s="228">
        <v>0.23</v>
      </c>
      <c r="DZ58" s="229">
        <v>0.45100000000000001</v>
      </c>
      <c r="EA58" s="229">
        <v>0.94950000000000001</v>
      </c>
      <c r="EB58" s="230">
        <v>3165000</v>
      </c>
      <c r="EC58" s="229">
        <v>6.6E-3</v>
      </c>
      <c r="ED58" s="229">
        <v>0.94950000000000001</v>
      </c>
      <c r="EE58" s="228">
        <v>19.18</v>
      </c>
      <c r="EF58" s="229">
        <v>5.4000000000000003E-3</v>
      </c>
      <c r="EG58" s="230">
        <v>270829</v>
      </c>
      <c r="EH58" s="230">
        <v>333205</v>
      </c>
      <c r="EI58" s="229">
        <v>-0.18720000000000001</v>
      </c>
      <c r="EJ58" s="229">
        <v>0.4345</v>
      </c>
      <c r="EK58" s="228">
        <v>288.24</v>
      </c>
      <c r="EL58" s="228">
        <v>199.62</v>
      </c>
      <c r="EM58" s="228">
        <v>684.88</v>
      </c>
      <c r="EN58" s="228">
        <v>0</v>
      </c>
      <c r="EO58" s="231">
        <v>1172.73</v>
      </c>
      <c r="EP58" s="231">
        <v>1273.81</v>
      </c>
      <c r="EQ58" s="228">
        <v>-101.08</v>
      </c>
      <c r="ER58" s="229">
        <v>-7.9399999999999998E-2</v>
      </c>
      <c r="ES58" s="228">
        <v>62.31</v>
      </c>
      <c r="ET58" s="228">
        <v>60.42</v>
      </c>
      <c r="EU58" s="231">
        <v>1202.6400000000001</v>
      </c>
      <c r="EV58" s="231">
        <v>27165600</v>
      </c>
      <c r="EW58" s="231">
        <v>1325.37</v>
      </c>
      <c r="EX58" s="231">
        <v>1713.77</v>
      </c>
      <c r="EY58" s="228">
        <v>-388.4</v>
      </c>
      <c r="EZ58" s="229">
        <v>-0.2266</v>
      </c>
      <c r="FA58" s="229">
        <v>0.1366</v>
      </c>
      <c r="FB58" s="227" t="s">
        <v>568</v>
      </c>
      <c r="FC58">
        <f t="shared" si="0"/>
        <v>1139</v>
      </c>
    </row>
    <row r="59" spans="1:159" ht="17.25" thickBot="1" x14ac:dyDescent="0.3">
      <c r="A59" s="226">
        <v>45869</v>
      </c>
      <c r="B59" s="227" t="s">
        <v>221</v>
      </c>
      <c r="C59" s="227" t="s">
        <v>573</v>
      </c>
      <c r="D59" s="228">
        <v>425</v>
      </c>
      <c r="E59" s="228">
        <v>0</v>
      </c>
      <c r="F59" s="231">
        <v>1212.2</v>
      </c>
      <c r="G59" s="231">
        <v>1229.5</v>
      </c>
      <c r="H59" s="228">
        <v>-17.3</v>
      </c>
      <c r="I59" s="229">
        <v>-1.41E-2</v>
      </c>
      <c r="J59" s="231">
        <v>1205.5999999999999</v>
      </c>
      <c r="K59" s="231">
        <v>1224.3</v>
      </c>
      <c r="L59" s="228">
        <v>-18.7</v>
      </c>
      <c r="M59" s="229">
        <v>-1.5299999999999999E-2</v>
      </c>
      <c r="N59" s="231">
        <v>1207.3</v>
      </c>
      <c r="O59" s="231">
        <v>1222.8</v>
      </c>
      <c r="P59" s="228">
        <v>-15.5</v>
      </c>
      <c r="Q59" s="229">
        <v>-1.2699999999999999E-2</v>
      </c>
      <c r="R59" s="231">
        <v>1212.2</v>
      </c>
      <c r="S59" s="231">
        <v>1229.5</v>
      </c>
      <c r="T59" s="228">
        <v>-17.3</v>
      </c>
      <c r="U59" s="229">
        <v>-1.41E-2</v>
      </c>
      <c r="V59" s="231">
        <v>1219</v>
      </c>
      <c r="W59" s="231">
        <v>1238</v>
      </c>
      <c r="X59" s="228">
        <v>-19</v>
      </c>
      <c r="Y59" s="229">
        <v>-1.5299999999999999E-2</v>
      </c>
      <c r="Z59" s="228">
        <v>6.6</v>
      </c>
      <c r="AA59" s="228">
        <v>-1.5</v>
      </c>
      <c r="AB59" s="228">
        <v>8.1</v>
      </c>
      <c r="AC59" s="229">
        <v>5.4999999999999997E-3</v>
      </c>
      <c r="AD59" s="228">
        <v>1.7</v>
      </c>
      <c r="AE59" s="228">
        <v>-1.5</v>
      </c>
      <c r="AF59" s="228">
        <v>3.2</v>
      </c>
      <c r="AG59" s="229">
        <v>1.4E-3</v>
      </c>
      <c r="AH59" s="228">
        <v>6.6</v>
      </c>
      <c r="AI59" s="228">
        <v>5.2</v>
      </c>
      <c r="AJ59" s="228">
        <v>1.4</v>
      </c>
      <c r="AK59" s="229">
        <v>5.4999999999999997E-3</v>
      </c>
      <c r="AL59" s="228">
        <v>13.4</v>
      </c>
      <c r="AM59" s="228">
        <v>13.7</v>
      </c>
      <c r="AN59" s="228">
        <v>-0.3</v>
      </c>
      <c r="AO59" s="229">
        <v>1.11E-2</v>
      </c>
      <c r="AP59" s="231">
        <v>1212.45</v>
      </c>
      <c r="AQ59" s="231">
        <v>1218.8800000000001</v>
      </c>
      <c r="AR59" s="228">
        <v>0</v>
      </c>
      <c r="AS59" s="228">
        <v>238</v>
      </c>
      <c r="AT59" s="228">
        <v>219</v>
      </c>
      <c r="AU59" s="228">
        <v>19</v>
      </c>
      <c r="AV59" s="229">
        <v>8.5199999999999998E-2</v>
      </c>
      <c r="AW59" s="228">
        <v>110</v>
      </c>
      <c r="AX59" s="228">
        <v>102</v>
      </c>
      <c r="AY59" s="228">
        <v>8</v>
      </c>
      <c r="AZ59" s="229">
        <v>7.4800000000000005E-2</v>
      </c>
      <c r="BA59" s="228">
        <v>125</v>
      </c>
      <c r="BB59" s="228">
        <v>116</v>
      </c>
      <c r="BC59" s="228">
        <v>9</v>
      </c>
      <c r="BD59" s="229">
        <v>8.1299999999999997E-2</v>
      </c>
      <c r="BE59" s="228">
        <v>3</v>
      </c>
      <c r="BF59" s="228">
        <v>1</v>
      </c>
      <c r="BG59" s="228">
        <v>2</v>
      </c>
      <c r="BH59" s="229">
        <v>1.6315999999999999</v>
      </c>
      <c r="BI59" s="228">
        <v>150</v>
      </c>
      <c r="BJ59" s="228">
        <v>156</v>
      </c>
      <c r="BK59" s="228">
        <v>-6</v>
      </c>
      <c r="BL59" s="229">
        <v>-3.9600000000000003E-2</v>
      </c>
      <c r="BM59" s="228">
        <v>123</v>
      </c>
      <c r="BN59" s="228">
        <v>45</v>
      </c>
      <c r="BO59" s="228">
        <v>78</v>
      </c>
      <c r="BP59" s="229">
        <v>1.7243999999999999</v>
      </c>
      <c r="BQ59" s="228">
        <v>511</v>
      </c>
      <c r="BR59" s="228">
        <v>420</v>
      </c>
      <c r="BS59" s="228">
        <v>90</v>
      </c>
      <c r="BT59" s="229">
        <v>0.2152</v>
      </c>
      <c r="BU59" s="230">
        <v>382168</v>
      </c>
      <c r="BV59" s="230">
        <v>390406</v>
      </c>
      <c r="BW59" s="230">
        <v>-8238</v>
      </c>
      <c r="BX59" s="229">
        <v>-2.1100000000000001E-2</v>
      </c>
      <c r="BY59" s="228">
        <v>344</v>
      </c>
      <c r="BZ59" s="228">
        <v>368</v>
      </c>
      <c r="CA59" s="228">
        <v>-24</v>
      </c>
      <c r="CB59" s="229">
        <v>-6.5799999999999997E-2</v>
      </c>
      <c r="CC59" s="228">
        <v>17</v>
      </c>
      <c r="CD59" s="228">
        <v>80</v>
      </c>
      <c r="CE59" s="228">
        <v>-63</v>
      </c>
      <c r="CF59" s="229">
        <v>-0.78480000000000005</v>
      </c>
      <c r="CG59" s="228">
        <v>335</v>
      </c>
      <c r="CH59" s="228">
        <v>280</v>
      </c>
      <c r="CI59" s="228">
        <v>55</v>
      </c>
      <c r="CJ59" s="229">
        <v>0.1968</v>
      </c>
      <c r="CK59" s="228">
        <v>9</v>
      </c>
      <c r="CL59" s="228">
        <v>8</v>
      </c>
      <c r="CM59" s="228">
        <v>1</v>
      </c>
      <c r="CN59" s="229">
        <v>0.1067</v>
      </c>
      <c r="CO59" s="228">
        <v>45</v>
      </c>
      <c r="CP59" s="228">
        <v>172</v>
      </c>
      <c r="CQ59" s="228">
        <v>-127</v>
      </c>
      <c r="CR59" s="229">
        <v>-0.73740000000000006</v>
      </c>
      <c r="CS59" s="228">
        <v>48</v>
      </c>
      <c r="CT59" s="228">
        <v>120</v>
      </c>
      <c r="CU59" s="228">
        <v>-71</v>
      </c>
      <c r="CV59" s="229">
        <v>-0.59609999999999996</v>
      </c>
      <c r="CW59" s="228">
        <v>438</v>
      </c>
      <c r="CX59" s="228">
        <v>660</v>
      </c>
      <c r="CY59" s="228">
        <v>-223</v>
      </c>
      <c r="CZ59" s="229">
        <v>-0.33729999999999999</v>
      </c>
      <c r="DA59" s="228">
        <v>31.33</v>
      </c>
      <c r="DB59" s="228">
        <v>31.61</v>
      </c>
      <c r="DC59" s="228">
        <v>-0.28000000000000003</v>
      </c>
      <c r="DD59" s="228">
        <v>-0.28000000000000003</v>
      </c>
      <c r="DE59" s="228">
        <v>47.33</v>
      </c>
      <c r="DF59" s="228">
        <v>47.41</v>
      </c>
      <c r="DG59" s="228">
        <v>-16</v>
      </c>
      <c r="DH59" s="228">
        <v>-0.08</v>
      </c>
      <c r="DI59" s="228">
        <v>32.28</v>
      </c>
      <c r="DJ59" s="228">
        <v>31.87</v>
      </c>
      <c r="DK59" s="228">
        <v>0.41</v>
      </c>
      <c r="DL59" s="228">
        <v>0.41</v>
      </c>
      <c r="DM59" s="228">
        <v>30.41</v>
      </c>
      <c r="DN59" s="228">
        <v>31.19</v>
      </c>
      <c r="DO59" s="228">
        <v>-0.78</v>
      </c>
      <c r="DP59" s="228">
        <v>-0.78</v>
      </c>
      <c r="DQ59" s="228">
        <v>1.07</v>
      </c>
      <c r="DR59" s="228">
        <v>0.69</v>
      </c>
      <c r="DS59" s="228">
        <v>0.38</v>
      </c>
      <c r="DT59" s="229">
        <v>0.55069999999999997</v>
      </c>
      <c r="DU59" s="231">
        <v>1300</v>
      </c>
      <c r="DV59" s="231">
        <v>1200</v>
      </c>
      <c r="DW59" s="228">
        <v>0.82</v>
      </c>
      <c r="DX59" s="228">
        <v>0.28999999999999998</v>
      </c>
      <c r="DY59" s="228">
        <v>0.53</v>
      </c>
      <c r="DZ59" s="229">
        <v>1.8275999999999999</v>
      </c>
      <c r="EA59" s="229">
        <v>0.95220000000000005</v>
      </c>
      <c r="EB59" s="230">
        <v>2376175</v>
      </c>
      <c r="EC59" s="229">
        <v>4.1000000000000003E-3</v>
      </c>
      <c r="ED59" s="229">
        <v>0.95220000000000005</v>
      </c>
      <c r="EE59" s="228">
        <v>6.43</v>
      </c>
      <c r="EF59" s="229">
        <v>5.3E-3</v>
      </c>
      <c r="EG59" s="230">
        <v>185839</v>
      </c>
      <c r="EH59" s="230">
        <v>248093</v>
      </c>
      <c r="EI59" s="229">
        <v>-0.25090000000000001</v>
      </c>
      <c r="EJ59" s="229">
        <v>0.48630000000000001</v>
      </c>
      <c r="EK59" s="228">
        <v>161.56</v>
      </c>
      <c r="EL59" s="228">
        <v>124.46</v>
      </c>
      <c r="EM59" s="228">
        <v>238.29</v>
      </c>
      <c r="EN59" s="228">
        <v>0</v>
      </c>
      <c r="EO59" s="228">
        <v>524.30999999999995</v>
      </c>
      <c r="EP59" s="228">
        <v>433.87</v>
      </c>
      <c r="EQ59" s="228">
        <v>90.44</v>
      </c>
      <c r="ER59" s="229">
        <v>0.2084</v>
      </c>
      <c r="ES59" s="228">
        <v>48.35</v>
      </c>
      <c r="ET59" s="228">
        <v>48.29</v>
      </c>
      <c r="EU59" s="228">
        <v>344.09</v>
      </c>
      <c r="EV59" s="231">
        <v>16859165</v>
      </c>
      <c r="EW59" s="228">
        <v>440.73</v>
      </c>
      <c r="EX59" s="228">
        <v>682.69</v>
      </c>
      <c r="EY59" s="228">
        <v>-241.96</v>
      </c>
      <c r="EZ59" s="229">
        <v>-0.35439999999999999</v>
      </c>
      <c r="FA59" s="229">
        <v>0.2142</v>
      </c>
      <c r="FB59" s="227" t="s">
        <v>568</v>
      </c>
      <c r="FC59">
        <f t="shared" si="0"/>
        <v>327</v>
      </c>
    </row>
    <row r="60" spans="1:159" ht="17.25" thickBot="1" x14ac:dyDescent="0.3">
      <c r="A60" s="226">
        <v>45869</v>
      </c>
      <c r="B60" s="227" t="s">
        <v>168</v>
      </c>
      <c r="C60" s="227" t="s">
        <v>204</v>
      </c>
      <c r="D60" s="228">
        <v>1250</v>
      </c>
      <c r="E60" s="228">
        <v>0</v>
      </c>
      <c r="F60" s="228">
        <v>531.35</v>
      </c>
      <c r="G60" s="228">
        <v>521.70000000000005</v>
      </c>
      <c r="H60" s="228">
        <v>9.65</v>
      </c>
      <c r="I60" s="229">
        <v>1.8499999999999999E-2</v>
      </c>
      <c r="J60" s="228">
        <v>529</v>
      </c>
      <c r="K60" s="228">
        <v>522</v>
      </c>
      <c r="L60" s="228">
        <v>7</v>
      </c>
      <c r="M60" s="229">
        <v>1.34E-2</v>
      </c>
      <c r="N60" s="228">
        <v>528.9</v>
      </c>
      <c r="O60" s="228">
        <v>520.85</v>
      </c>
      <c r="P60" s="228">
        <v>8.0500000000000007</v>
      </c>
      <c r="Q60" s="229">
        <v>1.55E-2</v>
      </c>
      <c r="R60" s="228">
        <v>531.35</v>
      </c>
      <c r="S60" s="228">
        <v>521.70000000000005</v>
      </c>
      <c r="T60" s="228">
        <v>9.65</v>
      </c>
      <c r="U60" s="229">
        <v>1.8499999999999999E-2</v>
      </c>
      <c r="V60" s="228">
        <v>533.65</v>
      </c>
      <c r="W60" s="228">
        <v>524</v>
      </c>
      <c r="X60" s="228">
        <v>9.65</v>
      </c>
      <c r="Y60" s="229">
        <v>1.84E-2</v>
      </c>
      <c r="Z60" s="228">
        <v>2.35</v>
      </c>
      <c r="AA60" s="228">
        <v>-1.1499999999999999</v>
      </c>
      <c r="AB60" s="228">
        <v>3.5</v>
      </c>
      <c r="AC60" s="229">
        <v>4.4000000000000003E-3</v>
      </c>
      <c r="AD60" s="228">
        <v>-0.1</v>
      </c>
      <c r="AE60" s="228">
        <v>-1.1499999999999999</v>
      </c>
      <c r="AF60" s="228">
        <v>1.05</v>
      </c>
      <c r="AG60" s="229">
        <v>-2.0000000000000001E-4</v>
      </c>
      <c r="AH60" s="228">
        <v>2.35</v>
      </c>
      <c r="AI60" s="228">
        <v>-0.3</v>
      </c>
      <c r="AJ60" s="228">
        <v>2.65</v>
      </c>
      <c r="AK60" s="229">
        <v>4.4000000000000003E-3</v>
      </c>
      <c r="AL60" s="228">
        <v>4.6500000000000004</v>
      </c>
      <c r="AM60" s="228">
        <v>2</v>
      </c>
      <c r="AN60" s="228">
        <v>2.65</v>
      </c>
      <c r="AO60" s="229">
        <v>8.8000000000000005E-3</v>
      </c>
      <c r="AP60" s="228">
        <v>527.29</v>
      </c>
      <c r="AQ60" s="228">
        <v>529.4</v>
      </c>
      <c r="AR60" s="228">
        <v>0</v>
      </c>
      <c r="AS60" s="228">
        <v>603</v>
      </c>
      <c r="AT60" s="228">
        <v>607</v>
      </c>
      <c r="AU60" s="228">
        <v>-4</v>
      </c>
      <c r="AV60" s="229">
        <v>-6.7000000000000002E-3</v>
      </c>
      <c r="AW60" s="228">
        <v>188</v>
      </c>
      <c r="AX60" s="228">
        <v>291</v>
      </c>
      <c r="AY60" s="228">
        <v>-103</v>
      </c>
      <c r="AZ60" s="229">
        <v>-0.35299999999999998</v>
      </c>
      <c r="BA60" s="228">
        <v>408</v>
      </c>
      <c r="BB60" s="228">
        <v>312</v>
      </c>
      <c r="BC60" s="228">
        <v>96</v>
      </c>
      <c r="BD60" s="229">
        <v>0.30730000000000002</v>
      </c>
      <c r="BE60" s="228">
        <v>7</v>
      </c>
      <c r="BF60" s="228">
        <v>4</v>
      </c>
      <c r="BG60" s="228">
        <v>3</v>
      </c>
      <c r="BH60" s="229">
        <v>0.68969999999999998</v>
      </c>
      <c r="BI60" s="230">
        <v>1484</v>
      </c>
      <c r="BJ60" s="228">
        <v>394</v>
      </c>
      <c r="BK60" s="230">
        <v>1091</v>
      </c>
      <c r="BL60" s="229">
        <v>2.7694000000000001</v>
      </c>
      <c r="BM60" s="228">
        <v>679</v>
      </c>
      <c r="BN60" s="228">
        <v>286</v>
      </c>
      <c r="BO60" s="228">
        <v>394</v>
      </c>
      <c r="BP60" s="229">
        <v>1.3785000000000001</v>
      </c>
      <c r="BQ60" s="230">
        <v>2767</v>
      </c>
      <c r="BR60" s="230">
        <v>1286</v>
      </c>
      <c r="BS60" s="230">
        <v>1480</v>
      </c>
      <c r="BT60" s="229">
        <v>1.1505000000000001</v>
      </c>
      <c r="BU60" s="230">
        <v>3124722</v>
      </c>
      <c r="BV60" s="230">
        <v>1639925</v>
      </c>
      <c r="BW60" s="230">
        <v>1484797</v>
      </c>
      <c r="BX60" s="229">
        <v>0.90539999999999998</v>
      </c>
      <c r="BY60" s="228">
        <v>865</v>
      </c>
      <c r="BZ60" s="228">
        <v>960</v>
      </c>
      <c r="CA60" s="228">
        <v>-95</v>
      </c>
      <c r="CB60" s="229">
        <v>-9.8699999999999996E-2</v>
      </c>
      <c r="CC60" s="228">
        <v>50</v>
      </c>
      <c r="CD60" s="228">
        <v>104</v>
      </c>
      <c r="CE60" s="228">
        <v>-54</v>
      </c>
      <c r="CF60" s="229">
        <v>-0.52</v>
      </c>
      <c r="CG60" s="228">
        <v>854</v>
      </c>
      <c r="CH60" s="228">
        <v>845</v>
      </c>
      <c r="CI60" s="228">
        <v>9</v>
      </c>
      <c r="CJ60" s="229">
        <v>1.0500000000000001E-2</v>
      </c>
      <c r="CK60" s="228">
        <v>11</v>
      </c>
      <c r="CL60" s="228">
        <v>10</v>
      </c>
      <c r="CM60" s="228">
        <v>1</v>
      </c>
      <c r="CN60" s="229">
        <v>8.9700000000000002E-2</v>
      </c>
      <c r="CO60" s="228">
        <v>286</v>
      </c>
      <c r="CP60" s="228">
        <v>638</v>
      </c>
      <c r="CQ60" s="228">
        <v>-352</v>
      </c>
      <c r="CR60" s="229">
        <v>-0.55189999999999995</v>
      </c>
      <c r="CS60" s="228">
        <v>183</v>
      </c>
      <c r="CT60" s="228">
        <v>661</v>
      </c>
      <c r="CU60" s="228">
        <v>-478</v>
      </c>
      <c r="CV60" s="229">
        <v>-0.72309999999999997</v>
      </c>
      <c r="CW60" s="230">
        <v>1334</v>
      </c>
      <c r="CX60" s="230">
        <v>2259</v>
      </c>
      <c r="CY60" s="228">
        <v>-924</v>
      </c>
      <c r="CZ60" s="229">
        <v>-0.4093</v>
      </c>
      <c r="DA60" s="228">
        <v>23.64</v>
      </c>
      <c r="DB60" s="228">
        <v>22.78</v>
      </c>
      <c r="DC60" s="228">
        <v>0.86</v>
      </c>
      <c r="DD60" s="228">
        <v>0.86</v>
      </c>
      <c r="DE60" s="228">
        <v>25.09</v>
      </c>
      <c r="DF60" s="228">
        <v>25.09</v>
      </c>
      <c r="DG60" s="228">
        <v>-1.45</v>
      </c>
      <c r="DH60" s="228">
        <v>0</v>
      </c>
      <c r="DI60" s="228">
        <v>23.43</v>
      </c>
      <c r="DJ60" s="228">
        <v>22.87</v>
      </c>
      <c r="DK60" s="228">
        <v>0.56000000000000005</v>
      </c>
      <c r="DL60" s="228">
        <v>0.56000000000000005</v>
      </c>
      <c r="DM60" s="228">
        <v>24.08</v>
      </c>
      <c r="DN60" s="228">
        <v>22.56</v>
      </c>
      <c r="DO60" s="228">
        <v>1.52</v>
      </c>
      <c r="DP60" s="228">
        <v>1.52</v>
      </c>
      <c r="DQ60" s="228">
        <v>0.64</v>
      </c>
      <c r="DR60" s="228">
        <v>1.04</v>
      </c>
      <c r="DS60" s="228">
        <v>-0.4</v>
      </c>
      <c r="DT60" s="229">
        <v>-0.3846</v>
      </c>
      <c r="DU60" s="228">
        <v>550</v>
      </c>
      <c r="DV60" s="228">
        <v>495</v>
      </c>
      <c r="DW60" s="228">
        <v>0.46</v>
      </c>
      <c r="DX60" s="228">
        <v>0.73</v>
      </c>
      <c r="DY60" s="228">
        <v>-0.27</v>
      </c>
      <c r="DZ60" s="229">
        <v>-0.36990000000000001</v>
      </c>
      <c r="EA60" s="229">
        <v>0.94520000000000004</v>
      </c>
      <c r="EB60" s="230">
        <v>16102500</v>
      </c>
      <c r="EC60" s="229">
        <v>4.5999999999999999E-3</v>
      </c>
      <c r="ED60" s="229">
        <v>0.94520000000000004</v>
      </c>
      <c r="EE60" s="228">
        <v>2.11</v>
      </c>
      <c r="EF60" s="229">
        <v>4.0000000000000001E-3</v>
      </c>
      <c r="EG60" s="230">
        <v>1383870</v>
      </c>
      <c r="EH60" s="230">
        <v>1084422</v>
      </c>
      <c r="EI60" s="229">
        <v>0.27610000000000001</v>
      </c>
      <c r="EJ60" s="229">
        <v>0.44290000000000002</v>
      </c>
      <c r="EK60" s="231">
        <v>1524.95</v>
      </c>
      <c r="EL60" s="228">
        <v>666.14</v>
      </c>
      <c r="EM60" s="228">
        <v>600.14</v>
      </c>
      <c r="EN60" s="228">
        <v>0</v>
      </c>
      <c r="EO60" s="231">
        <v>2791.23</v>
      </c>
      <c r="EP60" s="231">
        <v>1269.1400000000001</v>
      </c>
      <c r="EQ60" s="231">
        <v>1522.1</v>
      </c>
      <c r="ER60" s="229">
        <v>1.1993</v>
      </c>
      <c r="ES60" s="228">
        <v>293.36</v>
      </c>
      <c r="ET60" s="228">
        <v>175.92</v>
      </c>
      <c r="EU60" s="228">
        <v>865.42</v>
      </c>
      <c r="EV60" s="231">
        <v>119554853</v>
      </c>
      <c r="EW60" s="231">
        <v>1334.7</v>
      </c>
      <c r="EX60" s="231">
        <v>2181.75</v>
      </c>
      <c r="EY60" s="228">
        <v>-847.05</v>
      </c>
      <c r="EZ60" s="229">
        <v>-0.38819999999999999</v>
      </c>
      <c r="FA60" s="229">
        <v>0.21</v>
      </c>
      <c r="FB60" s="227" t="s">
        <v>556</v>
      </c>
      <c r="FC60">
        <f t="shared" si="0"/>
        <v>815</v>
      </c>
    </row>
    <row r="61" spans="1:159" ht="17.25" thickBot="1" x14ac:dyDescent="0.3">
      <c r="A61" s="226">
        <v>45869</v>
      </c>
      <c r="B61" s="227" t="s">
        <v>157</v>
      </c>
      <c r="C61" s="227" t="s">
        <v>524</v>
      </c>
      <c r="D61" s="228">
        <v>325</v>
      </c>
      <c r="E61" s="228">
        <v>0</v>
      </c>
      <c r="F61" s="231">
        <v>2245.9</v>
      </c>
      <c r="G61" s="231">
        <v>2250.1</v>
      </c>
      <c r="H61" s="228">
        <v>-4.2</v>
      </c>
      <c r="I61" s="229">
        <v>-1.9E-3</v>
      </c>
      <c r="J61" s="231">
        <v>2235.5</v>
      </c>
      <c r="K61" s="231">
        <v>2239.5</v>
      </c>
      <c r="L61" s="228">
        <v>-4</v>
      </c>
      <c r="M61" s="229">
        <v>-1.8E-3</v>
      </c>
      <c r="N61" s="231">
        <v>2238.8000000000002</v>
      </c>
      <c r="O61" s="231">
        <v>2238.5</v>
      </c>
      <c r="P61" s="228">
        <v>0.3</v>
      </c>
      <c r="Q61" s="229">
        <v>1E-4</v>
      </c>
      <c r="R61" s="231">
        <v>2245.9</v>
      </c>
      <c r="S61" s="231">
        <v>2250.1</v>
      </c>
      <c r="T61" s="228">
        <v>-4.2</v>
      </c>
      <c r="U61" s="229">
        <v>-1.9E-3</v>
      </c>
      <c r="V61" s="231">
        <v>2261</v>
      </c>
      <c r="W61" s="231">
        <v>2257</v>
      </c>
      <c r="X61" s="228">
        <v>4</v>
      </c>
      <c r="Y61" s="229">
        <v>1.8E-3</v>
      </c>
      <c r="Z61" s="228">
        <v>10.4</v>
      </c>
      <c r="AA61" s="228">
        <v>-1</v>
      </c>
      <c r="AB61" s="228">
        <v>11.4</v>
      </c>
      <c r="AC61" s="229">
        <v>4.7000000000000002E-3</v>
      </c>
      <c r="AD61" s="228">
        <v>3.3</v>
      </c>
      <c r="AE61" s="228">
        <v>-1</v>
      </c>
      <c r="AF61" s="228">
        <v>4.3</v>
      </c>
      <c r="AG61" s="229">
        <v>1.5E-3</v>
      </c>
      <c r="AH61" s="228">
        <v>10.4</v>
      </c>
      <c r="AI61" s="228">
        <v>10.6</v>
      </c>
      <c r="AJ61" s="228">
        <v>-0.2</v>
      </c>
      <c r="AK61" s="229">
        <v>4.7000000000000002E-3</v>
      </c>
      <c r="AL61" s="228">
        <v>25.5</v>
      </c>
      <c r="AM61" s="228">
        <v>17.5</v>
      </c>
      <c r="AN61" s="228">
        <v>8</v>
      </c>
      <c r="AO61" s="229">
        <v>1.14E-2</v>
      </c>
      <c r="AP61" s="231">
        <v>2238.48</v>
      </c>
      <c r="AQ61" s="231">
        <v>2247.73</v>
      </c>
      <c r="AR61" s="228">
        <v>0</v>
      </c>
      <c r="AS61" s="228">
        <v>254</v>
      </c>
      <c r="AT61" s="228">
        <v>444</v>
      </c>
      <c r="AU61" s="228">
        <v>-190</v>
      </c>
      <c r="AV61" s="229">
        <v>-0.4274</v>
      </c>
      <c r="AW61" s="228">
        <v>106</v>
      </c>
      <c r="AX61" s="228">
        <v>192</v>
      </c>
      <c r="AY61" s="228">
        <v>-86</v>
      </c>
      <c r="AZ61" s="229">
        <v>-0.44840000000000002</v>
      </c>
      <c r="BA61" s="228">
        <v>148</v>
      </c>
      <c r="BB61" s="228">
        <v>251</v>
      </c>
      <c r="BC61" s="228">
        <v>-103</v>
      </c>
      <c r="BD61" s="229">
        <v>-0.41120000000000001</v>
      </c>
      <c r="BE61" s="228">
        <v>0</v>
      </c>
      <c r="BF61" s="228">
        <v>1</v>
      </c>
      <c r="BG61" s="228">
        <v>0</v>
      </c>
      <c r="BH61" s="229">
        <v>-0.45450000000000002</v>
      </c>
      <c r="BI61" s="228">
        <v>130</v>
      </c>
      <c r="BJ61" s="228">
        <v>225</v>
      </c>
      <c r="BK61" s="228">
        <v>-95</v>
      </c>
      <c r="BL61" s="229">
        <v>-0.42109999999999997</v>
      </c>
      <c r="BM61" s="228">
        <v>141</v>
      </c>
      <c r="BN61" s="228">
        <v>108</v>
      </c>
      <c r="BO61" s="228">
        <v>32</v>
      </c>
      <c r="BP61" s="229">
        <v>0.29870000000000002</v>
      </c>
      <c r="BQ61" s="228">
        <v>525</v>
      </c>
      <c r="BR61" s="228">
        <v>777</v>
      </c>
      <c r="BS61" s="228">
        <v>-252</v>
      </c>
      <c r="BT61" s="229">
        <v>-0.32450000000000001</v>
      </c>
      <c r="BU61" s="230">
        <v>216381</v>
      </c>
      <c r="BV61" s="230">
        <v>383419</v>
      </c>
      <c r="BW61" s="230">
        <v>-167038</v>
      </c>
      <c r="BX61" s="229">
        <v>-0.43569999999999998</v>
      </c>
      <c r="BY61" s="228">
        <v>606</v>
      </c>
      <c r="BZ61" s="228">
        <v>727</v>
      </c>
      <c r="CA61" s="228">
        <v>-121</v>
      </c>
      <c r="CB61" s="229">
        <v>-0.16669999999999999</v>
      </c>
      <c r="CC61" s="228">
        <v>107</v>
      </c>
      <c r="CD61" s="228">
        <v>150</v>
      </c>
      <c r="CE61" s="228">
        <v>-42</v>
      </c>
      <c r="CF61" s="229">
        <v>-0.28299999999999997</v>
      </c>
      <c r="CG61" s="228">
        <v>603</v>
      </c>
      <c r="CH61" s="228">
        <v>575</v>
      </c>
      <c r="CI61" s="228">
        <v>28</v>
      </c>
      <c r="CJ61" s="229">
        <v>4.9500000000000002E-2</v>
      </c>
      <c r="CK61" s="228">
        <v>3</v>
      </c>
      <c r="CL61" s="228">
        <v>3</v>
      </c>
      <c r="CM61" s="228">
        <v>0</v>
      </c>
      <c r="CN61" s="229">
        <v>5.2600000000000001E-2</v>
      </c>
      <c r="CO61" s="228">
        <v>37</v>
      </c>
      <c r="CP61" s="228">
        <v>197</v>
      </c>
      <c r="CQ61" s="228">
        <v>-160</v>
      </c>
      <c r="CR61" s="229">
        <v>-0.81240000000000001</v>
      </c>
      <c r="CS61" s="228">
        <v>23</v>
      </c>
      <c r="CT61" s="228">
        <v>115</v>
      </c>
      <c r="CU61" s="228">
        <v>-92</v>
      </c>
      <c r="CV61" s="229">
        <v>-0.79910000000000003</v>
      </c>
      <c r="CW61" s="228">
        <v>666</v>
      </c>
      <c r="CX61" s="230">
        <v>1039</v>
      </c>
      <c r="CY61" s="228">
        <v>-373</v>
      </c>
      <c r="CZ61" s="229">
        <v>-0.35909999999999997</v>
      </c>
      <c r="DA61" s="228">
        <v>26.89</v>
      </c>
      <c r="DB61" s="228">
        <v>26.12</v>
      </c>
      <c r="DC61" s="228">
        <v>0.77</v>
      </c>
      <c r="DD61" s="228">
        <v>0.77</v>
      </c>
      <c r="DE61" s="228">
        <v>32.700000000000003</v>
      </c>
      <c r="DF61" s="228">
        <v>32.78</v>
      </c>
      <c r="DG61" s="228">
        <v>-5.81</v>
      </c>
      <c r="DH61" s="228">
        <v>-0.08</v>
      </c>
      <c r="DI61" s="228">
        <v>26.35</v>
      </c>
      <c r="DJ61" s="228">
        <v>25.76</v>
      </c>
      <c r="DK61" s="228">
        <v>0.59</v>
      </c>
      <c r="DL61" s="228">
        <v>0.59</v>
      </c>
      <c r="DM61" s="228">
        <v>27.64</v>
      </c>
      <c r="DN61" s="228">
        <v>26.51</v>
      </c>
      <c r="DO61" s="228">
        <v>1.1299999999999999</v>
      </c>
      <c r="DP61" s="228">
        <v>1.1299999999999999</v>
      </c>
      <c r="DQ61" s="228">
        <v>0.62</v>
      </c>
      <c r="DR61" s="228">
        <v>0.57999999999999996</v>
      </c>
      <c r="DS61" s="228">
        <v>0.04</v>
      </c>
      <c r="DT61" s="229">
        <v>6.9000000000000006E-2</v>
      </c>
      <c r="DU61" s="231">
        <v>2300</v>
      </c>
      <c r="DV61" s="231">
        <v>2220</v>
      </c>
      <c r="DW61" s="228">
        <v>1.08</v>
      </c>
      <c r="DX61" s="228">
        <v>0.48</v>
      </c>
      <c r="DY61" s="228">
        <v>0.6</v>
      </c>
      <c r="DZ61" s="229">
        <v>1.25</v>
      </c>
      <c r="EA61" s="229">
        <v>0.84940000000000004</v>
      </c>
      <c r="EB61" s="230">
        <v>2570425</v>
      </c>
      <c r="EC61" s="229">
        <v>3.2000000000000002E-3</v>
      </c>
      <c r="ED61" s="229">
        <v>0.84940000000000004</v>
      </c>
      <c r="EE61" s="228">
        <v>9.25</v>
      </c>
      <c r="EF61" s="229">
        <v>4.1000000000000003E-3</v>
      </c>
      <c r="EG61" s="230">
        <v>79671</v>
      </c>
      <c r="EH61" s="230">
        <v>229808</v>
      </c>
      <c r="EI61" s="229">
        <v>-0.65329999999999999</v>
      </c>
      <c r="EJ61" s="229">
        <v>0.36820000000000003</v>
      </c>
      <c r="EK61" s="228">
        <v>134.58000000000001</v>
      </c>
      <c r="EL61" s="228">
        <v>137.96</v>
      </c>
      <c r="EM61" s="228">
        <v>254</v>
      </c>
      <c r="EN61" s="228">
        <v>0</v>
      </c>
      <c r="EO61" s="228">
        <v>526.54999999999995</v>
      </c>
      <c r="EP61" s="228">
        <v>777.22</v>
      </c>
      <c r="EQ61" s="228">
        <v>-250.67</v>
      </c>
      <c r="ER61" s="229">
        <v>-0.32250000000000001</v>
      </c>
      <c r="ES61" s="228">
        <v>37.69</v>
      </c>
      <c r="ET61" s="228">
        <v>22.04</v>
      </c>
      <c r="EU61" s="228">
        <v>605.91999999999996</v>
      </c>
      <c r="EV61" s="231">
        <v>16566722</v>
      </c>
      <c r="EW61" s="228">
        <v>665.66</v>
      </c>
      <c r="EX61" s="231">
        <v>1040.68</v>
      </c>
      <c r="EY61" s="228">
        <v>-375.02</v>
      </c>
      <c r="EZ61" s="229">
        <v>-0.3604</v>
      </c>
      <c r="FA61" s="229">
        <v>0.17899999999999999</v>
      </c>
      <c r="FB61" s="227" t="s">
        <v>568</v>
      </c>
      <c r="FC61">
        <f t="shared" si="0"/>
        <v>499</v>
      </c>
    </row>
    <row r="62" spans="1:159" ht="17.25" thickBot="1" x14ac:dyDescent="0.3">
      <c r="A62" s="226">
        <v>45869</v>
      </c>
      <c r="B62" s="227" t="s">
        <v>616</v>
      </c>
      <c r="C62" s="227" t="s">
        <v>601</v>
      </c>
      <c r="D62" s="228">
        <v>2075</v>
      </c>
      <c r="E62" s="228">
        <v>0</v>
      </c>
      <c r="F62" s="228">
        <v>428.1</v>
      </c>
      <c r="G62" s="228">
        <v>409.5</v>
      </c>
      <c r="H62" s="228">
        <v>18.600000000000001</v>
      </c>
      <c r="I62" s="229">
        <v>4.5400000000000003E-2</v>
      </c>
      <c r="J62" s="228">
        <v>425.25</v>
      </c>
      <c r="K62" s="228">
        <v>409.15</v>
      </c>
      <c r="L62" s="228">
        <v>16.100000000000001</v>
      </c>
      <c r="M62" s="229">
        <v>3.9300000000000002E-2</v>
      </c>
      <c r="N62" s="228">
        <v>426.4</v>
      </c>
      <c r="O62" s="228">
        <v>408.85</v>
      </c>
      <c r="P62" s="228">
        <v>17.55</v>
      </c>
      <c r="Q62" s="229">
        <v>4.2900000000000001E-2</v>
      </c>
      <c r="R62" s="228">
        <v>428.1</v>
      </c>
      <c r="S62" s="228">
        <v>409.5</v>
      </c>
      <c r="T62" s="228">
        <v>18.600000000000001</v>
      </c>
      <c r="U62" s="229">
        <v>4.5400000000000003E-2</v>
      </c>
      <c r="V62" s="228">
        <v>428.9</v>
      </c>
      <c r="W62" s="228">
        <v>410.55</v>
      </c>
      <c r="X62" s="228">
        <v>18.350000000000001</v>
      </c>
      <c r="Y62" s="229">
        <v>4.4699999999999997E-2</v>
      </c>
      <c r="Z62" s="228">
        <v>2.85</v>
      </c>
      <c r="AA62" s="228">
        <v>-0.3</v>
      </c>
      <c r="AB62" s="228">
        <v>3.15</v>
      </c>
      <c r="AC62" s="229">
        <v>6.7000000000000002E-3</v>
      </c>
      <c r="AD62" s="228">
        <v>1.1499999999999999</v>
      </c>
      <c r="AE62" s="228">
        <v>-0.3</v>
      </c>
      <c r="AF62" s="228">
        <v>1.45</v>
      </c>
      <c r="AG62" s="229">
        <v>2.7000000000000001E-3</v>
      </c>
      <c r="AH62" s="228">
        <v>2.85</v>
      </c>
      <c r="AI62" s="228">
        <v>0.35</v>
      </c>
      <c r="AJ62" s="228">
        <v>2.5</v>
      </c>
      <c r="AK62" s="229">
        <v>6.7000000000000002E-3</v>
      </c>
      <c r="AL62" s="228">
        <v>3.65</v>
      </c>
      <c r="AM62" s="228">
        <v>1.4</v>
      </c>
      <c r="AN62" s="228">
        <v>2.25</v>
      </c>
      <c r="AO62" s="229">
        <v>8.6E-3</v>
      </c>
      <c r="AP62" s="228">
        <v>420.35</v>
      </c>
      <c r="AQ62" s="228">
        <v>422.23</v>
      </c>
      <c r="AR62" s="228">
        <v>0</v>
      </c>
      <c r="AS62" s="228">
        <v>998</v>
      </c>
      <c r="AT62" s="228">
        <v>649</v>
      </c>
      <c r="AU62" s="228">
        <v>349</v>
      </c>
      <c r="AV62" s="229">
        <v>0.53810000000000002</v>
      </c>
      <c r="AW62" s="228">
        <v>240</v>
      </c>
      <c r="AX62" s="228">
        <v>250</v>
      </c>
      <c r="AY62" s="228">
        <v>-10</v>
      </c>
      <c r="AZ62" s="229">
        <v>-4.19E-2</v>
      </c>
      <c r="BA62" s="228">
        <v>746</v>
      </c>
      <c r="BB62" s="228">
        <v>396</v>
      </c>
      <c r="BC62" s="228">
        <v>351</v>
      </c>
      <c r="BD62" s="229">
        <v>0.88619999999999999</v>
      </c>
      <c r="BE62" s="228">
        <v>12</v>
      </c>
      <c r="BF62" s="228">
        <v>3</v>
      </c>
      <c r="BG62" s="228">
        <v>9</v>
      </c>
      <c r="BH62" s="229">
        <v>3.3332999999999999</v>
      </c>
      <c r="BI62" s="228">
        <v>940</v>
      </c>
      <c r="BJ62" s="228">
        <v>397</v>
      </c>
      <c r="BK62" s="228">
        <v>543</v>
      </c>
      <c r="BL62" s="229">
        <v>1.3661000000000001</v>
      </c>
      <c r="BM62" s="228">
        <v>386</v>
      </c>
      <c r="BN62" s="228">
        <v>344</v>
      </c>
      <c r="BO62" s="228">
        <v>42</v>
      </c>
      <c r="BP62" s="229">
        <v>0.1227</v>
      </c>
      <c r="BQ62" s="230">
        <v>2324</v>
      </c>
      <c r="BR62" s="230">
        <v>1390</v>
      </c>
      <c r="BS62" s="228">
        <v>934</v>
      </c>
      <c r="BT62" s="229">
        <v>0.67210000000000003</v>
      </c>
      <c r="BU62" s="230">
        <v>7091643</v>
      </c>
      <c r="BV62" s="230">
        <v>1790291</v>
      </c>
      <c r="BW62" s="230">
        <v>5301352</v>
      </c>
      <c r="BX62" s="229">
        <v>2.9611999999999998</v>
      </c>
      <c r="BY62" s="228">
        <v>508</v>
      </c>
      <c r="BZ62" s="228">
        <v>540</v>
      </c>
      <c r="CA62" s="228">
        <v>-31</v>
      </c>
      <c r="CB62" s="229">
        <v>-5.8299999999999998E-2</v>
      </c>
      <c r="CC62" s="228">
        <v>21</v>
      </c>
      <c r="CD62" s="228">
        <v>101</v>
      </c>
      <c r="CE62" s="228">
        <v>-80</v>
      </c>
      <c r="CF62" s="229">
        <v>-0.78859999999999997</v>
      </c>
      <c r="CG62" s="228">
        <v>497</v>
      </c>
      <c r="CH62" s="228">
        <v>429</v>
      </c>
      <c r="CI62" s="228">
        <v>68</v>
      </c>
      <c r="CJ62" s="229">
        <v>0.15820000000000001</v>
      </c>
      <c r="CK62" s="228">
        <v>11</v>
      </c>
      <c r="CL62" s="228">
        <v>9</v>
      </c>
      <c r="CM62" s="228">
        <v>2</v>
      </c>
      <c r="CN62" s="229">
        <v>0.21210000000000001</v>
      </c>
      <c r="CO62" s="228">
        <v>205</v>
      </c>
      <c r="CP62" s="228">
        <v>335</v>
      </c>
      <c r="CQ62" s="228">
        <v>-130</v>
      </c>
      <c r="CR62" s="229">
        <v>-0.38769999999999999</v>
      </c>
      <c r="CS62" s="228">
        <v>98</v>
      </c>
      <c r="CT62" s="228">
        <v>193</v>
      </c>
      <c r="CU62" s="228">
        <v>-96</v>
      </c>
      <c r="CV62" s="229">
        <v>-0.49490000000000001</v>
      </c>
      <c r="CW62" s="228">
        <v>811</v>
      </c>
      <c r="CX62" s="230">
        <v>1068</v>
      </c>
      <c r="CY62" s="228">
        <v>-257</v>
      </c>
      <c r="CZ62" s="229">
        <v>-0.24060000000000001</v>
      </c>
      <c r="DA62" s="228">
        <v>40.79</v>
      </c>
      <c r="DB62" s="228">
        <v>39.39</v>
      </c>
      <c r="DC62" s="228">
        <v>1.4</v>
      </c>
      <c r="DD62" s="228">
        <v>1.4</v>
      </c>
      <c r="DE62" s="228">
        <v>42.17</v>
      </c>
      <c r="DF62" s="228">
        <v>41.85</v>
      </c>
      <c r="DG62" s="228">
        <v>-1.38</v>
      </c>
      <c r="DH62" s="228">
        <v>0.32</v>
      </c>
      <c r="DI62" s="228">
        <v>40.1</v>
      </c>
      <c r="DJ62" s="228">
        <v>39.46</v>
      </c>
      <c r="DK62" s="228">
        <v>0.64</v>
      </c>
      <c r="DL62" s="228">
        <v>0.64</v>
      </c>
      <c r="DM62" s="228">
        <v>42.41</v>
      </c>
      <c r="DN62" s="228">
        <v>39.33</v>
      </c>
      <c r="DO62" s="228">
        <v>3.08</v>
      </c>
      <c r="DP62" s="228">
        <v>3.08</v>
      </c>
      <c r="DQ62" s="228">
        <v>0.48</v>
      </c>
      <c r="DR62" s="228">
        <v>0.57999999999999996</v>
      </c>
      <c r="DS62" s="228">
        <v>-0.1</v>
      </c>
      <c r="DT62" s="229">
        <v>-0.1724</v>
      </c>
      <c r="DU62" s="228">
        <v>440</v>
      </c>
      <c r="DV62" s="228">
        <v>400</v>
      </c>
      <c r="DW62" s="228">
        <v>0.41</v>
      </c>
      <c r="DX62" s="228">
        <v>0.86</v>
      </c>
      <c r="DY62" s="228">
        <v>-0.45</v>
      </c>
      <c r="DZ62" s="229">
        <v>-0.52329999999999999</v>
      </c>
      <c r="EA62" s="229">
        <v>0.95960000000000001</v>
      </c>
      <c r="EB62" s="230">
        <v>10238050</v>
      </c>
      <c r="EC62" s="229">
        <v>4.0000000000000001E-3</v>
      </c>
      <c r="ED62" s="229">
        <v>0.95960000000000001</v>
      </c>
      <c r="EE62" s="228">
        <v>1.88</v>
      </c>
      <c r="EF62" s="229">
        <v>4.4999999999999997E-3</v>
      </c>
      <c r="EG62" s="230">
        <v>2389573</v>
      </c>
      <c r="EH62" s="230">
        <v>697737</v>
      </c>
      <c r="EI62" s="229">
        <v>2.4247000000000001</v>
      </c>
      <c r="EJ62" s="229">
        <v>0.33700000000000002</v>
      </c>
      <c r="EK62" s="228">
        <v>968.02</v>
      </c>
      <c r="EL62" s="228">
        <v>373.31</v>
      </c>
      <c r="EM62" s="228">
        <v>983.29</v>
      </c>
      <c r="EN62" s="228">
        <v>0</v>
      </c>
      <c r="EO62" s="231">
        <v>2324.61</v>
      </c>
      <c r="EP62" s="231">
        <v>1356.84</v>
      </c>
      <c r="EQ62" s="228">
        <v>967.78</v>
      </c>
      <c r="ER62" s="229">
        <v>0.71330000000000005</v>
      </c>
      <c r="ES62" s="228">
        <v>213.16</v>
      </c>
      <c r="ET62" s="228">
        <v>91.42</v>
      </c>
      <c r="EU62" s="228">
        <v>508.13</v>
      </c>
      <c r="EV62" s="231">
        <v>149116295</v>
      </c>
      <c r="EW62" s="228">
        <v>812.7</v>
      </c>
      <c r="EX62" s="231">
        <v>1031.23</v>
      </c>
      <c r="EY62" s="228">
        <v>-218.53</v>
      </c>
      <c r="EZ62" s="229">
        <v>-0.21190000000000001</v>
      </c>
      <c r="FA62" s="229">
        <v>0.127</v>
      </c>
      <c r="FB62" s="227" t="s">
        <v>556</v>
      </c>
      <c r="FC62">
        <f t="shared" si="0"/>
        <v>487</v>
      </c>
    </row>
    <row r="63" spans="1:159" ht="17.25" thickBot="1" x14ac:dyDescent="0.3">
      <c r="A63" s="226">
        <v>45869</v>
      </c>
      <c r="B63" s="227" t="s">
        <v>170</v>
      </c>
      <c r="C63" s="227" t="s">
        <v>205</v>
      </c>
      <c r="D63" s="228">
        <v>100</v>
      </c>
      <c r="E63" s="228">
        <v>0</v>
      </c>
      <c r="F63" s="231">
        <v>6623.5</v>
      </c>
      <c r="G63" s="231">
        <v>6692.5</v>
      </c>
      <c r="H63" s="228">
        <v>-69</v>
      </c>
      <c r="I63" s="229">
        <v>-1.03E-2</v>
      </c>
      <c r="J63" s="231">
        <v>6595.5</v>
      </c>
      <c r="K63" s="231">
        <v>6650</v>
      </c>
      <c r="L63" s="228">
        <v>-54.5</v>
      </c>
      <c r="M63" s="229">
        <v>-8.2000000000000007E-3</v>
      </c>
      <c r="N63" s="231">
        <v>6589.5</v>
      </c>
      <c r="O63" s="231">
        <v>6656</v>
      </c>
      <c r="P63" s="228">
        <v>-66.5</v>
      </c>
      <c r="Q63" s="229">
        <v>-0.01</v>
      </c>
      <c r="R63" s="231">
        <v>6623.5</v>
      </c>
      <c r="S63" s="231">
        <v>6692.5</v>
      </c>
      <c r="T63" s="228">
        <v>-69</v>
      </c>
      <c r="U63" s="229">
        <v>-1.03E-2</v>
      </c>
      <c r="V63" s="231">
        <v>6656</v>
      </c>
      <c r="W63" s="231">
        <v>6716</v>
      </c>
      <c r="X63" s="228">
        <v>-60</v>
      </c>
      <c r="Y63" s="229">
        <v>-8.8999999999999999E-3</v>
      </c>
      <c r="Z63" s="228">
        <v>28</v>
      </c>
      <c r="AA63" s="228">
        <v>6</v>
      </c>
      <c r="AB63" s="228">
        <v>22</v>
      </c>
      <c r="AC63" s="229">
        <v>4.1999999999999997E-3</v>
      </c>
      <c r="AD63" s="228">
        <v>-6</v>
      </c>
      <c r="AE63" s="228">
        <v>6</v>
      </c>
      <c r="AF63" s="228">
        <v>-12</v>
      </c>
      <c r="AG63" s="229">
        <v>-8.9999999999999998E-4</v>
      </c>
      <c r="AH63" s="228">
        <v>28</v>
      </c>
      <c r="AI63" s="228">
        <v>42.5</v>
      </c>
      <c r="AJ63" s="228">
        <v>-14.5</v>
      </c>
      <c r="AK63" s="229">
        <v>4.1999999999999997E-3</v>
      </c>
      <c r="AL63" s="228">
        <v>60.5</v>
      </c>
      <c r="AM63" s="228">
        <v>66</v>
      </c>
      <c r="AN63" s="228">
        <v>-5.5</v>
      </c>
      <c r="AO63" s="229">
        <v>9.1999999999999998E-3</v>
      </c>
      <c r="AP63" s="231">
        <v>6605.59</v>
      </c>
      <c r="AQ63" s="231">
        <v>6639.76</v>
      </c>
      <c r="AR63" s="228">
        <v>0</v>
      </c>
      <c r="AS63" s="228">
        <v>502</v>
      </c>
      <c r="AT63" s="230">
        <v>1294</v>
      </c>
      <c r="AU63" s="228">
        <v>-792</v>
      </c>
      <c r="AV63" s="229">
        <v>-0.61219999999999997</v>
      </c>
      <c r="AW63" s="228">
        <v>167</v>
      </c>
      <c r="AX63" s="228">
        <v>586</v>
      </c>
      <c r="AY63" s="228">
        <v>-419</v>
      </c>
      <c r="AZ63" s="229">
        <v>-0.71509999999999996</v>
      </c>
      <c r="BA63" s="228">
        <v>329</v>
      </c>
      <c r="BB63" s="228">
        <v>704</v>
      </c>
      <c r="BC63" s="228">
        <v>-376</v>
      </c>
      <c r="BD63" s="229">
        <v>-0.53320000000000001</v>
      </c>
      <c r="BE63" s="228">
        <v>6</v>
      </c>
      <c r="BF63" s="228">
        <v>4</v>
      </c>
      <c r="BG63" s="228">
        <v>2</v>
      </c>
      <c r="BH63" s="229">
        <v>0.64910000000000001</v>
      </c>
      <c r="BI63" s="228">
        <v>487</v>
      </c>
      <c r="BJ63" s="228">
        <v>819</v>
      </c>
      <c r="BK63" s="228">
        <v>-332</v>
      </c>
      <c r="BL63" s="229">
        <v>-0.40560000000000002</v>
      </c>
      <c r="BM63" s="228">
        <v>267</v>
      </c>
      <c r="BN63" s="228">
        <v>313</v>
      </c>
      <c r="BO63" s="228">
        <v>-45</v>
      </c>
      <c r="BP63" s="229">
        <v>-0.14449999999999999</v>
      </c>
      <c r="BQ63" s="230">
        <v>1256</v>
      </c>
      <c r="BR63" s="230">
        <v>2426</v>
      </c>
      <c r="BS63" s="230">
        <v>-1170</v>
      </c>
      <c r="BT63" s="229">
        <v>-0.48220000000000002</v>
      </c>
      <c r="BU63" s="230">
        <v>213385</v>
      </c>
      <c r="BV63" s="230">
        <v>230361</v>
      </c>
      <c r="BW63" s="230">
        <v>-16976</v>
      </c>
      <c r="BX63" s="229">
        <v>-7.3700000000000002E-2</v>
      </c>
      <c r="BY63" s="230">
        <v>1968</v>
      </c>
      <c r="BZ63" s="230">
        <v>2019</v>
      </c>
      <c r="CA63" s="228">
        <v>-52</v>
      </c>
      <c r="CB63" s="229">
        <v>-2.5499999999999998E-2</v>
      </c>
      <c r="CC63" s="228">
        <v>41</v>
      </c>
      <c r="CD63" s="228">
        <v>142</v>
      </c>
      <c r="CE63" s="228">
        <v>-101</v>
      </c>
      <c r="CF63" s="229">
        <v>-0.71289999999999998</v>
      </c>
      <c r="CG63" s="230">
        <v>1953</v>
      </c>
      <c r="CH63" s="230">
        <v>1864</v>
      </c>
      <c r="CI63" s="228">
        <v>89</v>
      </c>
      <c r="CJ63" s="229">
        <v>4.7500000000000001E-2</v>
      </c>
      <c r="CK63" s="228">
        <v>15</v>
      </c>
      <c r="CL63" s="228">
        <v>13</v>
      </c>
      <c r="CM63" s="228">
        <v>2</v>
      </c>
      <c r="CN63" s="229">
        <v>0.1144</v>
      </c>
      <c r="CO63" s="228">
        <v>224</v>
      </c>
      <c r="CP63" s="228">
        <v>695</v>
      </c>
      <c r="CQ63" s="228">
        <v>-471</v>
      </c>
      <c r="CR63" s="229">
        <v>-0.67830000000000001</v>
      </c>
      <c r="CS63" s="228">
        <v>149</v>
      </c>
      <c r="CT63" s="228">
        <v>402</v>
      </c>
      <c r="CU63" s="228">
        <v>-253</v>
      </c>
      <c r="CV63" s="229">
        <v>-0.62919999999999998</v>
      </c>
      <c r="CW63" s="230">
        <v>2340</v>
      </c>
      <c r="CX63" s="230">
        <v>3116</v>
      </c>
      <c r="CY63" s="228">
        <v>-776</v>
      </c>
      <c r="CZ63" s="229">
        <v>-0.249</v>
      </c>
      <c r="DA63" s="228">
        <v>31.03</v>
      </c>
      <c r="DB63" s="228">
        <v>29.29</v>
      </c>
      <c r="DC63" s="228">
        <v>1.74</v>
      </c>
      <c r="DD63" s="228">
        <v>1.74</v>
      </c>
      <c r="DE63" s="228">
        <v>31.69</v>
      </c>
      <c r="DF63" s="228">
        <v>31.75</v>
      </c>
      <c r="DG63" s="228">
        <v>-0.66</v>
      </c>
      <c r="DH63" s="228">
        <v>-0.06</v>
      </c>
      <c r="DI63" s="228">
        <v>31.19</v>
      </c>
      <c r="DJ63" s="228">
        <v>29.18</v>
      </c>
      <c r="DK63" s="228">
        <v>2.0099999999999998</v>
      </c>
      <c r="DL63" s="228">
        <v>2.0099999999999998</v>
      </c>
      <c r="DM63" s="228">
        <v>30.77</v>
      </c>
      <c r="DN63" s="228">
        <v>29.53</v>
      </c>
      <c r="DO63" s="228">
        <v>1.24</v>
      </c>
      <c r="DP63" s="228">
        <v>1.24</v>
      </c>
      <c r="DQ63" s="228">
        <v>0.67</v>
      </c>
      <c r="DR63" s="228">
        <v>0.57999999999999996</v>
      </c>
      <c r="DS63" s="228">
        <v>0.09</v>
      </c>
      <c r="DT63" s="229">
        <v>0.1552</v>
      </c>
      <c r="DU63" s="231">
        <v>7000</v>
      </c>
      <c r="DV63" s="231">
        <v>6300</v>
      </c>
      <c r="DW63" s="228">
        <v>0.55000000000000004</v>
      </c>
      <c r="DX63" s="228">
        <v>0.38</v>
      </c>
      <c r="DY63" s="228">
        <v>0.17</v>
      </c>
      <c r="DZ63" s="229">
        <v>0.44740000000000002</v>
      </c>
      <c r="EA63" s="229">
        <v>0.9798</v>
      </c>
      <c r="EB63" s="230">
        <v>2834700</v>
      </c>
      <c r="EC63" s="229">
        <v>5.1999999999999998E-3</v>
      </c>
      <c r="ED63" s="229">
        <v>0.9798</v>
      </c>
      <c r="EE63" s="228">
        <v>34.17</v>
      </c>
      <c r="EF63" s="229">
        <v>5.1999999999999998E-3</v>
      </c>
      <c r="EG63" s="230">
        <v>112241</v>
      </c>
      <c r="EH63" s="230">
        <v>131386</v>
      </c>
      <c r="EI63" s="229">
        <v>-0.1457</v>
      </c>
      <c r="EJ63" s="229">
        <v>0.52600000000000002</v>
      </c>
      <c r="EK63" s="228">
        <v>511.57</v>
      </c>
      <c r="EL63" s="228">
        <v>261.70999999999998</v>
      </c>
      <c r="EM63" s="228">
        <v>502.46</v>
      </c>
      <c r="EN63" s="228">
        <v>0</v>
      </c>
      <c r="EO63" s="231">
        <v>1275.75</v>
      </c>
      <c r="EP63" s="231">
        <v>2479.0100000000002</v>
      </c>
      <c r="EQ63" s="231">
        <v>-1203.27</v>
      </c>
      <c r="ER63" s="229">
        <v>-0.4854</v>
      </c>
      <c r="ES63" s="228">
        <v>236.23</v>
      </c>
      <c r="ET63" s="228">
        <v>143.15</v>
      </c>
      <c r="EU63" s="231">
        <v>1967.78</v>
      </c>
      <c r="EV63" s="231">
        <v>25542698</v>
      </c>
      <c r="EW63" s="231">
        <v>2347.16</v>
      </c>
      <c r="EX63" s="231">
        <v>3176.11</v>
      </c>
      <c r="EY63" s="228">
        <v>-828.95</v>
      </c>
      <c r="EZ63" s="229">
        <v>-0.26100000000000001</v>
      </c>
      <c r="FA63" s="229">
        <v>0.13830000000000001</v>
      </c>
      <c r="FB63" s="227" t="s">
        <v>568</v>
      </c>
      <c r="FC63">
        <f t="shared" si="0"/>
        <v>1927</v>
      </c>
    </row>
    <row r="64" spans="1:159" ht="17.25" thickBot="1" x14ac:dyDescent="0.3">
      <c r="A64" s="226">
        <v>45869</v>
      </c>
      <c r="B64" s="227" t="s">
        <v>184</v>
      </c>
      <c r="C64" s="227" t="s">
        <v>512</v>
      </c>
      <c r="D64" s="228">
        <v>50</v>
      </c>
      <c r="E64" s="228">
        <v>0</v>
      </c>
      <c r="F64" s="231">
        <v>16890</v>
      </c>
      <c r="G64" s="231">
        <v>16856</v>
      </c>
      <c r="H64" s="228">
        <v>34</v>
      </c>
      <c r="I64" s="229">
        <v>2E-3</v>
      </c>
      <c r="J64" s="231">
        <v>16841</v>
      </c>
      <c r="K64" s="231">
        <v>16765</v>
      </c>
      <c r="L64" s="228">
        <v>76</v>
      </c>
      <c r="M64" s="229">
        <v>4.4999999999999997E-3</v>
      </c>
      <c r="N64" s="231">
        <v>16812</v>
      </c>
      <c r="O64" s="231">
        <v>16771</v>
      </c>
      <c r="P64" s="228">
        <v>41</v>
      </c>
      <c r="Q64" s="229">
        <v>2.3999999999999998E-3</v>
      </c>
      <c r="R64" s="231">
        <v>16890</v>
      </c>
      <c r="S64" s="231">
        <v>16856</v>
      </c>
      <c r="T64" s="228">
        <v>34</v>
      </c>
      <c r="U64" s="229">
        <v>2E-3</v>
      </c>
      <c r="V64" s="231">
        <v>16967</v>
      </c>
      <c r="W64" s="231">
        <v>16931</v>
      </c>
      <c r="X64" s="228">
        <v>36</v>
      </c>
      <c r="Y64" s="229">
        <v>2.0999999999999999E-3</v>
      </c>
      <c r="Z64" s="228">
        <v>49</v>
      </c>
      <c r="AA64" s="228">
        <v>6</v>
      </c>
      <c r="AB64" s="228">
        <v>43</v>
      </c>
      <c r="AC64" s="229">
        <v>2.8999999999999998E-3</v>
      </c>
      <c r="AD64" s="228">
        <v>-29</v>
      </c>
      <c r="AE64" s="228">
        <v>6</v>
      </c>
      <c r="AF64" s="228">
        <v>-35</v>
      </c>
      <c r="AG64" s="229">
        <v>-1.6999999999999999E-3</v>
      </c>
      <c r="AH64" s="228">
        <v>49</v>
      </c>
      <c r="AI64" s="228">
        <v>91</v>
      </c>
      <c r="AJ64" s="228">
        <v>-42</v>
      </c>
      <c r="AK64" s="229">
        <v>2.8999999999999998E-3</v>
      </c>
      <c r="AL64" s="228">
        <v>126</v>
      </c>
      <c r="AM64" s="228">
        <v>166</v>
      </c>
      <c r="AN64" s="228">
        <v>-40</v>
      </c>
      <c r="AO64" s="229">
        <v>7.4999999999999997E-3</v>
      </c>
      <c r="AP64" s="231">
        <v>16577.32</v>
      </c>
      <c r="AQ64" s="231">
        <v>16671.11</v>
      </c>
      <c r="AR64" s="228">
        <v>0</v>
      </c>
      <c r="AS64" s="230">
        <v>2636</v>
      </c>
      <c r="AT64" s="230">
        <v>1504</v>
      </c>
      <c r="AU64" s="230">
        <v>1132</v>
      </c>
      <c r="AV64" s="229">
        <v>0.75260000000000005</v>
      </c>
      <c r="AW64" s="230">
        <v>1047</v>
      </c>
      <c r="AX64" s="228">
        <v>758</v>
      </c>
      <c r="AY64" s="228">
        <v>289</v>
      </c>
      <c r="AZ64" s="229">
        <v>0.38129999999999997</v>
      </c>
      <c r="BA64" s="230">
        <v>1542</v>
      </c>
      <c r="BB64" s="228">
        <v>736</v>
      </c>
      <c r="BC64" s="228">
        <v>806</v>
      </c>
      <c r="BD64" s="229">
        <v>1.0946</v>
      </c>
      <c r="BE64" s="228">
        <v>47</v>
      </c>
      <c r="BF64" s="228">
        <v>10</v>
      </c>
      <c r="BG64" s="228">
        <v>37</v>
      </c>
      <c r="BH64" s="229">
        <v>3.7202999999999999</v>
      </c>
      <c r="BI64" s="230">
        <v>5597</v>
      </c>
      <c r="BJ64" s="230">
        <v>3291</v>
      </c>
      <c r="BK64" s="230">
        <v>2306</v>
      </c>
      <c r="BL64" s="229">
        <v>0.7006</v>
      </c>
      <c r="BM64" s="230">
        <v>4706</v>
      </c>
      <c r="BN64" s="230">
        <v>2688</v>
      </c>
      <c r="BO64" s="230">
        <v>2019</v>
      </c>
      <c r="BP64" s="229">
        <v>0.751</v>
      </c>
      <c r="BQ64" s="230">
        <v>12939</v>
      </c>
      <c r="BR64" s="230">
        <v>7483</v>
      </c>
      <c r="BS64" s="230">
        <v>5456</v>
      </c>
      <c r="BT64" s="229">
        <v>0.72919999999999996</v>
      </c>
      <c r="BU64" s="230">
        <v>602325</v>
      </c>
      <c r="BV64" s="230">
        <v>160428</v>
      </c>
      <c r="BW64" s="230">
        <v>441897</v>
      </c>
      <c r="BX64" s="229">
        <v>2.7545000000000002</v>
      </c>
      <c r="BY64" s="230">
        <v>2302</v>
      </c>
      <c r="BZ64" s="230">
        <v>2743</v>
      </c>
      <c r="CA64" s="228">
        <v>-441</v>
      </c>
      <c r="CB64" s="229">
        <v>-0.1608</v>
      </c>
      <c r="CC64" s="228">
        <v>320</v>
      </c>
      <c r="CD64" s="228">
        <v>722</v>
      </c>
      <c r="CE64" s="228">
        <v>-403</v>
      </c>
      <c r="CF64" s="229">
        <v>-0.55759999999999998</v>
      </c>
      <c r="CG64" s="230">
        <v>2253</v>
      </c>
      <c r="CH64" s="230">
        <v>1977</v>
      </c>
      <c r="CI64" s="228">
        <v>275</v>
      </c>
      <c r="CJ64" s="229">
        <v>0.1391</v>
      </c>
      <c r="CK64" s="228">
        <v>49</v>
      </c>
      <c r="CL64" s="228">
        <v>43</v>
      </c>
      <c r="CM64" s="228">
        <v>6</v>
      </c>
      <c r="CN64" s="229">
        <v>0.14119999999999999</v>
      </c>
      <c r="CO64" s="228">
        <v>683</v>
      </c>
      <c r="CP64" s="230">
        <v>1785</v>
      </c>
      <c r="CQ64" s="230">
        <v>-1103</v>
      </c>
      <c r="CR64" s="229">
        <v>-0.61770000000000003</v>
      </c>
      <c r="CS64" s="228">
        <v>645</v>
      </c>
      <c r="CT64" s="230">
        <v>1578</v>
      </c>
      <c r="CU64" s="228">
        <v>-932</v>
      </c>
      <c r="CV64" s="229">
        <v>-0.59089999999999998</v>
      </c>
      <c r="CW64" s="230">
        <v>3630</v>
      </c>
      <c r="CX64" s="230">
        <v>6106</v>
      </c>
      <c r="CY64" s="230">
        <v>-2476</v>
      </c>
      <c r="CZ64" s="229">
        <v>-0.40550000000000003</v>
      </c>
      <c r="DA64" s="228">
        <v>32.58</v>
      </c>
      <c r="DB64" s="228">
        <v>32.11</v>
      </c>
      <c r="DC64" s="228">
        <v>0.47</v>
      </c>
      <c r="DD64" s="228">
        <v>0.47</v>
      </c>
      <c r="DE64" s="228">
        <v>47.8</v>
      </c>
      <c r="DF64" s="228">
        <v>47.91</v>
      </c>
      <c r="DG64" s="228">
        <v>-15.22</v>
      </c>
      <c r="DH64" s="228">
        <v>-0.11</v>
      </c>
      <c r="DI64" s="228">
        <v>31.96</v>
      </c>
      <c r="DJ64" s="228">
        <v>31.49</v>
      </c>
      <c r="DK64" s="228">
        <v>0.47</v>
      </c>
      <c r="DL64" s="228">
        <v>0.47</v>
      </c>
      <c r="DM64" s="228">
        <v>33.409999999999997</v>
      </c>
      <c r="DN64" s="228">
        <v>32.909999999999997</v>
      </c>
      <c r="DO64" s="228">
        <v>0.5</v>
      </c>
      <c r="DP64" s="228">
        <v>0.5</v>
      </c>
      <c r="DQ64" s="228">
        <v>0.95</v>
      </c>
      <c r="DR64" s="228">
        <v>0.88</v>
      </c>
      <c r="DS64" s="228">
        <v>7.0000000000000007E-2</v>
      </c>
      <c r="DT64" s="229">
        <v>7.9500000000000001E-2</v>
      </c>
      <c r="DU64" s="231">
        <v>18000</v>
      </c>
      <c r="DV64" s="231">
        <v>15000</v>
      </c>
      <c r="DW64" s="228">
        <v>0.84</v>
      </c>
      <c r="DX64" s="228">
        <v>0.82</v>
      </c>
      <c r="DY64" s="228">
        <v>0.02</v>
      </c>
      <c r="DZ64" s="229">
        <v>2.4400000000000002E-2</v>
      </c>
      <c r="EA64" s="229">
        <v>0.87809999999999999</v>
      </c>
      <c r="EB64" s="230">
        <v>1196300</v>
      </c>
      <c r="EC64" s="229">
        <v>4.5999999999999999E-3</v>
      </c>
      <c r="ED64" s="229">
        <v>0.87809999999999999</v>
      </c>
      <c r="EE64" s="228">
        <v>93.79</v>
      </c>
      <c r="EF64" s="229">
        <v>5.7000000000000002E-3</v>
      </c>
      <c r="EG64" s="230">
        <v>180702</v>
      </c>
      <c r="EH64" s="230">
        <v>61669</v>
      </c>
      <c r="EI64" s="229">
        <v>1.9301999999999999</v>
      </c>
      <c r="EJ64" s="229">
        <v>0.3</v>
      </c>
      <c r="EK64" s="231">
        <v>5731.09</v>
      </c>
      <c r="EL64" s="231">
        <v>4505.22</v>
      </c>
      <c r="EM64" s="231">
        <v>2596.56</v>
      </c>
      <c r="EN64" s="228">
        <v>0</v>
      </c>
      <c r="EO64" s="231">
        <v>12832.87</v>
      </c>
      <c r="EP64" s="231">
        <v>7427.69</v>
      </c>
      <c r="EQ64" s="231">
        <v>5405.18</v>
      </c>
      <c r="ER64" s="229">
        <v>0.72770000000000001</v>
      </c>
      <c r="ES64" s="228">
        <v>693.97</v>
      </c>
      <c r="ET64" s="228">
        <v>599.67999999999995</v>
      </c>
      <c r="EU64" s="231">
        <v>2301.9899999999998</v>
      </c>
      <c r="EV64" s="231">
        <v>8159946</v>
      </c>
      <c r="EW64" s="231">
        <v>3595.64</v>
      </c>
      <c r="EX64" s="231">
        <v>5933.32</v>
      </c>
      <c r="EY64" s="231">
        <v>-2337.6799999999998</v>
      </c>
      <c r="EZ64" s="229">
        <v>-0.39400000000000002</v>
      </c>
      <c r="FA64" s="229">
        <v>0.26340000000000002</v>
      </c>
      <c r="FB64" s="227" t="s">
        <v>556</v>
      </c>
      <c r="FC64">
        <f t="shared" si="0"/>
        <v>1982</v>
      </c>
    </row>
    <row r="65" spans="1:159" ht="17.25" thickBot="1" x14ac:dyDescent="0.3">
      <c r="A65" s="226">
        <v>45869</v>
      </c>
      <c r="B65" s="227" t="s">
        <v>206</v>
      </c>
      <c r="C65" s="227" t="s">
        <v>207</v>
      </c>
      <c r="D65" s="228">
        <v>825</v>
      </c>
      <c r="E65" s="228">
        <v>0</v>
      </c>
      <c r="F65" s="228">
        <v>787.25</v>
      </c>
      <c r="G65" s="228">
        <v>793.65</v>
      </c>
      <c r="H65" s="228">
        <v>-6.4</v>
      </c>
      <c r="I65" s="229">
        <v>-8.0999999999999996E-3</v>
      </c>
      <c r="J65" s="228">
        <v>784.25</v>
      </c>
      <c r="K65" s="228">
        <v>788.8</v>
      </c>
      <c r="L65" s="228">
        <v>-4.55</v>
      </c>
      <c r="M65" s="229">
        <v>-5.7999999999999996E-3</v>
      </c>
      <c r="N65" s="228">
        <v>783.4</v>
      </c>
      <c r="O65" s="228">
        <v>789.55</v>
      </c>
      <c r="P65" s="228">
        <v>-6.15</v>
      </c>
      <c r="Q65" s="229">
        <v>-7.7999999999999996E-3</v>
      </c>
      <c r="R65" s="228">
        <v>787.25</v>
      </c>
      <c r="S65" s="228">
        <v>793.65</v>
      </c>
      <c r="T65" s="228">
        <v>-6.4</v>
      </c>
      <c r="U65" s="229">
        <v>-8.0999999999999996E-3</v>
      </c>
      <c r="V65" s="228">
        <v>791.8</v>
      </c>
      <c r="W65" s="228">
        <v>797.85</v>
      </c>
      <c r="X65" s="228">
        <v>-6.05</v>
      </c>
      <c r="Y65" s="229">
        <v>-7.6E-3</v>
      </c>
      <c r="Z65" s="228">
        <v>3</v>
      </c>
      <c r="AA65" s="228">
        <v>0.75</v>
      </c>
      <c r="AB65" s="228">
        <v>2.25</v>
      </c>
      <c r="AC65" s="229">
        <v>3.8E-3</v>
      </c>
      <c r="AD65" s="228">
        <v>-0.85</v>
      </c>
      <c r="AE65" s="228">
        <v>0.75</v>
      </c>
      <c r="AF65" s="228">
        <v>-1.6</v>
      </c>
      <c r="AG65" s="229">
        <v>-1.1000000000000001E-3</v>
      </c>
      <c r="AH65" s="228">
        <v>3</v>
      </c>
      <c r="AI65" s="228">
        <v>4.8499999999999996</v>
      </c>
      <c r="AJ65" s="228">
        <v>-1.85</v>
      </c>
      <c r="AK65" s="229">
        <v>3.8E-3</v>
      </c>
      <c r="AL65" s="228">
        <v>7.55</v>
      </c>
      <c r="AM65" s="228">
        <v>9.0500000000000007</v>
      </c>
      <c r="AN65" s="228">
        <v>-1.5</v>
      </c>
      <c r="AO65" s="229">
        <v>9.5999999999999992E-3</v>
      </c>
      <c r="AP65" s="228">
        <v>784.48</v>
      </c>
      <c r="AQ65" s="228">
        <v>788.3</v>
      </c>
      <c r="AR65" s="228">
        <v>0</v>
      </c>
      <c r="AS65" s="230">
        <v>1460</v>
      </c>
      <c r="AT65" s="230">
        <v>1503</v>
      </c>
      <c r="AU65" s="228">
        <v>-43</v>
      </c>
      <c r="AV65" s="229">
        <v>-2.87E-2</v>
      </c>
      <c r="AW65" s="228">
        <v>577</v>
      </c>
      <c r="AX65" s="228">
        <v>729</v>
      </c>
      <c r="AY65" s="228">
        <v>-153</v>
      </c>
      <c r="AZ65" s="229">
        <v>-0.20930000000000001</v>
      </c>
      <c r="BA65" s="228">
        <v>863</v>
      </c>
      <c r="BB65" s="228">
        <v>758</v>
      </c>
      <c r="BC65" s="228">
        <v>105</v>
      </c>
      <c r="BD65" s="229">
        <v>0.13830000000000001</v>
      </c>
      <c r="BE65" s="228">
        <v>21</v>
      </c>
      <c r="BF65" s="228">
        <v>16</v>
      </c>
      <c r="BG65" s="228">
        <v>5</v>
      </c>
      <c r="BH65" s="229">
        <v>0.28970000000000001</v>
      </c>
      <c r="BI65" s="230">
        <v>1428</v>
      </c>
      <c r="BJ65" s="230">
        <v>1502</v>
      </c>
      <c r="BK65" s="228">
        <v>-74</v>
      </c>
      <c r="BL65" s="229">
        <v>-4.9000000000000002E-2</v>
      </c>
      <c r="BM65" s="230">
        <v>1064</v>
      </c>
      <c r="BN65" s="230">
        <v>1121</v>
      </c>
      <c r="BO65" s="228">
        <v>-57</v>
      </c>
      <c r="BP65" s="229">
        <v>-5.0500000000000003E-2</v>
      </c>
      <c r="BQ65" s="230">
        <v>3953</v>
      </c>
      <c r="BR65" s="230">
        <v>4126</v>
      </c>
      <c r="BS65" s="228">
        <v>-173</v>
      </c>
      <c r="BT65" s="229">
        <v>-4.2000000000000003E-2</v>
      </c>
      <c r="BU65" s="230">
        <v>2327807</v>
      </c>
      <c r="BV65" s="230">
        <v>1670558</v>
      </c>
      <c r="BW65" s="230">
        <v>657249</v>
      </c>
      <c r="BX65" s="229">
        <v>0.39340000000000003</v>
      </c>
      <c r="BY65" s="230">
        <v>2747</v>
      </c>
      <c r="BZ65" s="230">
        <v>2887</v>
      </c>
      <c r="CA65" s="228">
        <v>-140</v>
      </c>
      <c r="CB65" s="229">
        <v>-4.8599999999999997E-2</v>
      </c>
      <c r="CC65" s="228">
        <v>139</v>
      </c>
      <c r="CD65" s="228">
        <v>481</v>
      </c>
      <c r="CE65" s="228">
        <v>-342</v>
      </c>
      <c r="CF65" s="229">
        <v>-0.71109999999999995</v>
      </c>
      <c r="CG65" s="230">
        <v>2699</v>
      </c>
      <c r="CH65" s="230">
        <v>2368</v>
      </c>
      <c r="CI65" s="228">
        <v>331</v>
      </c>
      <c r="CJ65" s="229">
        <v>0.13980000000000001</v>
      </c>
      <c r="CK65" s="228">
        <v>48</v>
      </c>
      <c r="CL65" s="228">
        <v>38</v>
      </c>
      <c r="CM65" s="228">
        <v>10</v>
      </c>
      <c r="CN65" s="229">
        <v>0.2707</v>
      </c>
      <c r="CO65" s="228">
        <v>609</v>
      </c>
      <c r="CP65" s="230">
        <v>1340</v>
      </c>
      <c r="CQ65" s="228">
        <v>-731</v>
      </c>
      <c r="CR65" s="229">
        <v>-0.54579999999999995</v>
      </c>
      <c r="CS65" s="228">
        <v>521</v>
      </c>
      <c r="CT65" s="228">
        <v>834</v>
      </c>
      <c r="CU65" s="228">
        <v>-313</v>
      </c>
      <c r="CV65" s="229">
        <v>-0.37559999999999999</v>
      </c>
      <c r="CW65" s="230">
        <v>3876</v>
      </c>
      <c r="CX65" s="230">
        <v>5061</v>
      </c>
      <c r="CY65" s="230">
        <v>-1185</v>
      </c>
      <c r="CZ65" s="229">
        <v>-0.2341</v>
      </c>
      <c r="DA65" s="228">
        <v>30.28</v>
      </c>
      <c r="DB65" s="228">
        <v>30.91</v>
      </c>
      <c r="DC65" s="228">
        <v>-0.63</v>
      </c>
      <c r="DD65" s="228">
        <v>-0.63</v>
      </c>
      <c r="DE65" s="228">
        <v>39.83</v>
      </c>
      <c r="DF65" s="228">
        <v>39.93</v>
      </c>
      <c r="DG65" s="228">
        <v>-9.5500000000000007</v>
      </c>
      <c r="DH65" s="228">
        <v>-0.1</v>
      </c>
      <c r="DI65" s="228">
        <v>30.27</v>
      </c>
      <c r="DJ65" s="228">
        <v>30.5</v>
      </c>
      <c r="DK65" s="228">
        <v>-0.23</v>
      </c>
      <c r="DL65" s="228">
        <v>-0.23</v>
      </c>
      <c r="DM65" s="228">
        <v>30.28</v>
      </c>
      <c r="DN65" s="228">
        <v>31.42</v>
      </c>
      <c r="DO65" s="228">
        <v>-1.1399999999999999</v>
      </c>
      <c r="DP65" s="228">
        <v>-1.1399999999999999</v>
      </c>
      <c r="DQ65" s="228">
        <v>0.86</v>
      </c>
      <c r="DR65" s="228">
        <v>0.62</v>
      </c>
      <c r="DS65" s="228">
        <v>0.24</v>
      </c>
      <c r="DT65" s="229">
        <v>0.3871</v>
      </c>
      <c r="DU65" s="228">
        <v>800</v>
      </c>
      <c r="DV65" s="228">
        <v>800</v>
      </c>
      <c r="DW65" s="228">
        <v>0.75</v>
      </c>
      <c r="DX65" s="228">
        <v>0.75</v>
      </c>
      <c r="DY65" s="228">
        <v>0</v>
      </c>
      <c r="DZ65" s="229">
        <v>0</v>
      </c>
      <c r="EA65" s="229">
        <v>0.95179999999999998</v>
      </c>
      <c r="EB65" s="230">
        <v>30555525</v>
      </c>
      <c r="EC65" s="229">
        <v>4.8999999999999998E-3</v>
      </c>
      <c r="ED65" s="229">
        <v>0.95179999999999998</v>
      </c>
      <c r="EE65" s="228">
        <v>3.82</v>
      </c>
      <c r="EF65" s="229">
        <v>4.8999999999999998E-3</v>
      </c>
      <c r="EG65" s="230">
        <v>1065759</v>
      </c>
      <c r="EH65" s="230">
        <v>771994</v>
      </c>
      <c r="EI65" s="229">
        <v>0.3805</v>
      </c>
      <c r="EJ65" s="229">
        <v>0.45779999999999998</v>
      </c>
      <c r="EK65" s="231">
        <v>1502.92</v>
      </c>
      <c r="EL65" s="231">
        <v>1084.7</v>
      </c>
      <c r="EM65" s="231">
        <v>1459.52</v>
      </c>
      <c r="EN65" s="228">
        <v>0</v>
      </c>
      <c r="EO65" s="231">
        <v>4047.14</v>
      </c>
      <c r="EP65" s="231">
        <v>4239.5</v>
      </c>
      <c r="EQ65" s="228">
        <v>-192.36</v>
      </c>
      <c r="ER65" s="229">
        <v>-4.5400000000000003E-2</v>
      </c>
      <c r="ES65" s="228">
        <v>650.49</v>
      </c>
      <c r="ET65" s="228">
        <v>519.1</v>
      </c>
      <c r="EU65" s="231">
        <v>2746.93</v>
      </c>
      <c r="EV65" s="231">
        <v>128335464</v>
      </c>
      <c r="EW65" s="231">
        <v>3916.53</v>
      </c>
      <c r="EX65" s="231">
        <v>5206.3999999999996</v>
      </c>
      <c r="EY65" s="231">
        <v>-1289.8699999999999</v>
      </c>
      <c r="EZ65" s="229">
        <v>-0.2477</v>
      </c>
      <c r="FA65" s="229">
        <v>0.38369999999999999</v>
      </c>
      <c r="FB65" s="227" t="s">
        <v>568</v>
      </c>
      <c r="FC65">
        <f t="shared" si="0"/>
        <v>2608</v>
      </c>
    </row>
    <row r="66" spans="1:159" ht="17.25" thickBot="1" x14ac:dyDescent="0.3">
      <c r="A66" s="226">
        <v>45869</v>
      </c>
      <c r="B66" s="227" t="s">
        <v>616</v>
      </c>
      <c r="C66" s="227" t="s">
        <v>584</v>
      </c>
      <c r="D66" s="228">
        <v>150</v>
      </c>
      <c r="E66" s="228">
        <v>0</v>
      </c>
      <c r="F66" s="231">
        <v>4246.6000000000004</v>
      </c>
      <c r="G66" s="231">
        <v>4266</v>
      </c>
      <c r="H66" s="228">
        <v>-19.399999999999999</v>
      </c>
      <c r="I66" s="229">
        <v>-4.4999999999999997E-3</v>
      </c>
      <c r="J66" s="231">
        <v>4267.3999999999996</v>
      </c>
      <c r="K66" s="231">
        <v>4281.3999999999996</v>
      </c>
      <c r="L66" s="228">
        <v>-14</v>
      </c>
      <c r="M66" s="229">
        <v>-3.3E-3</v>
      </c>
      <c r="N66" s="231">
        <v>4273</v>
      </c>
      <c r="O66" s="231">
        <v>4286.1000000000004</v>
      </c>
      <c r="P66" s="228">
        <v>-13.1</v>
      </c>
      <c r="Q66" s="229">
        <v>-3.0999999999999999E-3</v>
      </c>
      <c r="R66" s="231">
        <v>4246.6000000000004</v>
      </c>
      <c r="S66" s="231">
        <v>4266</v>
      </c>
      <c r="T66" s="228">
        <v>-19.399999999999999</v>
      </c>
      <c r="U66" s="229">
        <v>-4.4999999999999997E-3</v>
      </c>
      <c r="V66" s="231">
        <v>4236.6000000000004</v>
      </c>
      <c r="W66" s="231">
        <v>4265.8</v>
      </c>
      <c r="X66" s="228">
        <v>-29.2</v>
      </c>
      <c r="Y66" s="229">
        <v>-6.7999999999999996E-3</v>
      </c>
      <c r="Z66" s="228">
        <v>-20.8</v>
      </c>
      <c r="AA66" s="228">
        <v>4.7</v>
      </c>
      <c r="AB66" s="228">
        <v>-25.5</v>
      </c>
      <c r="AC66" s="229">
        <v>-4.8999999999999998E-3</v>
      </c>
      <c r="AD66" s="228">
        <v>5.6</v>
      </c>
      <c r="AE66" s="228">
        <v>4.7</v>
      </c>
      <c r="AF66" s="228">
        <v>0.9</v>
      </c>
      <c r="AG66" s="229">
        <v>1.2999999999999999E-3</v>
      </c>
      <c r="AH66" s="228">
        <v>-20.8</v>
      </c>
      <c r="AI66" s="228">
        <v>-15.4</v>
      </c>
      <c r="AJ66" s="228">
        <v>-5.4</v>
      </c>
      <c r="AK66" s="229">
        <v>-4.8999999999999998E-3</v>
      </c>
      <c r="AL66" s="228">
        <v>-30.8</v>
      </c>
      <c r="AM66" s="228">
        <v>-15.6</v>
      </c>
      <c r="AN66" s="228">
        <v>-15.2</v>
      </c>
      <c r="AO66" s="229">
        <v>-7.1999999999999998E-3</v>
      </c>
      <c r="AP66" s="231">
        <v>4302.3</v>
      </c>
      <c r="AQ66" s="231">
        <v>4267.41</v>
      </c>
      <c r="AR66" s="228">
        <v>0</v>
      </c>
      <c r="AS66" s="230">
        <v>1323</v>
      </c>
      <c r="AT66" s="230">
        <v>2854</v>
      </c>
      <c r="AU66" s="230">
        <v>-1531</v>
      </c>
      <c r="AV66" s="229">
        <v>-0.5363</v>
      </c>
      <c r="AW66" s="228">
        <v>544</v>
      </c>
      <c r="AX66" s="230">
        <v>1320</v>
      </c>
      <c r="AY66" s="228">
        <v>-776</v>
      </c>
      <c r="AZ66" s="229">
        <v>-0.58779999999999999</v>
      </c>
      <c r="BA66" s="228">
        <v>761</v>
      </c>
      <c r="BB66" s="230">
        <v>1503</v>
      </c>
      <c r="BC66" s="228">
        <v>-742</v>
      </c>
      <c r="BD66" s="229">
        <v>-0.49340000000000001</v>
      </c>
      <c r="BE66" s="228">
        <v>18</v>
      </c>
      <c r="BF66" s="228">
        <v>31</v>
      </c>
      <c r="BG66" s="228">
        <v>-13</v>
      </c>
      <c r="BH66" s="229">
        <v>-0.42149999999999999</v>
      </c>
      <c r="BI66" s="230">
        <v>5027</v>
      </c>
      <c r="BJ66" s="230">
        <v>18172</v>
      </c>
      <c r="BK66" s="230">
        <v>-13144</v>
      </c>
      <c r="BL66" s="229">
        <v>-0.72330000000000005</v>
      </c>
      <c r="BM66" s="230">
        <v>2453</v>
      </c>
      <c r="BN66" s="230">
        <v>5451</v>
      </c>
      <c r="BO66" s="230">
        <v>-2998</v>
      </c>
      <c r="BP66" s="229">
        <v>-0.55000000000000004</v>
      </c>
      <c r="BQ66" s="230">
        <v>8803</v>
      </c>
      <c r="BR66" s="230">
        <v>26476</v>
      </c>
      <c r="BS66" s="230">
        <v>-17673</v>
      </c>
      <c r="BT66" s="229">
        <v>-0.66749999999999998</v>
      </c>
      <c r="BU66" s="230">
        <v>1163534</v>
      </c>
      <c r="BV66" s="230">
        <v>3601654</v>
      </c>
      <c r="BW66" s="230">
        <v>-2438120</v>
      </c>
      <c r="BX66" s="229">
        <v>-0.67689999999999995</v>
      </c>
      <c r="BY66" s="230">
        <v>2227</v>
      </c>
      <c r="BZ66" s="230">
        <v>2737</v>
      </c>
      <c r="CA66" s="228">
        <v>-510</v>
      </c>
      <c r="CB66" s="229">
        <v>-0.18640000000000001</v>
      </c>
      <c r="CC66" s="228">
        <v>372</v>
      </c>
      <c r="CD66" s="228">
        <v>492</v>
      </c>
      <c r="CE66" s="228">
        <v>-119</v>
      </c>
      <c r="CF66" s="229">
        <v>-0.24229999999999999</v>
      </c>
      <c r="CG66" s="230">
        <v>2202</v>
      </c>
      <c r="CH66" s="230">
        <v>2224</v>
      </c>
      <c r="CI66" s="228">
        <v>-21</v>
      </c>
      <c r="CJ66" s="229">
        <v>-9.5999999999999992E-3</v>
      </c>
      <c r="CK66" s="228">
        <v>25</v>
      </c>
      <c r="CL66" s="228">
        <v>22</v>
      </c>
      <c r="CM66" s="228">
        <v>3</v>
      </c>
      <c r="CN66" s="229">
        <v>0.1239</v>
      </c>
      <c r="CO66" s="228">
        <v>437</v>
      </c>
      <c r="CP66" s="230">
        <v>1154</v>
      </c>
      <c r="CQ66" s="228">
        <v>-716</v>
      </c>
      <c r="CR66" s="229">
        <v>-0.62090000000000001</v>
      </c>
      <c r="CS66" s="228">
        <v>288</v>
      </c>
      <c r="CT66" s="228">
        <v>912</v>
      </c>
      <c r="CU66" s="228">
        <v>-624</v>
      </c>
      <c r="CV66" s="229">
        <v>-0.68400000000000005</v>
      </c>
      <c r="CW66" s="230">
        <v>2953</v>
      </c>
      <c r="CX66" s="230">
        <v>4803</v>
      </c>
      <c r="CY66" s="230">
        <v>-1851</v>
      </c>
      <c r="CZ66" s="229">
        <v>-0.38529999999999998</v>
      </c>
      <c r="DA66" s="228">
        <v>28</v>
      </c>
      <c r="DB66" s="228">
        <v>29.27</v>
      </c>
      <c r="DC66" s="228">
        <v>-1.27</v>
      </c>
      <c r="DD66" s="228">
        <v>-1.27</v>
      </c>
      <c r="DE66" s="228">
        <v>34.619999999999997</v>
      </c>
      <c r="DF66" s="228">
        <v>34.700000000000003</v>
      </c>
      <c r="DG66" s="228">
        <v>-6.62</v>
      </c>
      <c r="DH66" s="228">
        <v>-0.08</v>
      </c>
      <c r="DI66" s="228">
        <v>27.69</v>
      </c>
      <c r="DJ66" s="228">
        <v>29.02</v>
      </c>
      <c r="DK66" s="228">
        <v>-1.33</v>
      </c>
      <c r="DL66" s="228">
        <v>-1.33</v>
      </c>
      <c r="DM66" s="228">
        <v>28.92</v>
      </c>
      <c r="DN66" s="228">
        <v>29.99</v>
      </c>
      <c r="DO66" s="228">
        <v>-1.07</v>
      </c>
      <c r="DP66" s="228">
        <v>-1.07</v>
      </c>
      <c r="DQ66" s="228">
        <v>0.66</v>
      </c>
      <c r="DR66" s="228">
        <v>0.79</v>
      </c>
      <c r="DS66" s="228">
        <v>-0.13</v>
      </c>
      <c r="DT66" s="229">
        <v>-0.1646</v>
      </c>
      <c r="DU66" s="231">
        <v>4300</v>
      </c>
      <c r="DV66" s="231">
        <v>3950</v>
      </c>
      <c r="DW66" s="228">
        <v>0.49</v>
      </c>
      <c r="DX66" s="228">
        <v>0.3</v>
      </c>
      <c r="DY66" s="228">
        <v>0.19</v>
      </c>
      <c r="DZ66" s="229">
        <v>0.63329999999999997</v>
      </c>
      <c r="EA66" s="229">
        <v>0.85670000000000002</v>
      </c>
      <c r="EB66" s="230">
        <v>5288100</v>
      </c>
      <c r="EC66" s="229">
        <v>-6.1999999999999998E-3</v>
      </c>
      <c r="ED66" s="229">
        <v>0.85670000000000002</v>
      </c>
      <c r="EE66" s="228">
        <v>-34.89</v>
      </c>
      <c r="EF66" s="229">
        <v>-8.0999999999999996E-3</v>
      </c>
      <c r="EG66" s="230">
        <v>397511</v>
      </c>
      <c r="EH66" s="230">
        <v>1276968</v>
      </c>
      <c r="EI66" s="229">
        <v>-0.68869999999999998</v>
      </c>
      <c r="EJ66" s="229">
        <v>0.34160000000000001</v>
      </c>
      <c r="EK66" s="231">
        <v>5291.24</v>
      </c>
      <c r="EL66" s="231">
        <v>2401.7600000000002</v>
      </c>
      <c r="EM66" s="231">
        <v>1334.34</v>
      </c>
      <c r="EN66" s="228">
        <v>0</v>
      </c>
      <c r="EO66" s="231">
        <v>9027.34</v>
      </c>
      <c r="EP66" s="231">
        <v>26940.19</v>
      </c>
      <c r="EQ66" s="231">
        <v>-17912.849999999999</v>
      </c>
      <c r="ER66" s="229">
        <v>-0.66490000000000005</v>
      </c>
      <c r="ES66" s="228">
        <v>460.66</v>
      </c>
      <c r="ET66" s="228">
        <v>267.85000000000002</v>
      </c>
      <c r="EU66" s="231">
        <v>2226.92</v>
      </c>
      <c r="EV66" s="231">
        <v>32997182</v>
      </c>
      <c r="EW66" s="231">
        <v>2955.43</v>
      </c>
      <c r="EX66" s="231">
        <v>4822.13</v>
      </c>
      <c r="EY66" s="231">
        <v>-1866.7</v>
      </c>
      <c r="EZ66" s="229">
        <v>-0.3871</v>
      </c>
      <c r="FA66" s="229">
        <v>0.2107</v>
      </c>
      <c r="FB66" s="227" t="s">
        <v>568</v>
      </c>
      <c r="FC66">
        <f t="shared" si="0"/>
        <v>1855</v>
      </c>
    </row>
    <row r="67" spans="1:159" ht="17.25" thickBot="1" x14ac:dyDescent="0.3">
      <c r="A67" s="226">
        <v>45869</v>
      </c>
      <c r="B67" s="227" t="s">
        <v>170</v>
      </c>
      <c r="C67" s="227" t="s">
        <v>208</v>
      </c>
      <c r="D67" s="228">
        <v>625</v>
      </c>
      <c r="E67" s="228">
        <v>0</v>
      </c>
      <c r="F67" s="231">
        <v>1274.3</v>
      </c>
      <c r="G67" s="231">
        <v>1296.8</v>
      </c>
      <c r="H67" s="228">
        <v>-22.5</v>
      </c>
      <c r="I67" s="229">
        <v>-1.7399999999999999E-2</v>
      </c>
      <c r="J67" s="231">
        <v>1270.3</v>
      </c>
      <c r="K67" s="231">
        <v>1292.0999999999999</v>
      </c>
      <c r="L67" s="228">
        <v>-21.8</v>
      </c>
      <c r="M67" s="229">
        <v>-1.6899999999999998E-2</v>
      </c>
      <c r="N67" s="231">
        <v>1271.3</v>
      </c>
      <c r="O67" s="231">
        <v>1290.5</v>
      </c>
      <c r="P67" s="228">
        <v>-19.2</v>
      </c>
      <c r="Q67" s="229">
        <v>-1.49E-2</v>
      </c>
      <c r="R67" s="231">
        <v>1274.3</v>
      </c>
      <c r="S67" s="231">
        <v>1296.8</v>
      </c>
      <c r="T67" s="228">
        <v>-22.5</v>
      </c>
      <c r="U67" s="229">
        <v>-1.7399999999999999E-2</v>
      </c>
      <c r="V67" s="231">
        <v>1278.5</v>
      </c>
      <c r="W67" s="231">
        <v>1301.7</v>
      </c>
      <c r="X67" s="228">
        <v>-23.2</v>
      </c>
      <c r="Y67" s="229">
        <v>-1.78E-2</v>
      </c>
      <c r="Z67" s="228">
        <v>4</v>
      </c>
      <c r="AA67" s="228">
        <v>-1.6</v>
      </c>
      <c r="AB67" s="228">
        <v>5.6</v>
      </c>
      <c r="AC67" s="229">
        <v>3.0999999999999999E-3</v>
      </c>
      <c r="AD67" s="228">
        <v>1</v>
      </c>
      <c r="AE67" s="228">
        <v>-1.6</v>
      </c>
      <c r="AF67" s="228">
        <v>2.6</v>
      </c>
      <c r="AG67" s="229">
        <v>8.0000000000000004E-4</v>
      </c>
      <c r="AH67" s="228">
        <v>4</v>
      </c>
      <c r="AI67" s="228">
        <v>4.7</v>
      </c>
      <c r="AJ67" s="228">
        <v>-0.7</v>
      </c>
      <c r="AK67" s="229">
        <v>3.0999999999999999E-3</v>
      </c>
      <c r="AL67" s="228">
        <v>8.1999999999999993</v>
      </c>
      <c r="AM67" s="228">
        <v>9.6</v>
      </c>
      <c r="AN67" s="228">
        <v>-1.4</v>
      </c>
      <c r="AO67" s="229">
        <v>6.4999999999999997E-3</v>
      </c>
      <c r="AP67" s="231">
        <v>1274.23</v>
      </c>
      <c r="AQ67" s="231">
        <v>1275.68</v>
      </c>
      <c r="AR67" s="228">
        <v>0</v>
      </c>
      <c r="AS67" s="228">
        <v>976</v>
      </c>
      <c r="AT67" s="228">
        <v>953</v>
      </c>
      <c r="AU67" s="228">
        <v>24</v>
      </c>
      <c r="AV67" s="229">
        <v>2.47E-2</v>
      </c>
      <c r="AW67" s="228">
        <v>366</v>
      </c>
      <c r="AX67" s="228">
        <v>431</v>
      </c>
      <c r="AY67" s="228">
        <v>-65</v>
      </c>
      <c r="AZ67" s="229">
        <v>-0.15040000000000001</v>
      </c>
      <c r="BA67" s="228">
        <v>605</v>
      </c>
      <c r="BB67" s="228">
        <v>518</v>
      </c>
      <c r="BC67" s="228">
        <v>87</v>
      </c>
      <c r="BD67" s="229">
        <v>0.16800000000000001</v>
      </c>
      <c r="BE67" s="228">
        <v>5</v>
      </c>
      <c r="BF67" s="228">
        <v>4</v>
      </c>
      <c r="BG67" s="228">
        <v>1</v>
      </c>
      <c r="BH67" s="229">
        <v>0.38300000000000001</v>
      </c>
      <c r="BI67" s="230">
        <v>1056</v>
      </c>
      <c r="BJ67" s="230">
        <v>1554</v>
      </c>
      <c r="BK67" s="228">
        <v>-498</v>
      </c>
      <c r="BL67" s="229">
        <v>-0.32040000000000002</v>
      </c>
      <c r="BM67" s="228">
        <v>991</v>
      </c>
      <c r="BN67" s="228">
        <v>793</v>
      </c>
      <c r="BO67" s="228">
        <v>198</v>
      </c>
      <c r="BP67" s="229">
        <v>0.24940000000000001</v>
      </c>
      <c r="BQ67" s="230">
        <v>3023</v>
      </c>
      <c r="BR67" s="230">
        <v>3299</v>
      </c>
      <c r="BS67" s="228">
        <v>-277</v>
      </c>
      <c r="BT67" s="229">
        <v>-8.3799999999999999E-2</v>
      </c>
      <c r="BU67" s="230">
        <v>2021750</v>
      </c>
      <c r="BV67" s="230">
        <v>1495665</v>
      </c>
      <c r="BW67" s="230">
        <v>526085</v>
      </c>
      <c r="BX67" s="229">
        <v>0.35170000000000001</v>
      </c>
      <c r="BY67" s="230">
        <v>1437</v>
      </c>
      <c r="BZ67" s="230">
        <v>1566</v>
      </c>
      <c r="CA67" s="228">
        <v>-128</v>
      </c>
      <c r="CB67" s="229">
        <v>-8.1900000000000001E-2</v>
      </c>
      <c r="CC67" s="228">
        <v>142</v>
      </c>
      <c r="CD67" s="228">
        <v>252</v>
      </c>
      <c r="CE67" s="228">
        <v>-110</v>
      </c>
      <c r="CF67" s="229">
        <v>-0.43669999999999998</v>
      </c>
      <c r="CG67" s="230">
        <v>1426</v>
      </c>
      <c r="CH67" s="230">
        <v>1303</v>
      </c>
      <c r="CI67" s="228">
        <v>123</v>
      </c>
      <c r="CJ67" s="229">
        <v>9.4E-2</v>
      </c>
      <c r="CK67" s="228">
        <v>11</v>
      </c>
      <c r="CL67" s="228">
        <v>10</v>
      </c>
      <c r="CM67" s="228">
        <v>1</v>
      </c>
      <c r="CN67" s="229">
        <v>0.1077</v>
      </c>
      <c r="CO67" s="228">
        <v>315</v>
      </c>
      <c r="CP67" s="230">
        <v>1550</v>
      </c>
      <c r="CQ67" s="230">
        <v>-1234</v>
      </c>
      <c r="CR67" s="229">
        <v>-0.79649999999999999</v>
      </c>
      <c r="CS67" s="228">
        <v>187</v>
      </c>
      <c r="CT67" s="228">
        <v>703</v>
      </c>
      <c r="CU67" s="228">
        <v>-516</v>
      </c>
      <c r="CV67" s="229">
        <v>-0.73350000000000004</v>
      </c>
      <c r="CW67" s="230">
        <v>1940</v>
      </c>
      <c r="CX67" s="230">
        <v>3818</v>
      </c>
      <c r="CY67" s="230">
        <v>-1878</v>
      </c>
      <c r="CZ67" s="229">
        <v>-0.4919</v>
      </c>
      <c r="DA67" s="228">
        <v>24.46</v>
      </c>
      <c r="DB67" s="228">
        <v>24.12</v>
      </c>
      <c r="DC67" s="228">
        <v>0.34</v>
      </c>
      <c r="DD67" s="228">
        <v>0.34</v>
      </c>
      <c r="DE67" s="228">
        <v>25.08</v>
      </c>
      <c r="DF67" s="228">
        <v>25.03</v>
      </c>
      <c r="DG67" s="228">
        <v>-0.62</v>
      </c>
      <c r="DH67" s="228">
        <v>0.05</v>
      </c>
      <c r="DI67" s="228">
        <v>24.27</v>
      </c>
      <c r="DJ67" s="228">
        <v>23.86</v>
      </c>
      <c r="DK67" s="228">
        <v>0.41</v>
      </c>
      <c r="DL67" s="228">
        <v>0.41</v>
      </c>
      <c r="DM67" s="228">
        <v>24.78</v>
      </c>
      <c r="DN67" s="228">
        <v>24.83</v>
      </c>
      <c r="DO67" s="228">
        <v>-0.05</v>
      </c>
      <c r="DP67" s="228">
        <v>-0.05</v>
      </c>
      <c r="DQ67" s="228">
        <v>0.59</v>
      </c>
      <c r="DR67" s="228">
        <v>0.45</v>
      </c>
      <c r="DS67" s="228">
        <v>0.14000000000000001</v>
      </c>
      <c r="DT67" s="229">
        <v>0.31109999999999999</v>
      </c>
      <c r="DU67" s="231">
        <v>1300</v>
      </c>
      <c r="DV67" s="231">
        <v>1100</v>
      </c>
      <c r="DW67" s="228">
        <v>0.94</v>
      </c>
      <c r="DX67" s="228">
        <v>0.51</v>
      </c>
      <c r="DY67" s="228">
        <v>0.43</v>
      </c>
      <c r="DZ67" s="229">
        <v>0.84309999999999996</v>
      </c>
      <c r="EA67" s="229">
        <v>0.91020000000000001</v>
      </c>
      <c r="EB67" s="230">
        <v>10309375</v>
      </c>
      <c r="EC67" s="229">
        <v>2.3999999999999998E-3</v>
      </c>
      <c r="ED67" s="229">
        <v>0.91020000000000001</v>
      </c>
      <c r="EE67" s="228">
        <v>1.45</v>
      </c>
      <c r="EF67" s="229">
        <v>1.1000000000000001E-3</v>
      </c>
      <c r="EG67" s="230">
        <v>917943</v>
      </c>
      <c r="EH67" s="230">
        <v>705059</v>
      </c>
      <c r="EI67" s="229">
        <v>0.3019</v>
      </c>
      <c r="EJ67" s="229">
        <v>0.45400000000000001</v>
      </c>
      <c r="EK67" s="231">
        <v>1089.99</v>
      </c>
      <c r="EL67" s="228">
        <v>984.72</v>
      </c>
      <c r="EM67" s="228">
        <v>976.85</v>
      </c>
      <c r="EN67" s="228">
        <v>0</v>
      </c>
      <c r="EO67" s="231">
        <v>3051.56</v>
      </c>
      <c r="EP67" s="231">
        <v>3361.74</v>
      </c>
      <c r="EQ67" s="228">
        <v>-310.19</v>
      </c>
      <c r="ER67" s="229">
        <v>-9.2299999999999993E-2</v>
      </c>
      <c r="ES67" s="228">
        <v>326.25</v>
      </c>
      <c r="ET67" s="228">
        <v>182.28</v>
      </c>
      <c r="EU67" s="231">
        <v>1437.45</v>
      </c>
      <c r="EV67" s="231">
        <v>121939493</v>
      </c>
      <c r="EW67" s="231">
        <v>1945.97</v>
      </c>
      <c r="EX67" s="231">
        <v>3900.68</v>
      </c>
      <c r="EY67" s="231">
        <v>-1954.71</v>
      </c>
      <c r="EZ67" s="229">
        <v>-0.50109999999999999</v>
      </c>
      <c r="FA67" s="229">
        <v>0.1249</v>
      </c>
      <c r="FB67" s="227" t="s">
        <v>568</v>
      </c>
      <c r="FC67">
        <f t="shared" ref="FC67:FC130" si="1">BY67-CC67</f>
        <v>1295</v>
      </c>
    </row>
    <row r="68" spans="1:159" ht="17.25" thickBot="1" x14ac:dyDescent="0.3">
      <c r="A68" s="226">
        <v>45869</v>
      </c>
      <c r="B68" s="227" t="s">
        <v>162</v>
      </c>
      <c r="C68" s="227" t="s">
        <v>209</v>
      </c>
      <c r="D68" s="228">
        <v>175</v>
      </c>
      <c r="E68" s="228">
        <v>0</v>
      </c>
      <c r="F68" s="231">
        <v>5424.5</v>
      </c>
      <c r="G68" s="231">
        <v>5439</v>
      </c>
      <c r="H68" s="228">
        <v>-14.5</v>
      </c>
      <c r="I68" s="229">
        <v>-2.7000000000000001E-3</v>
      </c>
      <c r="J68" s="231">
        <v>5468.5</v>
      </c>
      <c r="K68" s="231">
        <v>5481</v>
      </c>
      <c r="L68" s="228">
        <v>-12.5</v>
      </c>
      <c r="M68" s="229">
        <v>-2.3E-3</v>
      </c>
      <c r="N68" s="231">
        <v>5460.5</v>
      </c>
      <c r="O68" s="231">
        <v>5482</v>
      </c>
      <c r="P68" s="228">
        <v>-21.5</v>
      </c>
      <c r="Q68" s="229">
        <v>-3.8999999999999998E-3</v>
      </c>
      <c r="R68" s="231">
        <v>5424.5</v>
      </c>
      <c r="S68" s="231">
        <v>5439</v>
      </c>
      <c r="T68" s="228">
        <v>-14.5</v>
      </c>
      <c r="U68" s="229">
        <v>-2.7000000000000001E-3</v>
      </c>
      <c r="V68" s="231">
        <v>5457</v>
      </c>
      <c r="W68" s="231">
        <v>5468</v>
      </c>
      <c r="X68" s="228">
        <v>-11</v>
      </c>
      <c r="Y68" s="229">
        <v>-2E-3</v>
      </c>
      <c r="Z68" s="228">
        <v>-44</v>
      </c>
      <c r="AA68" s="228">
        <v>1</v>
      </c>
      <c r="AB68" s="228">
        <v>-45</v>
      </c>
      <c r="AC68" s="229">
        <v>-8.0000000000000002E-3</v>
      </c>
      <c r="AD68" s="228">
        <v>-8</v>
      </c>
      <c r="AE68" s="228">
        <v>1</v>
      </c>
      <c r="AF68" s="228">
        <v>-9</v>
      </c>
      <c r="AG68" s="229">
        <v>-1.5E-3</v>
      </c>
      <c r="AH68" s="228">
        <v>-44</v>
      </c>
      <c r="AI68" s="228">
        <v>-42</v>
      </c>
      <c r="AJ68" s="228">
        <v>-2</v>
      </c>
      <c r="AK68" s="229">
        <v>-8.0000000000000002E-3</v>
      </c>
      <c r="AL68" s="228">
        <v>-11.5</v>
      </c>
      <c r="AM68" s="228">
        <v>-13</v>
      </c>
      <c r="AN68" s="228">
        <v>1.5</v>
      </c>
      <c r="AO68" s="229">
        <v>-2.0999999999999999E-3</v>
      </c>
      <c r="AP68" s="231">
        <v>5461.22</v>
      </c>
      <c r="AQ68" s="231">
        <v>5417.34</v>
      </c>
      <c r="AR68" s="228">
        <v>0</v>
      </c>
      <c r="AS68" s="228">
        <v>703</v>
      </c>
      <c r="AT68" s="228">
        <v>995</v>
      </c>
      <c r="AU68" s="228">
        <v>-292</v>
      </c>
      <c r="AV68" s="229">
        <v>-0.29349999999999998</v>
      </c>
      <c r="AW68" s="228">
        <v>255</v>
      </c>
      <c r="AX68" s="228">
        <v>401</v>
      </c>
      <c r="AY68" s="228">
        <v>-146</v>
      </c>
      <c r="AZ68" s="229">
        <v>-0.36320000000000002</v>
      </c>
      <c r="BA68" s="228">
        <v>445</v>
      </c>
      <c r="BB68" s="228">
        <v>590</v>
      </c>
      <c r="BC68" s="228">
        <v>-145</v>
      </c>
      <c r="BD68" s="229">
        <v>-0.246</v>
      </c>
      <c r="BE68" s="228">
        <v>3</v>
      </c>
      <c r="BF68" s="228">
        <v>4</v>
      </c>
      <c r="BG68" s="228">
        <v>-1</v>
      </c>
      <c r="BH68" s="229">
        <v>-0.2979</v>
      </c>
      <c r="BI68" s="230">
        <v>1090</v>
      </c>
      <c r="BJ68" s="230">
        <v>1935</v>
      </c>
      <c r="BK68" s="228">
        <v>-845</v>
      </c>
      <c r="BL68" s="229">
        <v>-0.43659999999999999</v>
      </c>
      <c r="BM68" s="228">
        <v>719</v>
      </c>
      <c r="BN68" s="228">
        <v>645</v>
      </c>
      <c r="BO68" s="228">
        <v>74</v>
      </c>
      <c r="BP68" s="229">
        <v>0.1153</v>
      </c>
      <c r="BQ68" s="230">
        <v>2512</v>
      </c>
      <c r="BR68" s="230">
        <v>3574</v>
      </c>
      <c r="BS68" s="230">
        <v>-1062</v>
      </c>
      <c r="BT68" s="229">
        <v>-0.29720000000000002</v>
      </c>
      <c r="BU68" s="230">
        <v>316649</v>
      </c>
      <c r="BV68" s="230">
        <v>274872</v>
      </c>
      <c r="BW68" s="230">
        <v>41777</v>
      </c>
      <c r="BX68" s="229">
        <v>0.152</v>
      </c>
      <c r="BY68" s="230">
        <v>1639</v>
      </c>
      <c r="BZ68" s="230">
        <v>1791</v>
      </c>
      <c r="CA68" s="228">
        <v>-152</v>
      </c>
      <c r="CB68" s="229">
        <v>-8.4699999999999998E-2</v>
      </c>
      <c r="CC68" s="228">
        <v>121</v>
      </c>
      <c r="CD68" s="228">
        <v>218</v>
      </c>
      <c r="CE68" s="228">
        <v>-97</v>
      </c>
      <c r="CF68" s="229">
        <v>-0.44600000000000001</v>
      </c>
      <c r="CG68" s="230">
        <v>1629</v>
      </c>
      <c r="CH68" s="230">
        <v>1565</v>
      </c>
      <c r="CI68" s="228">
        <v>64</v>
      </c>
      <c r="CJ68" s="229">
        <v>4.1200000000000001E-2</v>
      </c>
      <c r="CK68" s="228">
        <v>10</v>
      </c>
      <c r="CL68" s="228">
        <v>8</v>
      </c>
      <c r="CM68" s="228">
        <v>2</v>
      </c>
      <c r="CN68" s="229">
        <v>0.22090000000000001</v>
      </c>
      <c r="CO68" s="228">
        <v>384</v>
      </c>
      <c r="CP68" s="230">
        <v>1062</v>
      </c>
      <c r="CQ68" s="228">
        <v>-678</v>
      </c>
      <c r="CR68" s="229">
        <v>-0.63870000000000005</v>
      </c>
      <c r="CS68" s="228">
        <v>282</v>
      </c>
      <c r="CT68" s="228">
        <v>562</v>
      </c>
      <c r="CU68" s="228">
        <v>-280</v>
      </c>
      <c r="CV68" s="229">
        <v>-0.49840000000000001</v>
      </c>
      <c r="CW68" s="230">
        <v>2304</v>
      </c>
      <c r="CX68" s="230">
        <v>3414</v>
      </c>
      <c r="CY68" s="230">
        <v>-1110</v>
      </c>
      <c r="CZ68" s="229">
        <v>-0.3251</v>
      </c>
      <c r="DA68" s="228">
        <v>26.55</v>
      </c>
      <c r="DB68" s="228">
        <v>25.89</v>
      </c>
      <c r="DC68" s="228">
        <v>0.66</v>
      </c>
      <c r="DD68" s="228">
        <v>0.66</v>
      </c>
      <c r="DE68" s="228">
        <v>29.35</v>
      </c>
      <c r="DF68" s="228">
        <v>29.42</v>
      </c>
      <c r="DG68" s="228">
        <v>-2.8</v>
      </c>
      <c r="DH68" s="228">
        <v>-7.0000000000000007E-2</v>
      </c>
      <c r="DI68" s="228">
        <v>26.42</v>
      </c>
      <c r="DJ68" s="228">
        <v>26.09</v>
      </c>
      <c r="DK68" s="228">
        <v>0.33</v>
      </c>
      <c r="DL68" s="228">
        <v>0.33</v>
      </c>
      <c r="DM68" s="228">
        <v>26.77</v>
      </c>
      <c r="DN68" s="228">
        <v>25.36</v>
      </c>
      <c r="DO68" s="228">
        <v>1.41</v>
      </c>
      <c r="DP68" s="228">
        <v>1.41</v>
      </c>
      <c r="DQ68" s="228">
        <v>0.73</v>
      </c>
      <c r="DR68" s="228">
        <v>0.53</v>
      </c>
      <c r="DS68" s="228">
        <v>0.2</v>
      </c>
      <c r="DT68" s="229">
        <v>0.37740000000000001</v>
      </c>
      <c r="DU68" s="231">
        <v>5800</v>
      </c>
      <c r="DV68" s="231">
        <v>5000</v>
      </c>
      <c r="DW68" s="228">
        <v>0.66</v>
      </c>
      <c r="DX68" s="228">
        <v>0.33</v>
      </c>
      <c r="DY68" s="228">
        <v>0.33</v>
      </c>
      <c r="DZ68" s="229">
        <v>1</v>
      </c>
      <c r="EA68" s="229">
        <v>0.93140000000000001</v>
      </c>
      <c r="EB68" s="230">
        <v>2899400</v>
      </c>
      <c r="EC68" s="229">
        <v>-6.6E-3</v>
      </c>
      <c r="ED68" s="229">
        <v>0.93140000000000001</v>
      </c>
      <c r="EE68" s="228">
        <v>-43.88</v>
      </c>
      <c r="EF68" s="229">
        <v>-8.0000000000000002E-3</v>
      </c>
      <c r="EG68" s="230">
        <v>147647</v>
      </c>
      <c r="EH68" s="230">
        <v>142717</v>
      </c>
      <c r="EI68" s="229">
        <v>3.4500000000000003E-2</v>
      </c>
      <c r="EJ68" s="229">
        <v>0.46629999999999999</v>
      </c>
      <c r="EK68" s="231">
        <v>1147.48</v>
      </c>
      <c r="EL68" s="228">
        <v>714.9</v>
      </c>
      <c r="EM68" s="228">
        <v>704.1</v>
      </c>
      <c r="EN68" s="228">
        <v>0</v>
      </c>
      <c r="EO68" s="231">
        <v>2566.48</v>
      </c>
      <c r="EP68" s="231">
        <v>3681.86</v>
      </c>
      <c r="EQ68" s="231">
        <v>-1115.3800000000001</v>
      </c>
      <c r="ER68" s="229">
        <v>-0.3029</v>
      </c>
      <c r="ES68" s="228">
        <v>403.55</v>
      </c>
      <c r="ET68" s="228">
        <v>277.33</v>
      </c>
      <c r="EU68" s="231">
        <v>1639.1</v>
      </c>
      <c r="EV68" s="231">
        <v>27919827</v>
      </c>
      <c r="EW68" s="231">
        <v>2319.9899999999998</v>
      </c>
      <c r="EX68" s="231">
        <v>3487.42</v>
      </c>
      <c r="EY68" s="231">
        <v>-1167.43</v>
      </c>
      <c r="EZ68" s="229">
        <v>-0.33479999999999999</v>
      </c>
      <c r="FA68" s="229">
        <v>0.1522</v>
      </c>
      <c r="FB68" s="227" t="s">
        <v>568</v>
      </c>
      <c r="FC68">
        <f t="shared" si="1"/>
        <v>1518</v>
      </c>
    </row>
    <row r="69" spans="1:159" ht="17.25" thickBot="1" x14ac:dyDescent="0.3">
      <c r="A69" s="226">
        <v>45869</v>
      </c>
      <c r="B69" s="227" t="s">
        <v>616</v>
      </c>
      <c r="C69" s="227" t="s">
        <v>669</v>
      </c>
      <c r="D69" s="228">
        <v>2425</v>
      </c>
      <c r="E69" s="228">
        <v>0</v>
      </c>
      <c r="F69" s="228">
        <v>309.7</v>
      </c>
      <c r="G69" s="228">
        <v>305.3</v>
      </c>
      <c r="H69" s="228">
        <v>4.4000000000000004</v>
      </c>
      <c r="I69" s="229">
        <v>1.44E-2</v>
      </c>
      <c r="J69" s="228">
        <v>307.8</v>
      </c>
      <c r="K69" s="228">
        <v>303.45</v>
      </c>
      <c r="L69" s="228">
        <v>4.3499999999999996</v>
      </c>
      <c r="M69" s="229">
        <v>1.43E-2</v>
      </c>
      <c r="N69" s="228">
        <v>307.8</v>
      </c>
      <c r="O69" s="228">
        <v>303.55</v>
      </c>
      <c r="P69" s="228">
        <v>4.25</v>
      </c>
      <c r="Q69" s="229">
        <v>1.4E-2</v>
      </c>
      <c r="R69" s="228">
        <v>309.7</v>
      </c>
      <c r="S69" s="228">
        <v>305.3</v>
      </c>
      <c r="T69" s="228">
        <v>4.4000000000000004</v>
      </c>
      <c r="U69" s="229">
        <v>1.44E-2</v>
      </c>
      <c r="V69" s="228">
        <v>311.14999999999998</v>
      </c>
      <c r="W69" s="228">
        <v>306.75</v>
      </c>
      <c r="X69" s="228">
        <v>4.4000000000000004</v>
      </c>
      <c r="Y69" s="229">
        <v>1.43E-2</v>
      </c>
      <c r="Z69" s="228">
        <v>1.9</v>
      </c>
      <c r="AA69" s="228">
        <v>0.1</v>
      </c>
      <c r="AB69" s="228">
        <v>1.8</v>
      </c>
      <c r="AC69" s="229">
        <v>6.1999999999999998E-3</v>
      </c>
      <c r="AD69" s="228">
        <v>0</v>
      </c>
      <c r="AE69" s="228">
        <v>0.1</v>
      </c>
      <c r="AF69" s="228">
        <v>-0.1</v>
      </c>
      <c r="AG69" s="229">
        <v>0</v>
      </c>
      <c r="AH69" s="228">
        <v>1.9</v>
      </c>
      <c r="AI69" s="228">
        <v>1.85</v>
      </c>
      <c r="AJ69" s="228">
        <v>0.05</v>
      </c>
      <c r="AK69" s="229">
        <v>6.1999999999999998E-3</v>
      </c>
      <c r="AL69" s="228">
        <v>3.35</v>
      </c>
      <c r="AM69" s="228">
        <v>3.3</v>
      </c>
      <c r="AN69" s="228">
        <v>0.05</v>
      </c>
      <c r="AO69" s="229">
        <v>1.09E-2</v>
      </c>
      <c r="AP69" s="228">
        <v>307.10000000000002</v>
      </c>
      <c r="AQ69" s="228">
        <v>309.02</v>
      </c>
      <c r="AR69" s="228">
        <v>0</v>
      </c>
      <c r="AS69" s="230">
        <v>2354</v>
      </c>
      <c r="AT69" s="230">
        <v>2318</v>
      </c>
      <c r="AU69" s="228">
        <v>37</v>
      </c>
      <c r="AV69" s="229">
        <v>1.5800000000000002E-2</v>
      </c>
      <c r="AW69" s="228">
        <v>936</v>
      </c>
      <c r="AX69" s="230">
        <v>1112</v>
      </c>
      <c r="AY69" s="228">
        <v>-176</v>
      </c>
      <c r="AZ69" s="229">
        <v>-0.1585</v>
      </c>
      <c r="BA69" s="230">
        <v>1387</v>
      </c>
      <c r="BB69" s="230">
        <v>1194</v>
      </c>
      <c r="BC69" s="228">
        <v>192</v>
      </c>
      <c r="BD69" s="229">
        <v>0.16120000000000001</v>
      </c>
      <c r="BE69" s="228">
        <v>31</v>
      </c>
      <c r="BF69" s="228">
        <v>11</v>
      </c>
      <c r="BG69" s="228">
        <v>20</v>
      </c>
      <c r="BH69" s="229">
        <v>1.9020999999999999</v>
      </c>
      <c r="BI69" s="230">
        <v>3317</v>
      </c>
      <c r="BJ69" s="230">
        <v>2468</v>
      </c>
      <c r="BK69" s="228">
        <v>848</v>
      </c>
      <c r="BL69" s="229">
        <v>0.34370000000000001</v>
      </c>
      <c r="BM69" s="230">
        <v>1725</v>
      </c>
      <c r="BN69" s="230">
        <v>1759</v>
      </c>
      <c r="BO69" s="228">
        <v>-34</v>
      </c>
      <c r="BP69" s="229">
        <v>-1.95E-2</v>
      </c>
      <c r="BQ69" s="230">
        <v>7395</v>
      </c>
      <c r="BR69" s="230">
        <v>6545</v>
      </c>
      <c r="BS69" s="228">
        <v>851</v>
      </c>
      <c r="BT69" s="229">
        <v>0.13</v>
      </c>
      <c r="BU69" s="230">
        <v>34597893</v>
      </c>
      <c r="BV69" s="230">
        <v>22469860</v>
      </c>
      <c r="BW69" s="230">
        <v>12128033</v>
      </c>
      <c r="BX69" s="229">
        <v>0.53969999999999996</v>
      </c>
      <c r="BY69" s="230">
        <v>4962</v>
      </c>
      <c r="BZ69" s="230">
        <v>5266</v>
      </c>
      <c r="CA69" s="228">
        <v>-305</v>
      </c>
      <c r="CB69" s="229">
        <v>-5.79E-2</v>
      </c>
      <c r="CC69" s="228">
        <v>366</v>
      </c>
      <c r="CD69" s="228">
        <v>833</v>
      </c>
      <c r="CE69" s="228">
        <v>-467</v>
      </c>
      <c r="CF69" s="229">
        <v>-0.56100000000000005</v>
      </c>
      <c r="CG69" s="230">
        <v>4910</v>
      </c>
      <c r="CH69" s="230">
        <v>4387</v>
      </c>
      <c r="CI69" s="228">
        <v>522</v>
      </c>
      <c r="CJ69" s="229">
        <v>0.11899999999999999</v>
      </c>
      <c r="CK69" s="228">
        <v>52</v>
      </c>
      <c r="CL69" s="228">
        <v>46</v>
      </c>
      <c r="CM69" s="228">
        <v>6</v>
      </c>
      <c r="CN69" s="229">
        <v>0.1305</v>
      </c>
      <c r="CO69" s="230">
        <v>1192</v>
      </c>
      <c r="CP69" s="230">
        <v>2516</v>
      </c>
      <c r="CQ69" s="230">
        <v>-1324</v>
      </c>
      <c r="CR69" s="229">
        <v>-0.52610000000000001</v>
      </c>
      <c r="CS69" s="228">
        <v>935</v>
      </c>
      <c r="CT69" s="230">
        <v>2370</v>
      </c>
      <c r="CU69" s="230">
        <v>-1435</v>
      </c>
      <c r="CV69" s="229">
        <v>-0.60550000000000004</v>
      </c>
      <c r="CW69" s="230">
        <v>7089</v>
      </c>
      <c r="CX69" s="230">
        <v>10153</v>
      </c>
      <c r="CY69" s="230">
        <v>-3064</v>
      </c>
      <c r="CZ69" s="229">
        <v>-0.30180000000000001</v>
      </c>
      <c r="DA69" s="228">
        <v>36.270000000000003</v>
      </c>
      <c r="DB69" s="228">
        <v>35.68</v>
      </c>
      <c r="DC69" s="228">
        <v>0.59</v>
      </c>
      <c r="DD69" s="228">
        <v>0.59</v>
      </c>
      <c r="DE69" s="228">
        <v>50.17</v>
      </c>
      <c r="DF69" s="228">
        <v>50.26</v>
      </c>
      <c r="DG69" s="228">
        <v>-13.9</v>
      </c>
      <c r="DH69" s="228">
        <v>-0.09</v>
      </c>
      <c r="DI69" s="228">
        <v>35.450000000000003</v>
      </c>
      <c r="DJ69" s="228">
        <v>35.01</v>
      </c>
      <c r="DK69" s="228">
        <v>0.44</v>
      </c>
      <c r="DL69" s="228">
        <v>0.44</v>
      </c>
      <c r="DM69" s="228">
        <v>37.909999999999997</v>
      </c>
      <c r="DN69" s="228">
        <v>36.520000000000003</v>
      </c>
      <c r="DO69" s="228">
        <v>1.39</v>
      </c>
      <c r="DP69" s="228">
        <v>1.39</v>
      </c>
      <c r="DQ69" s="228">
        <v>0.78</v>
      </c>
      <c r="DR69" s="228">
        <v>0.94</v>
      </c>
      <c r="DS69" s="228">
        <v>-0.16</v>
      </c>
      <c r="DT69" s="229">
        <v>-0.17019999999999999</v>
      </c>
      <c r="DU69" s="228">
        <v>310</v>
      </c>
      <c r="DV69" s="228">
        <v>300</v>
      </c>
      <c r="DW69" s="228">
        <v>0.52</v>
      </c>
      <c r="DX69" s="228">
        <v>0.71</v>
      </c>
      <c r="DY69" s="228">
        <v>-0.19</v>
      </c>
      <c r="DZ69" s="229">
        <v>-0.2676</v>
      </c>
      <c r="EA69" s="229">
        <v>0.93140000000000001</v>
      </c>
      <c r="EB69" s="230">
        <v>143152600</v>
      </c>
      <c r="EC69" s="229">
        <v>6.1999999999999998E-3</v>
      </c>
      <c r="ED69" s="229">
        <v>0.93140000000000001</v>
      </c>
      <c r="EE69" s="228">
        <v>1.92</v>
      </c>
      <c r="EF69" s="229">
        <v>6.3E-3</v>
      </c>
      <c r="EG69" s="230">
        <v>12017470</v>
      </c>
      <c r="EH69" s="230">
        <v>9474616</v>
      </c>
      <c r="EI69" s="229">
        <v>0.26840000000000003</v>
      </c>
      <c r="EJ69" s="229">
        <v>0.3473</v>
      </c>
      <c r="EK69" s="231">
        <v>3433.18</v>
      </c>
      <c r="EL69" s="231">
        <v>1666.81</v>
      </c>
      <c r="EM69" s="231">
        <v>2343.37</v>
      </c>
      <c r="EN69" s="228">
        <v>0</v>
      </c>
      <c r="EO69" s="231">
        <v>7443.35</v>
      </c>
      <c r="EP69" s="231">
        <v>6502.58</v>
      </c>
      <c r="EQ69" s="228">
        <v>940.77</v>
      </c>
      <c r="ER69" s="229">
        <v>0.1447</v>
      </c>
      <c r="ES69" s="231">
        <v>1189.96</v>
      </c>
      <c r="ET69" s="228">
        <v>849.64</v>
      </c>
      <c r="EU69" s="231">
        <v>4961.8</v>
      </c>
      <c r="EV69" s="231">
        <v>1814577127</v>
      </c>
      <c r="EW69" s="231">
        <v>7001.4</v>
      </c>
      <c r="EX69" s="231">
        <v>9753.1</v>
      </c>
      <c r="EY69" s="231">
        <v>-2751.7</v>
      </c>
      <c r="EZ69" s="229">
        <v>-0.28210000000000002</v>
      </c>
      <c r="FA69" s="229">
        <v>0.12609999999999999</v>
      </c>
      <c r="FB69" s="227" t="s">
        <v>556</v>
      </c>
      <c r="FC69">
        <f t="shared" si="1"/>
        <v>4596</v>
      </c>
    </row>
    <row r="70" spans="1:159" ht="17.25" thickBot="1" x14ac:dyDescent="0.3">
      <c r="A70" s="226">
        <v>45869</v>
      </c>
      <c r="B70" s="227" t="s">
        <v>162</v>
      </c>
      <c r="C70" s="227" t="s">
        <v>211</v>
      </c>
      <c r="D70" s="228">
        <v>1800</v>
      </c>
      <c r="E70" s="228">
        <v>0</v>
      </c>
      <c r="F70" s="228">
        <v>385.7</v>
      </c>
      <c r="G70" s="228">
        <v>393.3</v>
      </c>
      <c r="H70" s="228">
        <v>-7.6</v>
      </c>
      <c r="I70" s="229">
        <v>-1.9300000000000001E-2</v>
      </c>
      <c r="J70" s="228">
        <v>384.3</v>
      </c>
      <c r="K70" s="228">
        <v>391.05</v>
      </c>
      <c r="L70" s="228">
        <v>-6.75</v>
      </c>
      <c r="M70" s="229">
        <v>-1.7299999999999999E-2</v>
      </c>
      <c r="N70" s="228">
        <v>383.7</v>
      </c>
      <c r="O70" s="228">
        <v>391.3</v>
      </c>
      <c r="P70" s="228">
        <v>-7.6</v>
      </c>
      <c r="Q70" s="229">
        <v>-1.9400000000000001E-2</v>
      </c>
      <c r="R70" s="228">
        <v>385.7</v>
      </c>
      <c r="S70" s="228">
        <v>393.3</v>
      </c>
      <c r="T70" s="228">
        <v>-7.6</v>
      </c>
      <c r="U70" s="229">
        <v>-1.9300000000000001E-2</v>
      </c>
      <c r="V70" s="228">
        <v>388.1</v>
      </c>
      <c r="W70" s="228">
        <v>395.65</v>
      </c>
      <c r="X70" s="228">
        <v>-7.55</v>
      </c>
      <c r="Y70" s="229">
        <v>-1.9099999999999999E-2</v>
      </c>
      <c r="Z70" s="228">
        <v>1.4</v>
      </c>
      <c r="AA70" s="228">
        <v>0.25</v>
      </c>
      <c r="AB70" s="228">
        <v>1.1499999999999999</v>
      </c>
      <c r="AC70" s="229">
        <v>3.5999999999999999E-3</v>
      </c>
      <c r="AD70" s="228">
        <v>-0.6</v>
      </c>
      <c r="AE70" s="228">
        <v>0.25</v>
      </c>
      <c r="AF70" s="228">
        <v>-0.85</v>
      </c>
      <c r="AG70" s="229">
        <v>-1.6000000000000001E-3</v>
      </c>
      <c r="AH70" s="228">
        <v>1.4</v>
      </c>
      <c r="AI70" s="228">
        <v>2.25</v>
      </c>
      <c r="AJ70" s="228">
        <v>-0.85</v>
      </c>
      <c r="AK70" s="229">
        <v>3.5999999999999999E-3</v>
      </c>
      <c r="AL70" s="228">
        <v>3.8</v>
      </c>
      <c r="AM70" s="228">
        <v>4.5999999999999996</v>
      </c>
      <c r="AN70" s="228">
        <v>-0.8</v>
      </c>
      <c r="AO70" s="229">
        <v>9.9000000000000008E-3</v>
      </c>
      <c r="AP70" s="228">
        <v>386.04</v>
      </c>
      <c r="AQ70" s="228">
        <v>388.09</v>
      </c>
      <c r="AR70" s="228">
        <v>0</v>
      </c>
      <c r="AS70" s="228">
        <v>599</v>
      </c>
      <c r="AT70" s="228">
        <v>463</v>
      </c>
      <c r="AU70" s="228">
        <v>136</v>
      </c>
      <c r="AV70" s="229">
        <v>0.29260000000000003</v>
      </c>
      <c r="AW70" s="228">
        <v>266</v>
      </c>
      <c r="AX70" s="228">
        <v>208</v>
      </c>
      <c r="AY70" s="228">
        <v>58</v>
      </c>
      <c r="AZ70" s="229">
        <v>0.27839999999999998</v>
      </c>
      <c r="BA70" s="228">
        <v>316</v>
      </c>
      <c r="BB70" s="228">
        <v>250</v>
      </c>
      <c r="BC70" s="228">
        <v>66</v>
      </c>
      <c r="BD70" s="229">
        <v>0.26340000000000002</v>
      </c>
      <c r="BE70" s="228">
        <v>16</v>
      </c>
      <c r="BF70" s="228">
        <v>5</v>
      </c>
      <c r="BG70" s="228">
        <v>12</v>
      </c>
      <c r="BH70" s="229">
        <v>2.5303</v>
      </c>
      <c r="BI70" s="228">
        <v>264</v>
      </c>
      <c r="BJ70" s="228">
        <v>365</v>
      </c>
      <c r="BK70" s="228">
        <v>-100</v>
      </c>
      <c r="BL70" s="229">
        <v>-0.27539999999999998</v>
      </c>
      <c r="BM70" s="228">
        <v>162</v>
      </c>
      <c r="BN70" s="228">
        <v>247</v>
      </c>
      <c r="BO70" s="228">
        <v>-85</v>
      </c>
      <c r="BP70" s="229">
        <v>-0.34289999999999998</v>
      </c>
      <c r="BQ70" s="230">
        <v>1025</v>
      </c>
      <c r="BR70" s="230">
        <v>1075</v>
      </c>
      <c r="BS70" s="228">
        <v>-50</v>
      </c>
      <c r="BT70" s="229">
        <v>-4.6199999999999998E-2</v>
      </c>
      <c r="BU70" s="230">
        <v>1422418</v>
      </c>
      <c r="BV70" s="230">
        <v>1052513</v>
      </c>
      <c r="BW70" s="230">
        <v>369905</v>
      </c>
      <c r="BX70" s="229">
        <v>0.35139999999999999</v>
      </c>
      <c r="BY70" s="228">
        <v>828</v>
      </c>
      <c r="BZ70" s="228">
        <v>875</v>
      </c>
      <c r="CA70" s="228">
        <v>-47</v>
      </c>
      <c r="CB70" s="229">
        <v>-5.3800000000000001E-2</v>
      </c>
      <c r="CC70" s="228">
        <v>48</v>
      </c>
      <c r="CD70" s="228">
        <v>195</v>
      </c>
      <c r="CE70" s="228">
        <v>-148</v>
      </c>
      <c r="CF70" s="229">
        <v>-0.75609999999999999</v>
      </c>
      <c r="CG70" s="228">
        <v>801</v>
      </c>
      <c r="CH70" s="228">
        <v>665</v>
      </c>
      <c r="CI70" s="228">
        <v>136</v>
      </c>
      <c r="CJ70" s="229">
        <v>0.2051</v>
      </c>
      <c r="CK70" s="228">
        <v>27</v>
      </c>
      <c r="CL70" s="228">
        <v>15</v>
      </c>
      <c r="CM70" s="228">
        <v>12</v>
      </c>
      <c r="CN70" s="229">
        <v>0.80369999999999997</v>
      </c>
      <c r="CO70" s="228">
        <v>208</v>
      </c>
      <c r="CP70" s="228">
        <v>451</v>
      </c>
      <c r="CQ70" s="228">
        <v>-243</v>
      </c>
      <c r="CR70" s="229">
        <v>-0.53790000000000004</v>
      </c>
      <c r="CS70" s="228">
        <v>176</v>
      </c>
      <c r="CT70" s="228">
        <v>301</v>
      </c>
      <c r="CU70" s="228">
        <v>-126</v>
      </c>
      <c r="CV70" s="229">
        <v>-0.4168</v>
      </c>
      <c r="CW70" s="230">
        <v>1212</v>
      </c>
      <c r="CX70" s="230">
        <v>1627</v>
      </c>
      <c r="CY70" s="228">
        <v>-415</v>
      </c>
      <c r="CZ70" s="229">
        <v>-0.25519999999999998</v>
      </c>
      <c r="DA70" s="228">
        <v>30.44</v>
      </c>
      <c r="DB70" s="228">
        <v>30.25</v>
      </c>
      <c r="DC70" s="228">
        <v>0.19</v>
      </c>
      <c r="DD70" s="228">
        <v>0.19</v>
      </c>
      <c r="DE70" s="228">
        <v>37.35</v>
      </c>
      <c r="DF70" s="228">
        <v>37.35</v>
      </c>
      <c r="DG70" s="228">
        <v>-6.91</v>
      </c>
      <c r="DH70" s="228">
        <v>0</v>
      </c>
      <c r="DI70" s="228">
        <v>30.38</v>
      </c>
      <c r="DJ70" s="228">
        <v>30.54</v>
      </c>
      <c r="DK70" s="228">
        <v>-0.16</v>
      </c>
      <c r="DL70" s="228">
        <v>-0.16</v>
      </c>
      <c r="DM70" s="228">
        <v>30.52</v>
      </c>
      <c r="DN70" s="228">
        <v>29.84</v>
      </c>
      <c r="DO70" s="228">
        <v>0.68</v>
      </c>
      <c r="DP70" s="228">
        <v>0.68</v>
      </c>
      <c r="DQ70" s="228">
        <v>0.84</v>
      </c>
      <c r="DR70" s="228">
        <v>0.67</v>
      </c>
      <c r="DS70" s="228">
        <v>0.17</v>
      </c>
      <c r="DT70" s="229">
        <v>0.25369999999999998</v>
      </c>
      <c r="DU70" s="228">
        <v>420</v>
      </c>
      <c r="DV70" s="228">
        <v>380</v>
      </c>
      <c r="DW70" s="228">
        <v>0.61</v>
      </c>
      <c r="DX70" s="228">
        <v>0.68</v>
      </c>
      <c r="DY70" s="228">
        <v>-7.0000000000000007E-2</v>
      </c>
      <c r="DZ70" s="229">
        <v>-0.10290000000000001</v>
      </c>
      <c r="EA70" s="229">
        <v>0.9456</v>
      </c>
      <c r="EB70" s="230">
        <v>17614800</v>
      </c>
      <c r="EC70" s="229">
        <v>5.1999999999999998E-3</v>
      </c>
      <c r="ED70" s="229">
        <v>0.9456</v>
      </c>
      <c r="EE70" s="228">
        <v>2.0499999999999998</v>
      </c>
      <c r="EF70" s="229">
        <v>5.3E-3</v>
      </c>
      <c r="EG70" s="230">
        <v>670244</v>
      </c>
      <c r="EH70" s="230">
        <v>388321</v>
      </c>
      <c r="EI70" s="229">
        <v>0.72599999999999998</v>
      </c>
      <c r="EJ70" s="229">
        <v>0.47120000000000001</v>
      </c>
      <c r="EK70" s="228">
        <v>277.88</v>
      </c>
      <c r="EL70" s="228">
        <v>165.64</v>
      </c>
      <c r="EM70" s="228">
        <v>601.08000000000004</v>
      </c>
      <c r="EN70" s="228">
        <v>0</v>
      </c>
      <c r="EO70" s="231">
        <v>1044.6099999999999</v>
      </c>
      <c r="EP70" s="231">
        <v>1104.93</v>
      </c>
      <c r="EQ70" s="228">
        <v>-60.33</v>
      </c>
      <c r="ER70" s="229">
        <v>-5.4600000000000003E-2</v>
      </c>
      <c r="ES70" s="228">
        <v>221.64</v>
      </c>
      <c r="ET70" s="228">
        <v>176.66</v>
      </c>
      <c r="EU70" s="228">
        <v>827.79</v>
      </c>
      <c r="EV70" s="231">
        <v>91809066</v>
      </c>
      <c r="EW70" s="231">
        <v>1226.0999999999999</v>
      </c>
      <c r="EX70" s="231">
        <v>1667.28</v>
      </c>
      <c r="EY70" s="228">
        <v>-441.18</v>
      </c>
      <c r="EZ70" s="229">
        <v>-0.2646</v>
      </c>
      <c r="FA70" s="229">
        <v>0.3422</v>
      </c>
      <c r="FB70" s="227" t="s">
        <v>568</v>
      </c>
      <c r="FC70">
        <f t="shared" si="1"/>
        <v>780</v>
      </c>
    </row>
    <row r="71" spans="1:159" ht="17.25" thickBot="1" x14ac:dyDescent="0.3">
      <c r="A71" s="226">
        <v>45869</v>
      </c>
      <c r="B71" s="227" t="s">
        <v>172</v>
      </c>
      <c r="C71" s="227" t="s">
        <v>212</v>
      </c>
      <c r="D71" s="228">
        <v>5000</v>
      </c>
      <c r="E71" s="228">
        <v>0</v>
      </c>
      <c r="F71" s="228">
        <v>202.5</v>
      </c>
      <c r="G71" s="228">
        <v>204.8</v>
      </c>
      <c r="H71" s="228">
        <v>-2.2999999999999998</v>
      </c>
      <c r="I71" s="229">
        <v>-1.12E-2</v>
      </c>
      <c r="J71" s="228">
        <v>202.43</v>
      </c>
      <c r="K71" s="228">
        <v>204.68</v>
      </c>
      <c r="L71" s="228">
        <v>-2.25</v>
      </c>
      <c r="M71" s="229">
        <v>-1.0999999999999999E-2</v>
      </c>
      <c r="N71" s="228">
        <v>202.76</v>
      </c>
      <c r="O71" s="228">
        <v>205.19</v>
      </c>
      <c r="P71" s="228">
        <v>-2.4300000000000002</v>
      </c>
      <c r="Q71" s="229">
        <v>-1.18E-2</v>
      </c>
      <c r="R71" s="228">
        <v>202.5</v>
      </c>
      <c r="S71" s="228">
        <v>204.8</v>
      </c>
      <c r="T71" s="228">
        <v>-2.2999999999999998</v>
      </c>
      <c r="U71" s="229">
        <v>-1.12E-2</v>
      </c>
      <c r="V71" s="228">
        <v>203.44</v>
      </c>
      <c r="W71" s="228">
        <v>206.11</v>
      </c>
      <c r="X71" s="228">
        <v>-2.67</v>
      </c>
      <c r="Y71" s="229">
        <v>-1.2999999999999999E-2</v>
      </c>
      <c r="Z71" s="228">
        <v>7.0000000000000007E-2</v>
      </c>
      <c r="AA71" s="228">
        <v>0.51</v>
      </c>
      <c r="AB71" s="228">
        <v>-0.44</v>
      </c>
      <c r="AC71" s="229">
        <v>2.9999999999999997E-4</v>
      </c>
      <c r="AD71" s="228">
        <v>0.33</v>
      </c>
      <c r="AE71" s="228">
        <v>0.51</v>
      </c>
      <c r="AF71" s="228">
        <v>-0.18</v>
      </c>
      <c r="AG71" s="229">
        <v>1.6000000000000001E-3</v>
      </c>
      <c r="AH71" s="228">
        <v>7.0000000000000007E-2</v>
      </c>
      <c r="AI71" s="228">
        <v>0.12</v>
      </c>
      <c r="AJ71" s="228">
        <v>-0.05</v>
      </c>
      <c r="AK71" s="229">
        <v>2.9999999999999997E-4</v>
      </c>
      <c r="AL71" s="228">
        <v>1.01</v>
      </c>
      <c r="AM71" s="228">
        <v>1.43</v>
      </c>
      <c r="AN71" s="228">
        <v>-0.42</v>
      </c>
      <c r="AO71" s="229">
        <v>5.0000000000000001E-3</v>
      </c>
      <c r="AP71" s="228">
        <v>203.29</v>
      </c>
      <c r="AQ71" s="228">
        <v>203.03</v>
      </c>
      <c r="AR71" s="228">
        <v>0</v>
      </c>
      <c r="AS71" s="230">
        <v>1206</v>
      </c>
      <c r="AT71" s="230">
        <v>1174</v>
      </c>
      <c r="AU71" s="228">
        <v>33</v>
      </c>
      <c r="AV71" s="229">
        <v>2.7799999999999998E-2</v>
      </c>
      <c r="AW71" s="228">
        <v>400</v>
      </c>
      <c r="AX71" s="228">
        <v>566</v>
      </c>
      <c r="AY71" s="228">
        <v>-167</v>
      </c>
      <c r="AZ71" s="229">
        <v>-0.29409999999999997</v>
      </c>
      <c r="BA71" s="228">
        <v>791</v>
      </c>
      <c r="BB71" s="228">
        <v>597</v>
      </c>
      <c r="BC71" s="228">
        <v>193</v>
      </c>
      <c r="BD71" s="229">
        <v>0.32390000000000002</v>
      </c>
      <c r="BE71" s="228">
        <v>16</v>
      </c>
      <c r="BF71" s="228">
        <v>10</v>
      </c>
      <c r="BG71" s="228">
        <v>6</v>
      </c>
      <c r="BH71" s="229">
        <v>0.56569999999999998</v>
      </c>
      <c r="BI71" s="228">
        <v>729</v>
      </c>
      <c r="BJ71" s="228">
        <v>594</v>
      </c>
      <c r="BK71" s="228">
        <v>135</v>
      </c>
      <c r="BL71" s="229">
        <v>0.22750000000000001</v>
      </c>
      <c r="BM71" s="228">
        <v>602</v>
      </c>
      <c r="BN71" s="228">
        <v>446</v>
      </c>
      <c r="BO71" s="228">
        <v>156</v>
      </c>
      <c r="BP71" s="229">
        <v>0.35020000000000001</v>
      </c>
      <c r="BQ71" s="230">
        <v>2538</v>
      </c>
      <c r="BR71" s="230">
        <v>2214</v>
      </c>
      <c r="BS71" s="228">
        <v>324</v>
      </c>
      <c r="BT71" s="229">
        <v>0.14630000000000001</v>
      </c>
      <c r="BU71" s="230">
        <v>8861608</v>
      </c>
      <c r="BV71" s="230">
        <v>5701474</v>
      </c>
      <c r="BW71" s="230">
        <v>3160134</v>
      </c>
      <c r="BX71" s="229">
        <v>0.55430000000000001</v>
      </c>
      <c r="BY71" s="230">
        <v>1565</v>
      </c>
      <c r="BZ71" s="230">
        <v>1664</v>
      </c>
      <c r="CA71" s="228">
        <v>-99</v>
      </c>
      <c r="CB71" s="229">
        <v>-5.96E-2</v>
      </c>
      <c r="CC71" s="228">
        <v>141</v>
      </c>
      <c r="CD71" s="228">
        <v>325</v>
      </c>
      <c r="CE71" s="228">
        <v>-184</v>
      </c>
      <c r="CF71" s="229">
        <v>-0.56679999999999997</v>
      </c>
      <c r="CG71" s="230">
        <v>1534</v>
      </c>
      <c r="CH71" s="230">
        <v>1313</v>
      </c>
      <c r="CI71" s="228">
        <v>221</v>
      </c>
      <c r="CJ71" s="229">
        <v>0.1686</v>
      </c>
      <c r="CK71" s="228">
        <v>31</v>
      </c>
      <c r="CL71" s="228">
        <v>26</v>
      </c>
      <c r="CM71" s="228">
        <v>4</v>
      </c>
      <c r="CN71" s="229">
        <v>0.16600000000000001</v>
      </c>
      <c r="CO71" s="228">
        <v>369</v>
      </c>
      <c r="CP71" s="228">
        <v>897</v>
      </c>
      <c r="CQ71" s="228">
        <v>-527</v>
      </c>
      <c r="CR71" s="229">
        <v>-0.58809999999999996</v>
      </c>
      <c r="CS71" s="228">
        <v>353</v>
      </c>
      <c r="CT71" s="228">
        <v>600</v>
      </c>
      <c r="CU71" s="228">
        <v>-248</v>
      </c>
      <c r="CV71" s="229">
        <v>-0.41249999999999998</v>
      </c>
      <c r="CW71" s="230">
        <v>2287</v>
      </c>
      <c r="CX71" s="230">
        <v>3161</v>
      </c>
      <c r="CY71" s="228">
        <v>-874</v>
      </c>
      <c r="CZ71" s="229">
        <v>-0.27660000000000001</v>
      </c>
      <c r="DA71" s="228">
        <v>26.87</v>
      </c>
      <c r="DB71" s="228">
        <v>26.74</v>
      </c>
      <c r="DC71" s="228">
        <v>0.13</v>
      </c>
      <c r="DD71" s="228">
        <v>0.13</v>
      </c>
      <c r="DE71" s="228">
        <v>30.43</v>
      </c>
      <c r="DF71" s="228">
        <v>30.47</v>
      </c>
      <c r="DG71" s="228">
        <v>-3.56</v>
      </c>
      <c r="DH71" s="228">
        <v>-0.04</v>
      </c>
      <c r="DI71" s="228">
        <v>27.11</v>
      </c>
      <c r="DJ71" s="228">
        <v>27.29</v>
      </c>
      <c r="DK71" s="228">
        <v>-0.18</v>
      </c>
      <c r="DL71" s="228">
        <v>-0.18</v>
      </c>
      <c r="DM71" s="228">
        <v>26.56</v>
      </c>
      <c r="DN71" s="228">
        <v>26.04</v>
      </c>
      <c r="DO71" s="228">
        <v>0.52</v>
      </c>
      <c r="DP71" s="228">
        <v>0.52</v>
      </c>
      <c r="DQ71" s="228">
        <v>0.96</v>
      </c>
      <c r="DR71" s="228">
        <v>0.67</v>
      </c>
      <c r="DS71" s="228">
        <v>0.28999999999999998</v>
      </c>
      <c r="DT71" s="229">
        <v>0.43280000000000002</v>
      </c>
      <c r="DU71" s="228">
        <v>220</v>
      </c>
      <c r="DV71" s="228">
        <v>200</v>
      </c>
      <c r="DW71" s="228">
        <v>0.83</v>
      </c>
      <c r="DX71" s="228">
        <v>0.75</v>
      </c>
      <c r="DY71" s="228">
        <v>0.08</v>
      </c>
      <c r="DZ71" s="229">
        <v>0.1067</v>
      </c>
      <c r="EA71" s="229">
        <v>0.91749999999999998</v>
      </c>
      <c r="EB71" s="230">
        <v>66135000</v>
      </c>
      <c r="EC71" s="229">
        <v>-1.2999999999999999E-3</v>
      </c>
      <c r="ED71" s="229">
        <v>0.91749999999999998</v>
      </c>
      <c r="EE71" s="228">
        <v>-0.26</v>
      </c>
      <c r="EF71" s="229">
        <v>-1.2999999999999999E-3</v>
      </c>
      <c r="EG71" s="230">
        <v>4451667</v>
      </c>
      <c r="EH71" s="230">
        <v>3249108</v>
      </c>
      <c r="EI71" s="229">
        <v>0.37009999999999998</v>
      </c>
      <c r="EJ71" s="229">
        <v>0.50239999999999996</v>
      </c>
      <c r="EK71" s="228">
        <v>768.08</v>
      </c>
      <c r="EL71" s="228">
        <v>617.15</v>
      </c>
      <c r="EM71" s="231">
        <v>1210.17</v>
      </c>
      <c r="EN71" s="228">
        <v>0</v>
      </c>
      <c r="EO71" s="231">
        <v>2595.4</v>
      </c>
      <c r="EP71" s="231">
        <v>2269.8200000000002</v>
      </c>
      <c r="EQ71" s="228">
        <v>325.58</v>
      </c>
      <c r="ER71" s="229">
        <v>0.1434</v>
      </c>
      <c r="ES71" s="228">
        <v>395.43</v>
      </c>
      <c r="ET71" s="228">
        <v>354.02</v>
      </c>
      <c r="EU71" s="231">
        <v>1565.06</v>
      </c>
      <c r="EV71" s="231">
        <v>486316409</v>
      </c>
      <c r="EW71" s="231">
        <v>2314.5100000000002</v>
      </c>
      <c r="EX71" s="231">
        <v>3272.14</v>
      </c>
      <c r="EY71" s="228">
        <v>-957.63</v>
      </c>
      <c r="EZ71" s="229">
        <v>-0.29270000000000002</v>
      </c>
      <c r="FA71" s="229">
        <v>0.23219999999999999</v>
      </c>
      <c r="FB71" s="227" t="s">
        <v>568</v>
      </c>
      <c r="FC71">
        <f t="shared" si="1"/>
        <v>1424</v>
      </c>
    </row>
    <row r="72" spans="1:159" ht="17.25" thickBot="1" x14ac:dyDescent="0.3">
      <c r="A72" s="226">
        <v>45869</v>
      </c>
      <c r="B72" s="227" t="s">
        <v>181</v>
      </c>
      <c r="C72" s="227" t="s">
        <v>480</v>
      </c>
      <c r="D72" s="228">
        <v>65</v>
      </c>
      <c r="E72" s="228">
        <v>0</v>
      </c>
      <c r="F72" s="231">
        <v>26731</v>
      </c>
      <c r="G72" s="231">
        <v>26806.7</v>
      </c>
      <c r="H72" s="228">
        <v>-75.7</v>
      </c>
      <c r="I72" s="229">
        <v>-2.8E-3</v>
      </c>
      <c r="J72" s="231">
        <v>26649.95</v>
      </c>
      <c r="K72" s="231">
        <v>26703.5</v>
      </c>
      <c r="L72" s="228">
        <v>-53.55</v>
      </c>
      <c r="M72" s="229">
        <v>-2E-3</v>
      </c>
      <c r="N72" s="231">
        <v>26662</v>
      </c>
      <c r="O72" s="231">
        <v>26715.599999999999</v>
      </c>
      <c r="P72" s="228">
        <v>-53.6</v>
      </c>
      <c r="Q72" s="229">
        <v>-2E-3</v>
      </c>
      <c r="R72" s="231">
        <v>26731</v>
      </c>
      <c r="S72" s="231">
        <v>26806.7</v>
      </c>
      <c r="T72" s="228">
        <v>-75.7</v>
      </c>
      <c r="U72" s="229">
        <v>-2.8E-3</v>
      </c>
      <c r="V72" s="228">
        <v>0</v>
      </c>
      <c r="W72" s="228">
        <v>0</v>
      </c>
      <c r="X72" s="228">
        <v>0</v>
      </c>
      <c r="Y72" s="229">
        <v>0</v>
      </c>
      <c r="Z72" s="228">
        <v>81.05</v>
      </c>
      <c r="AA72" s="228">
        <v>12.1</v>
      </c>
      <c r="AB72" s="228">
        <v>68.95</v>
      </c>
      <c r="AC72" s="229">
        <v>3.0000000000000001E-3</v>
      </c>
      <c r="AD72" s="228">
        <v>12.05</v>
      </c>
      <c r="AE72" s="228">
        <v>12.1</v>
      </c>
      <c r="AF72" s="228">
        <v>-0.05</v>
      </c>
      <c r="AG72" s="229">
        <v>5.0000000000000001E-4</v>
      </c>
      <c r="AH72" s="228">
        <v>81.05</v>
      </c>
      <c r="AI72" s="228">
        <v>103.2</v>
      </c>
      <c r="AJ72" s="228">
        <v>-22.15</v>
      </c>
      <c r="AK72" s="229">
        <v>3.0000000000000001E-3</v>
      </c>
      <c r="AL72" s="228">
        <v>0</v>
      </c>
      <c r="AM72" s="228">
        <v>0</v>
      </c>
      <c r="AN72" s="228">
        <v>0</v>
      </c>
      <c r="AO72" s="229">
        <v>0</v>
      </c>
      <c r="AP72" s="231">
        <v>26634.26</v>
      </c>
      <c r="AQ72" s="231">
        <v>26744.15</v>
      </c>
      <c r="AR72" s="228">
        <v>0</v>
      </c>
      <c r="AS72" s="228">
        <v>301</v>
      </c>
      <c r="AT72" s="228">
        <v>225</v>
      </c>
      <c r="AU72" s="228">
        <v>76</v>
      </c>
      <c r="AV72" s="229">
        <v>0.34</v>
      </c>
      <c r="AW72" s="228">
        <v>106</v>
      </c>
      <c r="AX72" s="228">
        <v>122</v>
      </c>
      <c r="AY72" s="228">
        <v>-15</v>
      </c>
      <c r="AZ72" s="229">
        <v>-0.127</v>
      </c>
      <c r="BA72" s="228">
        <v>195</v>
      </c>
      <c r="BB72" s="228">
        <v>103</v>
      </c>
      <c r="BC72" s="228">
        <v>92</v>
      </c>
      <c r="BD72" s="229">
        <v>0.8921</v>
      </c>
      <c r="BE72" s="228">
        <v>0</v>
      </c>
      <c r="BF72" s="228">
        <v>0</v>
      </c>
      <c r="BG72" s="228">
        <v>0</v>
      </c>
      <c r="BH72" s="229">
        <v>0</v>
      </c>
      <c r="BI72" s="230">
        <v>572265</v>
      </c>
      <c r="BJ72" s="230">
        <v>91117</v>
      </c>
      <c r="BK72" s="230">
        <v>481148</v>
      </c>
      <c r="BL72" s="229">
        <v>5.2805999999999997</v>
      </c>
      <c r="BM72" s="230">
        <v>488970</v>
      </c>
      <c r="BN72" s="230">
        <v>72897</v>
      </c>
      <c r="BO72" s="230">
        <v>416074</v>
      </c>
      <c r="BP72" s="229">
        <v>5.7077</v>
      </c>
      <c r="BQ72" s="230">
        <v>1061537</v>
      </c>
      <c r="BR72" s="230">
        <v>164239</v>
      </c>
      <c r="BS72" s="230">
        <v>897298</v>
      </c>
      <c r="BT72" s="229">
        <v>5.4634</v>
      </c>
      <c r="BU72" s="228">
        <v>0</v>
      </c>
      <c r="BV72" s="228">
        <v>0</v>
      </c>
      <c r="BW72" s="228">
        <v>0</v>
      </c>
      <c r="BX72" s="229">
        <v>0</v>
      </c>
      <c r="BY72" s="228">
        <v>201</v>
      </c>
      <c r="BZ72" s="228">
        <v>257</v>
      </c>
      <c r="CA72" s="228">
        <v>-56</v>
      </c>
      <c r="CB72" s="229">
        <v>-0.21729999999999999</v>
      </c>
      <c r="CC72" s="228">
        <v>70</v>
      </c>
      <c r="CD72" s="228">
        <v>110</v>
      </c>
      <c r="CE72" s="228">
        <v>-41</v>
      </c>
      <c r="CF72" s="229">
        <v>-0.36849999999999999</v>
      </c>
      <c r="CG72" s="228">
        <v>201</v>
      </c>
      <c r="CH72" s="228">
        <v>146</v>
      </c>
      <c r="CI72" s="228">
        <v>55</v>
      </c>
      <c r="CJ72" s="229">
        <v>0.37290000000000001</v>
      </c>
      <c r="CK72" s="228">
        <v>0</v>
      </c>
      <c r="CL72" s="228">
        <v>0</v>
      </c>
      <c r="CM72" s="228">
        <v>0</v>
      </c>
      <c r="CN72" s="229">
        <v>0</v>
      </c>
      <c r="CO72" s="228">
        <v>158</v>
      </c>
      <c r="CP72" s="230">
        <v>8891</v>
      </c>
      <c r="CQ72" s="230">
        <v>-8733</v>
      </c>
      <c r="CR72" s="229">
        <v>-0.98229999999999995</v>
      </c>
      <c r="CS72" s="228">
        <v>163</v>
      </c>
      <c r="CT72" s="230">
        <v>6195</v>
      </c>
      <c r="CU72" s="230">
        <v>-6031</v>
      </c>
      <c r="CV72" s="229">
        <v>-0.97370000000000001</v>
      </c>
      <c r="CW72" s="228">
        <v>522</v>
      </c>
      <c r="CX72" s="230">
        <v>15342</v>
      </c>
      <c r="CY72" s="230">
        <v>-14820</v>
      </c>
      <c r="CZ72" s="229">
        <v>-0.96599999999999997</v>
      </c>
      <c r="DA72" s="228">
        <v>11.95</v>
      </c>
      <c r="DB72" s="228">
        <v>12.04</v>
      </c>
      <c r="DC72" s="228">
        <v>-0.09</v>
      </c>
      <c r="DD72" s="228">
        <v>-0.09</v>
      </c>
      <c r="DE72" s="228">
        <v>19.100000000000001</v>
      </c>
      <c r="DF72" s="228">
        <v>19.14</v>
      </c>
      <c r="DG72" s="228">
        <v>-7.15</v>
      </c>
      <c r="DH72" s="228">
        <v>-0.04</v>
      </c>
      <c r="DI72" s="228">
        <v>11.85</v>
      </c>
      <c r="DJ72" s="228">
        <v>12.04</v>
      </c>
      <c r="DK72" s="228">
        <v>-0.19</v>
      </c>
      <c r="DL72" s="228">
        <v>-0.19</v>
      </c>
      <c r="DM72" s="228">
        <v>12.05</v>
      </c>
      <c r="DN72" s="228">
        <v>12.07</v>
      </c>
      <c r="DO72" s="228">
        <v>-0.02</v>
      </c>
      <c r="DP72" s="228">
        <v>-0.02</v>
      </c>
      <c r="DQ72" s="228">
        <v>1.04</v>
      </c>
      <c r="DR72" s="228">
        <v>0.7</v>
      </c>
      <c r="DS72" s="228">
        <v>0.34</v>
      </c>
      <c r="DT72" s="229">
        <v>0.48570000000000002</v>
      </c>
      <c r="DU72" s="231">
        <v>26650</v>
      </c>
      <c r="DV72" s="231">
        <v>26650</v>
      </c>
      <c r="DW72" s="228">
        <v>0.85</v>
      </c>
      <c r="DX72" s="228">
        <v>0.8</v>
      </c>
      <c r="DY72" s="228">
        <v>0.05</v>
      </c>
      <c r="DZ72" s="229">
        <v>6.25E-2</v>
      </c>
      <c r="EA72" s="229">
        <v>0.74250000000000005</v>
      </c>
      <c r="EB72" s="230">
        <v>54730</v>
      </c>
      <c r="EC72" s="229">
        <v>2.5999999999999999E-3</v>
      </c>
      <c r="ED72" s="229">
        <v>0.74250000000000005</v>
      </c>
      <c r="EE72" s="228">
        <v>109.89</v>
      </c>
      <c r="EF72" s="229">
        <v>4.1000000000000003E-3</v>
      </c>
      <c r="EG72" s="228">
        <v>0</v>
      </c>
      <c r="EH72" s="228">
        <v>0</v>
      </c>
      <c r="EI72" s="229">
        <v>0</v>
      </c>
      <c r="EJ72" s="229">
        <v>0</v>
      </c>
      <c r="EK72" s="231">
        <v>575434.91</v>
      </c>
      <c r="EL72" s="231">
        <v>485580.48</v>
      </c>
      <c r="EM72" s="228">
        <v>301</v>
      </c>
      <c r="EN72" s="228">
        <v>0</v>
      </c>
      <c r="EO72" s="231">
        <v>1061316.3899999999</v>
      </c>
      <c r="EP72" s="231">
        <v>164645.12</v>
      </c>
      <c r="EQ72" s="231">
        <v>896671.27</v>
      </c>
      <c r="ER72" s="229">
        <v>5.4461000000000004</v>
      </c>
      <c r="ES72" s="228">
        <v>159.1</v>
      </c>
      <c r="ET72" s="228">
        <v>160.69</v>
      </c>
      <c r="EU72" s="228">
        <v>200.86</v>
      </c>
      <c r="EV72" s="228">
        <v>0</v>
      </c>
      <c r="EW72" s="228">
        <v>520.64</v>
      </c>
      <c r="EX72" s="231">
        <v>15373.98</v>
      </c>
      <c r="EY72" s="231">
        <v>-14853.34</v>
      </c>
      <c r="EZ72" s="229">
        <v>-0.96609999999999996</v>
      </c>
      <c r="FA72" s="229">
        <v>0</v>
      </c>
      <c r="FB72" s="227" t="s">
        <v>568</v>
      </c>
      <c r="FC72">
        <f t="shared" si="1"/>
        <v>131</v>
      </c>
    </row>
    <row r="73" spans="1:159" ht="17.25" thickBot="1" x14ac:dyDescent="0.3">
      <c r="A73" s="226">
        <v>45869</v>
      </c>
      <c r="B73" s="227" t="s">
        <v>170</v>
      </c>
      <c r="C73" s="227" t="s">
        <v>679</v>
      </c>
      <c r="D73" s="228">
        <v>775</v>
      </c>
      <c r="E73" s="228">
        <v>0</v>
      </c>
      <c r="F73" s="228">
        <v>861.25</v>
      </c>
      <c r="G73" s="228">
        <v>848</v>
      </c>
      <c r="H73" s="228">
        <v>13.25</v>
      </c>
      <c r="I73" s="229">
        <v>1.5599999999999999E-2</v>
      </c>
      <c r="J73" s="228">
        <v>857.45</v>
      </c>
      <c r="K73" s="228">
        <v>842.7</v>
      </c>
      <c r="L73" s="228">
        <v>14.75</v>
      </c>
      <c r="M73" s="229">
        <v>1.7500000000000002E-2</v>
      </c>
      <c r="N73" s="228">
        <v>859.15</v>
      </c>
      <c r="O73" s="228">
        <v>843.25</v>
      </c>
      <c r="P73" s="228">
        <v>15.9</v>
      </c>
      <c r="Q73" s="229">
        <v>1.89E-2</v>
      </c>
      <c r="R73" s="228">
        <v>861.25</v>
      </c>
      <c r="S73" s="228">
        <v>848</v>
      </c>
      <c r="T73" s="228">
        <v>13.25</v>
      </c>
      <c r="U73" s="229">
        <v>1.5599999999999999E-2</v>
      </c>
      <c r="V73" s="228">
        <v>865.6</v>
      </c>
      <c r="W73" s="228">
        <v>853.25</v>
      </c>
      <c r="X73" s="228">
        <v>12.35</v>
      </c>
      <c r="Y73" s="229">
        <v>1.4500000000000001E-2</v>
      </c>
      <c r="Z73" s="228">
        <v>3.8</v>
      </c>
      <c r="AA73" s="228">
        <v>0.55000000000000004</v>
      </c>
      <c r="AB73" s="228">
        <v>3.25</v>
      </c>
      <c r="AC73" s="229">
        <v>4.4000000000000003E-3</v>
      </c>
      <c r="AD73" s="228">
        <v>1.7</v>
      </c>
      <c r="AE73" s="228">
        <v>0.55000000000000004</v>
      </c>
      <c r="AF73" s="228">
        <v>1.1499999999999999</v>
      </c>
      <c r="AG73" s="229">
        <v>2E-3</v>
      </c>
      <c r="AH73" s="228">
        <v>3.8</v>
      </c>
      <c r="AI73" s="228">
        <v>5.3</v>
      </c>
      <c r="AJ73" s="228">
        <v>-1.5</v>
      </c>
      <c r="AK73" s="229">
        <v>4.4000000000000003E-3</v>
      </c>
      <c r="AL73" s="228">
        <v>8.15</v>
      </c>
      <c r="AM73" s="228">
        <v>10.55</v>
      </c>
      <c r="AN73" s="228">
        <v>-2.4</v>
      </c>
      <c r="AO73" s="229">
        <v>9.4999999999999998E-3</v>
      </c>
      <c r="AP73" s="228">
        <v>852.68</v>
      </c>
      <c r="AQ73" s="228">
        <v>855.38</v>
      </c>
      <c r="AR73" s="228">
        <v>0</v>
      </c>
      <c r="AS73" s="228">
        <v>514</v>
      </c>
      <c r="AT73" s="228">
        <v>543</v>
      </c>
      <c r="AU73" s="228">
        <v>-29</v>
      </c>
      <c r="AV73" s="229">
        <v>-5.2900000000000003E-2</v>
      </c>
      <c r="AW73" s="228">
        <v>231</v>
      </c>
      <c r="AX73" s="228">
        <v>240</v>
      </c>
      <c r="AY73" s="228">
        <v>-9</v>
      </c>
      <c r="AZ73" s="229">
        <v>-3.7999999999999999E-2</v>
      </c>
      <c r="BA73" s="228">
        <v>279</v>
      </c>
      <c r="BB73" s="228">
        <v>302</v>
      </c>
      <c r="BC73" s="228">
        <v>-23</v>
      </c>
      <c r="BD73" s="229">
        <v>-7.5700000000000003E-2</v>
      </c>
      <c r="BE73" s="228">
        <v>4</v>
      </c>
      <c r="BF73" s="228">
        <v>1</v>
      </c>
      <c r="BG73" s="228">
        <v>3</v>
      </c>
      <c r="BH73" s="229">
        <v>5.4443999999999999</v>
      </c>
      <c r="BI73" s="228">
        <v>283</v>
      </c>
      <c r="BJ73" s="228">
        <v>202</v>
      </c>
      <c r="BK73" s="228">
        <v>81</v>
      </c>
      <c r="BL73" s="229">
        <v>0.40300000000000002</v>
      </c>
      <c r="BM73" s="228">
        <v>125</v>
      </c>
      <c r="BN73" s="228">
        <v>121</v>
      </c>
      <c r="BO73" s="228">
        <v>4</v>
      </c>
      <c r="BP73" s="229">
        <v>3.3799999999999997E-2</v>
      </c>
      <c r="BQ73" s="228">
        <v>921</v>
      </c>
      <c r="BR73" s="228">
        <v>865</v>
      </c>
      <c r="BS73" s="228">
        <v>57</v>
      </c>
      <c r="BT73" s="229">
        <v>6.5500000000000003E-2</v>
      </c>
      <c r="BU73" s="230">
        <v>2085814</v>
      </c>
      <c r="BV73" s="230">
        <v>1437520</v>
      </c>
      <c r="BW73" s="230">
        <v>648294</v>
      </c>
      <c r="BX73" s="229">
        <v>0.45100000000000001</v>
      </c>
      <c r="BY73" s="228">
        <v>815</v>
      </c>
      <c r="BZ73" s="228">
        <v>887</v>
      </c>
      <c r="CA73" s="228">
        <v>-71</v>
      </c>
      <c r="CB73" s="229">
        <v>-8.0500000000000002E-2</v>
      </c>
      <c r="CC73" s="228">
        <v>81</v>
      </c>
      <c r="CD73" s="228">
        <v>111</v>
      </c>
      <c r="CE73" s="228">
        <v>-29</v>
      </c>
      <c r="CF73" s="229">
        <v>-0.2661</v>
      </c>
      <c r="CG73" s="228">
        <v>810</v>
      </c>
      <c r="CH73" s="228">
        <v>772</v>
      </c>
      <c r="CI73" s="228">
        <v>37</v>
      </c>
      <c r="CJ73" s="229">
        <v>4.8099999999999997E-2</v>
      </c>
      <c r="CK73" s="228">
        <v>6</v>
      </c>
      <c r="CL73" s="228">
        <v>4</v>
      </c>
      <c r="CM73" s="228">
        <v>2</v>
      </c>
      <c r="CN73" s="229">
        <v>0.56359999999999999</v>
      </c>
      <c r="CO73" s="228">
        <v>60</v>
      </c>
      <c r="CP73" s="228">
        <v>227</v>
      </c>
      <c r="CQ73" s="228">
        <v>-167</v>
      </c>
      <c r="CR73" s="229">
        <v>-0.73440000000000005</v>
      </c>
      <c r="CS73" s="228">
        <v>37</v>
      </c>
      <c r="CT73" s="228">
        <v>171</v>
      </c>
      <c r="CU73" s="228">
        <v>-134</v>
      </c>
      <c r="CV73" s="229">
        <v>-0.78249999999999997</v>
      </c>
      <c r="CW73" s="228">
        <v>913</v>
      </c>
      <c r="CX73" s="230">
        <v>1285</v>
      </c>
      <c r="CY73" s="228">
        <v>-372</v>
      </c>
      <c r="CZ73" s="229">
        <v>-0.28970000000000001</v>
      </c>
      <c r="DA73" s="228">
        <v>32.53</v>
      </c>
      <c r="DB73" s="228">
        <v>33.090000000000003</v>
      </c>
      <c r="DC73" s="228">
        <v>-0.56000000000000005</v>
      </c>
      <c r="DD73" s="228">
        <v>-0.56000000000000005</v>
      </c>
      <c r="DE73" s="228">
        <v>37.74</v>
      </c>
      <c r="DF73" s="228">
        <v>37.76</v>
      </c>
      <c r="DG73" s="228">
        <v>-5.21</v>
      </c>
      <c r="DH73" s="228">
        <v>-0.02</v>
      </c>
      <c r="DI73" s="228">
        <v>32.369999999999997</v>
      </c>
      <c r="DJ73" s="228">
        <v>33.020000000000003</v>
      </c>
      <c r="DK73" s="228">
        <v>-0.65</v>
      </c>
      <c r="DL73" s="228">
        <v>-0.65</v>
      </c>
      <c r="DM73" s="228">
        <v>33.130000000000003</v>
      </c>
      <c r="DN73" s="228">
        <v>33.28</v>
      </c>
      <c r="DO73" s="228">
        <v>-0.15</v>
      </c>
      <c r="DP73" s="228">
        <v>-0.15</v>
      </c>
      <c r="DQ73" s="228">
        <v>0.62</v>
      </c>
      <c r="DR73" s="228">
        <v>0.75</v>
      </c>
      <c r="DS73" s="228">
        <v>-0.13</v>
      </c>
      <c r="DT73" s="229">
        <v>-0.17330000000000001</v>
      </c>
      <c r="DU73" s="228">
        <v>850</v>
      </c>
      <c r="DV73" s="228">
        <v>700</v>
      </c>
      <c r="DW73" s="228">
        <v>0.44</v>
      </c>
      <c r="DX73" s="228">
        <v>0.6</v>
      </c>
      <c r="DY73" s="228">
        <v>-0.16</v>
      </c>
      <c r="DZ73" s="229">
        <v>-0.26669999999999999</v>
      </c>
      <c r="EA73" s="229">
        <v>0.90949999999999998</v>
      </c>
      <c r="EB73" s="230">
        <v>9010925</v>
      </c>
      <c r="EC73" s="229">
        <v>2.3999999999999998E-3</v>
      </c>
      <c r="ED73" s="229">
        <v>0.90949999999999998</v>
      </c>
      <c r="EE73" s="228">
        <v>2.7</v>
      </c>
      <c r="EF73" s="229">
        <v>3.2000000000000002E-3</v>
      </c>
      <c r="EG73" s="230">
        <v>1159477</v>
      </c>
      <c r="EH73" s="230">
        <v>882775</v>
      </c>
      <c r="EI73" s="229">
        <v>0.31340000000000001</v>
      </c>
      <c r="EJ73" s="229">
        <v>0.55589999999999995</v>
      </c>
      <c r="EK73" s="228">
        <v>289.56</v>
      </c>
      <c r="EL73" s="228">
        <v>119.33</v>
      </c>
      <c r="EM73" s="228">
        <v>509.76</v>
      </c>
      <c r="EN73" s="228">
        <v>0</v>
      </c>
      <c r="EO73" s="228">
        <v>918.64</v>
      </c>
      <c r="EP73" s="228">
        <v>853.32</v>
      </c>
      <c r="EQ73" s="228">
        <v>65.319999999999993</v>
      </c>
      <c r="ER73" s="229">
        <v>7.6600000000000001E-2</v>
      </c>
      <c r="ES73" s="228">
        <v>61.6</v>
      </c>
      <c r="ET73" s="228">
        <v>34.6</v>
      </c>
      <c r="EU73" s="228">
        <v>815.34</v>
      </c>
      <c r="EV73" s="231">
        <v>103932806</v>
      </c>
      <c r="EW73" s="228">
        <v>911.53</v>
      </c>
      <c r="EX73" s="231">
        <v>1252.0999999999999</v>
      </c>
      <c r="EY73" s="228">
        <v>-340.57</v>
      </c>
      <c r="EZ73" s="229">
        <v>-0.27200000000000002</v>
      </c>
      <c r="FA73" s="229">
        <v>0.10199999999999999</v>
      </c>
      <c r="FB73" s="227" t="s">
        <v>556</v>
      </c>
      <c r="FC73">
        <f t="shared" si="1"/>
        <v>734</v>
      </c>
    </row>
    <row r="74" spans="1:159" ht="17.25" thickBot="1" x14ac:dyDescent="0.3">
      <c r="A74" s="226">
        <v>45869</v>
      </c>
      <c r="B74" s="227" t="s">
        <v>193</v>
      </c>
      <c r="C74" s="227" t="s">
        <v>213</v>
      </c>
      <c r="D74" s="228">
        <v>3150</v>
      </c>
      <c r="E74" s="228">
        <v>0</v>
      </c>
      <c r="F74" s="228">
        <v>177.36</v>
      </c>
      <c r="G74" s="228">
        <v>180.33</v>
      </c>
      <c r="H74" s="228">
        <v>-2.97</v>
      </c>
      <c r="I74" s="229">
        <v>-1.6500000000000001E-2</v>
      </c>
      <c r="J74" s="228">
        <v>177.68</v>
      </c>
      <c r="K74" s="228">
        <v>180.57</v>
      </c>
      <c r="L74" s="228">
        <v>-2.89</v>
      </c>
      <c r="M74" s="229">
        <v>-1.6E-2</v>
      </c>
      <c r="N74" s="228">
        <v>177.21</v>
      </c>
      <c r="O74" s="228">
        <v>180.45</v>
      </c>
      <c r="P74" s="228">
        <v>-3.24</v>
      </c>
      <c r="Q74" s="229">
        <v>-1.7999999999999999E-2</v>
      </c>
      <c r="R74" s="228">
        <v>177.36</v>
      </c>
      <c r="S74" s="228">
        <v>180.33</v>
      </c>
      <c r="T74" s="228">
        <v>-2.97</v>
      </c>
      <c r="U74" s="229">
        <v>-1.6500000000000001E-2</v>
      </c>
      <c r="V74" s="228">
        <v>178.23</v>
      </c>
      <c r="W74" s="228">
        <v>181.2</v>
      </c>
      <c r="X74" s="228">
        <v>-2.97</v>
      </c>
      <c r="Y74" s="229">
        <v>-1.6400000000000001E-2</v>
      </c>
      <c r="Z74" s="228">
        <v>-0.32</v>
      </c>
      <c r="AA74" s="228">
        <v>-0.12</v>
      </c>
      <c r="AB74" s="228">
        <v>-0.2</v>
      </c>
      <c r="AC74" s="229">
        <v>-1.8E-3</v>
      </c>
      <c r="AD74" s="228">
        <v>-0.47</v>
      </c>
      <c r="AE74" s="228">
        <v>-0.12</v>
      </c>
      <c r="AF74" s="228">
        <v>-0.35</v>
      </c>
      <c r="AG74" s="229">
        <v>-2.5999999999999999E-3</v>
      </c>
      <c r="AH74" s="228">
        <v>-0.32</v>
      </c>
      <c r="AI74" s="228">
        <v>-0.24</v>
      </c>
      <c r="AJ74" s="228">
        <v>-0.08</v>
      </c>
      <c r="AK74" s="229">
        <v>-1.8E-3</v>
      </c>
      <c r="AL74" s="228">
        <v>0.55000000000000004</v>
      </c>
      <c r="AM74" s="228">
        <v>0.63</v>
      </c>
      <c r="AN74" s="228">
        <v>-0.08</v>
      </c>
      <c r="AO74" s="229">
        <v>3.0999999999999999E-3</v>
      </c>
      <c r="AP74" s="228">
        <v>178.21</v>
      </c>
      <c r="AQ74" s="228">
        <v>178.1</v>
      </c>
      <c r="AR74" s="228">
        <v>0</v>
      </c>
      <c r="AS74" s="228">
        <v>836</v>
      </c>
      <c r="AT74" s="230">
        <v>1025</v>
      </c>
      <c r="AU74" s="228">
        <v>-189</v>
      </c>
      <c r="AV74" s="229">
        <v>-0.1847</v>
      </c>
      <c r="AW74" s="228">
        <v>324</v>
      </c>
      <c r="AX74" s="228">
        <v>460</v>
      </c>
      <c r="AY74" s="228">
        <v>-136</v>
      </c>
      <c r="AZ74" s="229">
        <v>-0.29599999999999999</v>
      </c>
      <c r="BA74" s="228">
        <v>484</v>
      </c>
      <c r="BB74" s="228">
        <v>536</v>
      </c>
      <c r="BC74" s="228">
        <v>-52</v>
      </c>
      <c r="BD74" s="229">
        <v>-9.7500000000000003E-2</v>
      </c>
      <c r="BE74" s="228">
        <v>28</v>
      </c>
      <c r="BF74" s="228">
        <v>29</v>
      </c>
      <c r="BG74" s="228">
        <v>-1</v>
      </c>
      <c r="BH74" s="229">
        <v>-3.2399999999999998E-2</v>
      </c>
      <c r="BI74" s="228">
        <v>443</v>
      </c>
      <c r="BJ74" s="228">
        <v>627</v>
      </c>
      <c r="BK74" s="228">
        <v>-184</v>
      </c>
      <c r="BL74" s="229">
        <v>-0.29380000000000001</v>
      </c>
      <c r="BM74" s="228">
        <v>405</v>
      </c>
      <c r="BN74" s="228">
        <v>445</v>
      </c>
      <c r="BO74" s="228">
        <v>-41</v>
      </c>
      <c r="BP74" s="229">
        <v>-9.1600000000000001E-2</v>
      </c>
      <c r="BQ74" s="230">
        <v>1683</v>
      </c>
      <c r="BR74" s="230">
        <v>2098</v>
      </c>
      <c r="BS74" s="228">
        <v>-414</v>
      </c>
      <c r="BT74" s="229">
        <v>-0.19750000000000001</v>
      </c>
      <c r="BU74" s="230">
        <v>8278221</v>
      </c>
      <c r="BV74" s="230">
        <v>9952175</v>
      </c>
      <c r="BW74" s="230">
        <v>-1673954</v>
      </c>
      <c r="BX74" s="229">
        <v>-0.16819999999999999</v>
      </c>
      <c r="BY74" s="230">
        <v>1627</v>
      </c>
      <c r="BZ74" s="230">
        <v>1666</v>
      </c>
      <c r="CA74" s="228">
        <v>-39</v>
      </c>
      <c r="CB74" s="229">
        <v>-2.3300000000000001E-2</v>
      </c>
      <c r="CC74" s="228">
        <v>116</v>
      </c>
      <c r="CD74" s="228">
        <v>266</v>
      </c>
      <c r="CE74" s="228">
        <v>-150</v>
      </c>
      <c r="CF74" s="229">
        <v>-0.56399999999999995</v>
      </c>
      <c r="CG74" s="230">
        <v>1577</v>
      </c>
      <c r="CH74" s="230">
        <v>1360</v>
      </c>
      <c r="CI74" s="228">
        <v>216</v>
      </c>
      <c r="CJ74" s="229">
        <v>0.15890000000000001</v>
      </c>
      <c r="CK74" s="228">
        <v>50</v>
      </c>
      <c r="CL74" s="228">
        <v>39</v>
      </c>
      <c r="CM74" s="228">
        <v>11</v>
      </c>
      <c r="CN74" s="229">
        <v>0.27639999999999998</v>
      </c>
      <c r="CO74" s="228">
        <v>477</v>
      </c>
      <c r="CP74" s="228">
        <v>855</v>
      </c>
      <c r="CQ74" s="228">
        <v>-378</v>
      </c>
      <c r="CR74" s="229">
        <v>-0.44230000000000003</v>
      </c>
      <c r="CS74" s="228">
        <v>430</v>
      </c>
      <c r="CT74" s="228">
        <v>588</v>
      </c>
      <c r="CU74" s="228">
        <v>-158</v>
      </c>
      <c r="CV74" s="229">
        <v>-0.26889999999999997</v>
      </c>
      <c r="CW74" s="230">
        <v>2533</v>
      </c>
      <c r="CX74" s="230">
        <v>3109</v>
      </c>
      <c r="CY74" s="228">
        <v>-575</v>
      </c>
      <c r="CZ74" s="229">
        <v>-0.18509999999999999</v>
      </c>
      <c r="DA74" s="228">
        <v>28.01</v>
      </c>
      <c r="DB74" s="228">
        <v>27.7</v>
      </c>
      <c r="DC74" s="228">
        <v>0.31</v>
      </c>
      <c r="DD74" s="228">
        <v>0.31</v>
      </c>
      <c r="DE74" s="228">
        <v>39.46</v>
      </c>
      <c r="DF74" s="228">
        <v>39.5</v>
      </c>
      <c r="DG74" s="228">
        <v>-11.45</v>
      </c>
      <c r="DH74" s="228">
        <v>-0.04</v>
      </c>
      <c r="DI74" s="228">
        <v>28.43</v>
      </c>
      <c r="DJ74" s="228">
        <v>28.15</v>
      </c>
      <c r="DK74" s="228">
        <v>0.28000000000000003</v>
      </c>
      <c r="DL74" s="228">
        <v>0.28000000000000003</v>
      </c>
      <c r="DM74" s="228">
        <v>27.51</v>
      </c>
      <c r="DN74" s="228">
        <v>27.02</v>
      </c>
      <c r="DO74" s="228">
        <v>0.49</v>
      </c>
      <c r="DP74" s="228">
        <v>0.49</v>
      </c>
      <c r="DQ74" s="228">
        <v>0.9</v>
      </c>
      <c r="DR74" s="228">
        <v>0.69</v>
      </c>
      <c r="DS74" s="228">
        <v>0.21</v>
      </c>
      <c r="DT74" s="229">
        <v>0.30430000000000001</v>
      </c>
      <c r="DU74" s="228">
        <v>180</v>
      </c>
      <c r="DV74" s="228">
        <v>180</v>
      </c>
      <c r="DW74" s="228">
        <v>0.91</v>
      </c>
      <c r="DX74" s="228">
        <v>0.71</v>
      </c>
      <c r="DY74" s="228">
        <v>0.2</v>
      </c>
      <c r="DZ74" s="229">
        <v>0.28170000000000001</v>
      </c>
      <c r="EA74" s="229">
        <v>0.9335</v>
      </c>
      <c r="EB74" s="230">
        <v>78916950</v>
      </c>
      <c r="EC74" s="229">
        <v>8.0000000000000004E-4</v>
      </c>
      <c r="ED74" s="229">
        <v>0.9335</v>
      </c>
      <c r="EE74" s="228">
        <v>-0.11</v>
      </c>
      <c r="EF74" s="229">
        <v>-5.9999999999999995E-4</v>
      </c>
      <c r="EG74" s="230">
        <v>4373678</v>
      </c>
      <c r="EH74" s="230">
        <v>5328586</v>
      </c>
      <c r="EI74" s="229">
        <v>-0.1792</v>
      </c>
      <c r="EJ74" s="229">
        <v>0.52829999999999999</v>
      </c>
      <c r="EK74" s="228">
        <v>469.23</v>
      </c>
      <c r="EL74" s="228">
        <v>431.08</v>
      </c>
      <c r="EM74" s="228">
        <v>839.92</v>
      </c>
      <c r="EN74" s="228">
        <v>0</v>
      </c>
      <c r="EO74" s="231">
        <v>1740.23</v>
      </c>
      <c r="EP74" s="231">
        <v>2177.6999999999998</v>
      </c>
      <c r="EQ74" s="228">
        <v>-437.48</v>
      </c>
      <c r="ER74" s="229">
        <v>-0.2009</v>
      </c>
      <c r="ES74" s="228">
        <v>509.87</v>
      </c>
      <c r="ET74" s="228">
        <v>444.4</v>
      </c>
      <c r="EU74" s="231">
        <v>1626.91</v>
      </c>
      <c r="EV74" s="231">
        <v>628365076</v>
      </c>
      <c r="EW74" s="231">
        <v>2581.1799999999998</v>
      </c>
      <c r="EX74" s="231">
        <v>3238.4</v>
      </c>
      <c r="EY74" s="228">
        <v>-657.22</v>
      </c>
      <c r="EZ74" s="229">
        <v>-0.2029</v>
      </c>
      <c r="FA74" s="229">
        <v>0.2273</v>
      </c>
      <c r="FB74" s="227" t="s">
        <v>568</v>
      </c>
      <c r="FC74">
        <f t="shared" si="1"/>
        <v>1511</v>
      </c>
    </row>
    <row r="75" spans="1:159" ht="17.25" thickBot="1" x14ac:dyDescent="0.3">
      <c r="A75" s="226">
        <v>45869</v>
      </c>
      <c r="B75" s="227" t="s">
        <v>170</v>
      </c>
      <c r="C75" s="227" t="s">
        <v>214</v>
      </c>
      <c r="D75" s="228">
        <v>375</v>
      </c>
      <c r="E75" s="228">
        <v>0</v>
      </c>
      <c r="F75" s="231">
        <v>2145.3000000000002</v>
      </c>
      <c r="G75" s="231">
        <v>2164.6</v>
      </c>
      <c r="H75" s="228">
        <v>-19.3</v>
      </c>
      <c r="I75" s="229">
        <v>-8.8999999999999999E-3</v>
      </c>
      <c r="J75" s="231">
        <v>2134.1</v>
      </c>
      <c r="K75" s="231">
        <v>2153.6</v>
      </c>
      <c r="L75" s="228">
        <v>-19.5</v>
      </c>
      <c r="M75" s="229">
        <v>-9.1000000000000004E-3</v>
      </c>
      <c r="N75" s="231">
        <v>2135.4</v>
      </c>
      <c r="O75" s="231">
        <v>2152.6999999999998</v>
      </c>
      <c r="P75" s="228">
        <v>-17.3</v>
      </c>
      <c r="Q75" s="229">
        <v>-8.0000000000000002E-3</v>
      </c>
      <c r="R75" s="231">
        <v>2145.3000000000002</v>
      </c>
      <c r="S75" s="231">
        <v>2164.6</v>
      </c>
      <c r="T75" s="228">
        <v>-19.3</v>
      </c>
      <c r="U75" s="229">
        <v>-8.8999999999999999E-3</v>
      </c>
      <c r="V75" s="231">
        <v>2151.6</v>
      </c>
      <c r="W75" s="231">
        <v>2171.5</v>
      </c>
      <c r="X75" s="228">
        <v>-19.899999999999999</v>
      </c>
      <c r="Y75" s="229">
        <v>-9.1999999999999998E-3</v>
      </c>
      <c r="Z75" s="228">
        <v>11.2</v>
      </c>
      <c r="AA75" s="228">
        <v>-0.9</v>
      </c>
      <c r="AB75" s="228">
        <v>12.1</v>
      </c>
      <c r="AC75" s="229">
        <v>5.1999999999999998E-3</v>
      </c>
      <c r="AD75" s="228">
        <v>1.3</v>
      </c>
      <c r="AE75" s="228">
        <v>-0.9</v>
      </c>
      <c r="AF75" s="228">
        <v>2.2000000000000002</v>
      </c>
      <c r="AG75" s="229">
        <v>5.9999999999999995E-4</v>
      </c>
      <c r="AH75" s="228">
        <v>11.2</v>
      </c>
      <c r="AI75" s="228">
        <v>11</v>
      </c>
      <c r="AJ75" s="228">
        <v>0.2</v>
      </c>
      <c r="AK75" s="229">
        <v>5.1999999999999998E-3</v>
      </c>
      <c r="AL75" s="228">
        <v>17.5</v>
      </c>
      <c r="AM75" s="228">
        <v>17.899999999999999</v>
      </c>
      <c r="AN75" s="228">
        <v>-0.4</v>
      </c>
      <c r="AO75" s="229">
        <v>8.2000000000000007E-3</v>
      </c>
      <c r="AP75" s="231">
        <v>2148.16</v>
      </c>
      <c r="AQ75" s="231">
        <v>2159.54</v>
      </c>
      <c r="AR75" s="228">
        <v>0</v>
      </c>
      <c r="AS75" s="230">
        <v>1021</v>
      </c>
      <c r="AT75" s="228">
        <v>905</v>
      </c>
      <c r="AU75" s="228">
        <v>116</v>
      </c>
      <c r="AV75" s="229">
        <v>0.128</v>
      </c>
      <c r="AW75" s="228">
        <v>465</v>
      </c>
      <c r="AX75" s="228">
        <v>446</v>
      </c>
      <c r="AY75" s="228">
        <v>18</v>
      </c>
      <c r="AZ75" s="229">
        <v>4.1300000000000003E-2</v>
      </c>
      <c r="BA75" s="228">
        <v>550</v>
      </c>
      <c r="BB75" s="228">
        <v>455</v>
      </c>
      <c r="BC75" s="228">
        <v>94</v>
      </c>
      <c r="BD75" s="229">
        <v>0.20749999999999999</v>
      </c>
      <c r="BE75" s="228">
        <v>6</v>
      </c>
      <c r="BF75" s="228">
        <v>3</v>
      </c>
      <c r="BG75" s="228">
        <v>3</v>
      </c>
      <c r="BH75" s="229">
        <v>0.94869999999999999</v>
      </c>
      <c r="BI75" s="228">
        <v>939</v>
      </c>
      <c r="BJ75" s="228">
        <v>620</v>
      </c>
      <c r="BK75" s="228">
        <v>319</v>
      </c>
      <c r="BL75" s="229">
        <v>0.5151</v>
      </c>
      <c r="BM75" s="228">
        <v>668</v>
      </c>
      <c r="BN75" s="228">
        <v>485</v>
      </c>
      <c r="BO75" s="228">
        <v>183</v>
      </c>
      <c r="BP75" s="229">
        <v>0.37659999999999999</v>
      </c>
      <c r="BQ75" s="230">
        <v>2627</v>
      </c>
      <c r="BR75" s="230">
        <v>2010</v>
      </c>
      <c r="BS75" s="228">
        <v>618</v>
      </c>
      <c r="BT75" s="229">
        <v>0.30740000000000001</v>
      </c>
      <c r="BU75" s="230">
        <v>1018268</v>
      </c>
      <c r="BV75" s="230">
        <v>793948</v>
      </c>
      <c r="BW75" s="230">
        <v>224320</v>
      </c>
      <c r="BX75" s="229">
        <v>0.28249999999999997</v>
      </c>
      <c r="BY75" s="230">
        <v>1568</v>
      </c>
      <c r="BZ75" s="230">
        <v>1845</v>
      </c>
      <c r="CA75" s="228">
        <v>-277</v>
      </c>
      <c r="CB75" s="229">
        <v>-0.15029999999999999</v>
      </c>
      <c r="CC75" s="228">
        <v>195</v>
      </c>
      <c r="CD75" s="228">
        <v>433</v>
      </c>
      <c r="CE75" s="228">
        <v>-237</v>
      </c>
      <c r="CF75" s="229">
        <v>-0.54859999999999998</v>
      </c>
      <c r="CG75" s="230">
        <v>1547</v>
      </c>
      <c r="CH75" s="230">
        <v>1391</v>
      </c>
      <c r="CI75" s="228">
        <v>157</v>
      </c>
      <c r="CJ75" s="229">
        <v>0.11269999999999999</v>
      </c>
      <c r="CK75" s="228">
        <v>21</v>
      </c>
      <c r="CL75" s="228">
        <v>22</v>
      </c>
      <c r="CM75" s="228">
        <v>-2</v>
      </c>
      <c r="CN75" s="229">
        <v>-6.83E-2</v>
      </c>
      <c r="CO75" s="228">
        <v>157</v>
      </c>
      <c r="CP75" s="230">
        <v>1253</v>
      </c>
      <c r="CQ75" s="230">
        <v>-1096</v>
      </c>
      <c r="CR75" s="229">
        <v>-0.87450000000000006</v>
      </c>
      <c r="CS75" s="228">
        <v>115</v>
      </c>
      <c r="CT75" s="230">
        <v>1008</v>
      </c>
      <c r="CU75" s="228">
        <v>-893</v>
      </c>
      <c r="CV75" s="229">
        <v>-0.88549999999999995</v>
      </c>
      <c r="CW75" s="230">
        <v>1841</v>
      </c>
      <c r="CX75" s="230">
        <v>4107</v>
      </c>
      <c r="CY75" s="230">
        <v>-2266</v>
      </c>
      <c r="CZ75" s="229">
        <v>-0.55179999999999996</v>
      </c>
      <c r="DA75" s="228">
        <v>32.19</v>
      </c>
      <c r="DB75" s="228">
        <v>32.380000000000003</v>
      </c>
      <c r="DC75" s="228">
        <v>-0.19</v>
      </c>
      <c r="DD75" s="228">
        <v>-0.19</v>
      </c>
      <c r="DE75" s="228">
        <v>40.32</v>
      </c>
      <c r="DF75" s="228">
        <v>40.409999999999997</v>
      </c>
      <c r="DG75" s="228">
        <v>-8.1300000000000008</v>
      </c>
      <c r="DH75" s="228">
        <v>-0.09</v>
      </c>
      <c r="DI75" s="228">
        <v>31.55</v>
      </c>
      <c r="DJ75" s="228">
        <v>32.07</v>
      </c>
      <c r="DK75" s="228">
        <v>-0.52</v>
      </c>
      <c r="DL75" s="228">
        <v>-0.52</v>
      </c>
      <c r="DM75" s="228">
        <v>33.770000000000003</v>
      </c>
      <c r="DN75" s="228">
        <v>33.56</v>
      </c>
      <c r="DO75" s="228">
        <v>0.21</v>
      </c>
      <c r="DP75" s="228">
        <v>0.21</v>
      </c>
      <c r="DQ75" s="228">
        <v>0.73</v>
      </c>
      <c r="DR75" s="228">
        <v>0.8</v>
      </c>
      <c r="DS75" s="228">
        <v>-7.0000000000000007E-2</v>
      </c>
      <c r="DT75" s="229">
        <v>-8.7499999999999994E-2</v>
      </c>
      <c r="DU75" s="231">
        <v>1900</v>
      </c>
      <c r="DV75" s="231">
        <v>2000</v>
      </c>
      <c r="DW75" s="228">
        <v>0.71</v>
      </c>
      <c r="DX75" s="228">
        <v>0.78</v>
      </c>
      <c r="DY75" s="228">
        <v>-7.0000000000000007E-2</v>
      </c>
      <c r="DZ75" s="229">
        <v>-8.9700000000000002E-2</v>
      </c>
      <c r="EA75" s="229">
        <v>0.88929999999999998</v>
      </c>
      <c r="EB75" s="230">
        <v>6586125</v>
      </c>
      <c r="EC75" s="229">
        <v>4.5999999999999999E-3</v>
      </c>
      <c r="ED75" s="229">
        <v>0.88929999999999998</v>
      </c>
      <c r="EE75" s="228">
        <v>11.38</v>
      </c>
      <c r="EF75" s="229">
        <v>5.3E-3</v>
      </c>
      <c r="EG75" s="230">
        <v>458928</v>
      </c>
      <c r="EH75" s="230">
        <v>476417</v>
      </c>
      <c r="EI75" s="229">
        <v>-3.6700000000000003E-2</v>
      </c>
      <c r="EJ75" s="229">
        <v>0.45069999999999999</v>
      </c>
      <c r="EK75" s="228">
        <v>976.44</v>
      </c>
      <c r="EL75" s="228">
        <v>634.1</v>
      </c>
      <c r="EM75" s="231">
        <v>1024.8900000000001</v>
      </c>
      <c r="EN75" s="228">
        <v>0</v>
      </c>
      <c r="EO75" s="231">
        <v>2635.43</v>
      </c>
      <c r="EP75" s="231">
        <v>2036.99</v>
      </c>
      <c r="EQ75" s="228">
        <v>598.44000000000005</v>
      </c>
      <c r="ER75" s="229">
        <v>0.29380000000000001</v>
      </c>
      <c r="ES75" s="228">
        <v>162.41</v>
      </c>
      <c r="ET75" s="228">
        <v>111.84</v>
      </c>
      <c r="EU75" s="231">
        <v>1568.17</v>
      </c>
      <c r="EV75" s="231">
        <v>30111043</v>
      </c>
      <c r="EW75" s="231">
        <v>1842.42</v>
      </c>
      <c r="EX75" s="231">
        <v>3967.84</v>
      </c>
      <c r="EY75" s="231">
        <v>-2125.42</v>
      </c>
      <c r="EZ75" s="229">
        <v>-0.53569999999999995</v>
      </c>
      <c r="FA75" s="229">
        <v>0.28499999999999998</v>
      </c>
      <c r="FB75" s="227" t="s">
        <v>568</v>
      </c>
      <c r="FC75">
        <f t="shared" si="1"/>
        <v>1373</v>
      </c>
    </row>
    <row r="76" spans="1:159" ht="17.25" thickBot="1" x14ac:dyDescent="0.3">
      <c r="A76" s="226">
        <v>45869</v>
      </c>
      <c r="B76" s="227" t="s">
        <v>215</v>
      </c>
      <c r="C76" s="227" t="s">
        <v>632</v>
      </c>
      <c r="D76" s="228">
        <v>6975</v>
      </c>
      <c r="E76" s="228">
        <v>0</v>
      </c>
      <c r="F76" s="228">
        <v>90.59</v>
      </c>
      <c r="G76" s="228">
        <v>90.29</v>
      </c>
      <c r="H76" s="228">
        <v>0.3</v>
      </c>
      <c r="I76" s="229">
        <v>3.3E-3</v>
      </c>
      <c r="J76" s="228">
        <v>90.06</v>
      </c>
      <c r="K76" s="228">
        <v>89.84</v>
      </c>
      <c r="L76" s="228">
        <v>0.22</v>
      </c>
      <c r="M76" s="229">
        <v>2.3999999999999998E-3</v>
      </c>
      <c r="N76" s="228">
        <v>90.26</v>
      </c>
      <c r="O76" s="228">
        <v>89.82</v>
      </c>
      <c r="P76" s="228">
        <v>0.44</v>
      </c>
      <c r="Q76" s="229">
        <v>4.8999999999999998E-3</v>
      </c>
      <c r="R76" s="228">
        <v>90.59</v>
      </c>
      <c r="S76" s="228">
        <v>90.29</v>
      </c>
      <c r="T76" s="228">
        <v>0.3</v>
      </c>
      <c r="U76" s="229">
        <v>3.3E-3</v>
      </c>
      <c r="V76" s="228">
        <v>91.12</v>
      </c>
      <c r="W76" s="228">
        <v>90.84</v>
      </c>
      <c r="X76" s="228">
        <v>0.28000000000000003</v>
      </c>
      <c r="Y76" s="229">
        <v>3.0999999999999999E-3</v>
      </c>
      <c r="Z76" s="228">
        <v>0.53</v>
      </c>
      <c r="AA76" s="228">
        <v>-0.02</v>
      </c>
      <c r="AB76" s="228">
        <v>0.55000000000000004</v>
      </c>
      <c r="AC76" s="229">
        <v>5.8999999999999999E-3</v>
      </c>
      <c r="AD76" s="228">
        <v>0.2</v>
      </c>
      <c r="AE76" s="228">
        <v>-0.02</v>
      </c>
      <c r="AF76" s="228">
        <v>0.22</v>
      </c>
      <c r="AG76" s="229">
        <v>2.2000000000000001E-3</v>
      </c>
      <c r="AH76" s="228">
        <v>0.53</v>
      </c>
      <c r="AI76" s="228">
        <v>0.45</v>
      </c>
      <c r="AJ76" s="228">
        <v>0.08</v>
      </c>
      <c r="AK76" s="229">
        <v>5.8999999999999999E-3</v>
      </c>
      <c r="AL76" s="228">
        <v>1.06</v>
      </c>
      <c r="AM76" s="228">
        <v>1</v>
      </c>
      <c r="AN76" s="228">
        <v>0.06</v>
      </c>
      <c r="AO76" s="229">
        <v>1.18E-2</v>
      </c>
      <c r="AP76" s="228">
        <v>90.36</v>
      </c>
      <c r="AQ76" s="228">
        <v>90.8</v>
      </c>
      <c r="AR76" s="228">
        <v>0</v>
      </c>
      <c r="AS76" s="228">
        <v>964</v>
      </c>
      <c r="AT76" s="230">
        <v>1189</v>
      </c>
      <c r="AU76" s="228">
        <v>-225</v>
      </c>
      <c r="AV76" s="229">
        <v>-0.18909999999999999</v>
      </c>
      <c r="AW76" s="228">
        <v>437</v>
      </c>
      <c r="AX76" s="228">
        <v>549</v>
      </c>
      <c r="AY76" s="228">
        <v>-113</v>
      </c>
      <c r="AZ76" s="229">
        <v>-0.20499999999999999</v>
      </c>
      <c r="BA76" s="228">
        <v>519</v>
      </c>
      <c r="BB76" s="228">
        <v>634</v>
      </c>
      <c r="BC76" s="228">
        <v>-115</v>
      </c>
      <c r="BD76" s="229">
        <v>-0.18090000000000001</v>
      </c>
      <c r="BE76" s="228">
        <v>8</v>
      </c>
      <c r="BF76" s="228">
        <v>6</v>
      </c>
      <c r="BG76" s="228">
        <v>2</v>
      </c>
      <c r="BH76" s="229">
        <v>0.43330000000000002</v>
      </c>
      <c r="BI76" s="228">
        <v>458</v>
      </c>
      <c r="BJ76" s="228">
        <v>803</v>
      </c>
      <c r="BK76" s="228">
        <v>-345</v>
      </c>
      <c r="BL76" s="229">
        <v>-0.42970000000000003</v>
      </c>
      <c r="BM76" s="228">
        <v>470</v>
      </c>
      <c r="BN76" s="228">
        <v>319</v>
      </c>
      <c r="BO76" s="228">
        <v>151</v>
      </c>
      <c r="BP76" s="229">
        <v>0.47299999999999998</v>
      </c>
      <c r="BQ76" s="230">
        <v>1892</v>
      </c>
      <c r="BR76" s="230">
        <v>2311</v>
      </c>
      <c r="BS76" s="228">
        <v>-419</v>
      </c>
      <c r="BT76" s="229">
        <v>-0.18129999999999999</v>
      </c>
      <c r="BU76" s="230">
        <v>10254931</v>
      </c>
      <c r="BV76" s="230">
        <v>9985594</v>
      </c>
      <c r="BW76" s="230">
        <v>269337</v>
      </c>
      <c r="BX76" s="229">
        <v>2.7E-2</v>
      </c>
      <c r="BY76" s="230">
        <v>1690</v>
      </c>
      <c r="BZ76" s="230">
        <v>1753</v>
      </c>
      <c r="CA76" s="228">
        <v>-63</v>
      </c>
      <c r="CB76" s="229">
        <v>-3.5799999999999998E-2</v>
      </c>
      <c r="CC76" s="228">
        <v>52</v>
      </c>
      <c r="CD76" s="228">
        <v>333</v>
      </c>
      <c r="CE76" s="228">
        <v>-281</v>
      </c>
      <c r="CF76" s="229">
        <v>-0.84350000000000003</v>
      </c>
      <c r="CG76" s="230">
        <v>1667</v>
      </c>
      <c r="CH76" s="230">
        <v>1400</v>
      </c>
      <c r="CI76" s="228">
        <v>266</v>
      </c>
      <c r="CJ76" s="229">
        <v>0.19020000000000001</v>
      </c>
      <c r="CK76" s="228">
        <v>24</v>
      </c>
      <c r="CL76" s="228">
        <v>20</v>
      </c>
      <c r="CM76" s="228">
        <v>4</v>
      </c>
      <c r="CN76" s="229">
        <v>0.1885</v>
      </c>
      <c r="CO76" s="228">
        <v>430</v>
      </c>
      <c r="CP76" s="228">
        <v>942</v>
      </c>
      <c r="CQ76" s="228">
        <v>-512</v>
      </c>
      <c r="CR76" s="229">
        <v>-0.54349999999999998</v>
      </c>
      <c r="CS76" s="228">
        <v>215</v>
      </c>
      <c r="CT76" s="228">
        <v>429</v>
      </c>
      <c r="CU76" s="228">
        <v>-213</v>
      </c>
      <c r="CV76" s="229">
        <v>-0.49809999999999999</v>
      </c>
      <c r="CW76" s="230">
        <v>2336</v>
      </c>
      <c r="CX76" s="230">
        <v>3124</v>
      </c>
      <c r="CY76" s="228">
        <v>-788</v>
      </c>
      <c r="CZ76" s="229">
        <v>-0.25240000000000001</v>
      </c>
      <c r="DA76" s="228">
        <v>29.62</v>
      </c>
      <c r="DB76" s="228">
        <v>29.16</v>
      </c>
      <c r="DC76" s="228">
        <v>0.46</v>
      </c>
      <c r="DD76" s="228">
        <v>0.46</v>
      </c>
      <c r="DE76" s="228">
        <v>40.03</v>
      </c>
      <c r="DF76" s="228">
        <v>40.130000000000003</v>
      </c>
      <c r="DG76" s="228">
        <v>-10.41</v>
      </c>
      <c r="DH76" s="228">
        <v>-0.1</v>
      </c>
      <c r="DI76" s="228">
        <v>29.07</v>
      </c>
      <c r="DJ76" s="228">
        <v>29.43</v>
      </c>
      <c r="DK76" s="228">
        <v>-0.36</v>
      </c>
      <c r="DL76" s="228">
        <v>-0.36</v>
      </c>
      <c r="DM76" s="228">
        <v>30.06</v>
      </c>
      <c r="DN76" s="228">
        <v>28</v>
      </c>
      <c r="DO76" s="228">
        <v>2.06</v>
      </c>
      <c r="DP76" s="228">
        <v>2.06</v>
      </c>
      <c r="DQ76" s="228">
        <v>0.5</v>
      </c>
      <c r="DR76" s="228">
        <v>0.45</v>
      </c>
      <c r="DS76" s="228">
        <v>0.05</v>
      </c>
      <c r="DT76" s="229">
        <v>0.1111</v>
      </c>
      <c r="DU76" s="228">
        <v>95</v>
      </c>
      <c r="DV76" s="228">
        <v>90</v>
      </c>
      <c r="DW76" s="228">
        <v>1.03</v>
      </c>
      <c r="DX76" s="228">
        <v>0.4</v>
      </c>
      <c r="DY76" s="228">
        <v>0.63</v>
      </c>
      <c r="DZ76" s="229">
        <v>1.575</v>
      </c>
      <c r="EA76" s="229">
        <v>0.97009999999999996</v>
      </c>
      <c r="EB76" s="230">
        <v>156777075</v>
      </c>
      <c r="EC76" s="229">
        <v>3.7000000000000002E-3</v>
      </c>
      <c r="ED76" s="229">
        <v>0.97009999999999996</v>
      </c>
      <c r="EE76" s="228">
        <v>0.44</v>
      </c>
      <c r="EF76" s="229">
        <v>4.8999999999999998E-3</v>
      </c>
      <c r="EG76" s="230">
        <v>5378952</v>
      </c>
      <c r="EH76" s="230">
        <v>3377996</v>
      </c>
      <c r="EI76" s="229">
        <v>0.59240000000000004</v>
      </c>
      <c r="EJ76" s="229">
        <v>0.52449999999999997</v>
      </c>
      <c r="EK76" s="228">
        <v>473.15</v>
      </c>
      <c r="EL76" s="228">
        <v>462.72</v>
      </c>
      <c r="EM76" s="228">
        <v>964.44</v>
      </c>
      <c r="EN76" s="228">
        <v>0</v>
      </c>
      <c r="EO76" s="231">
        <v>1900.31</v>
      </c>
      <c r="EP76" s="231">
        <v>2347.16</v>
      </c>
      <c r="EQ76" s="228">
        <v>-446.86</v>
      </c>
      <c r="ER76" s="229">
        <v>-0.19040000000000001</v>
      </c>
      <c r="ES76" s="228">
        <v>453.54</v>
      </c>
      <c r="ET76" s="228">
        <v>209.4</v>
      </c>
      <c r="EU76" s="231">
        <v>1690.44</v>
      </c>
      <c r="EV76" s="231">
        <v>712939229</v>
      </c>
      <c r="EW76" s="231">
        <v>2353.38</v>
      </c>
      <c r="EX76" s="231">
        <v>3152.36</v>
      </c>
      <c r="EY76" s="228">
        <v>-798.98</v>
      </c>
      <c r="EZ76" s="229">
        <v>-0.2535</v>
      </c>
      <c r="FA76" s="229">
        <v>0.36159999999999998</v>
      </c>
      <c r="FB76" s="227" t="s">
        <v>556</v>
      </c>
      <c r="FC76">
        <f t="shared" si="1"/>
        <v>1638</v>
      </c>
    </row>
    <row r="77" spans="1:159" ht="17.25" thickBot="1" x14ac:dyDescent="0.3">
      <c r="A77" s="226">
        <v>45869</v>
      </c>
      <c r="B77" s="227" t="s">
        <v>168</v>
      </c>
      <c r="C77" s="227" t="s">
        <v>217</v>
      </c>
      <c r="D77" s="228">
        <v>500</v>
      </c>
      <c r="E77" s="228">
        <v>0</v>
      </c>
      <c r="F77" s="231">
        <v>1259.9000000000001</v>
      </c>
      <c r="G77" s="231">
        <v>1223.2</v>
      </c>
      <c r="H77" s="228">
        <v>36.700000000000003</v>
      </c>
      <c r="I77" s="229">
        <v>0.03</v>
      </c>
      <c r="J77" s="231">
        <v>1259</v>
      </c>
      <c r="K77" s="231">
        <v>1216.5999999999999</v>
      </c>
      <c r="L77" s="228">
        <v>42.4</v>
      </c>
      <c r="M77" s="229">
        <v>3.49E-2</v>
      </c>
      <c r="N77" s="231">
        <v>1258.2</v>
      </c>
      <c r="O77" s="231">
        <v>1218.5</v>
      </c>
      <c r="P77" s="228">
        <v>39.700000000000003</v>
      </c>
      <c r="Q77" s="229">
        <v>3.2599999999999997E-2</v>
      </c>
      <c r="R77" s="231">
        <v>1259.9000000000001</v>
      </c>
      <c r="S77" s="231">
        <v>1223.2</v>
      </c>
      <c r="T77" s="228">
        <v>36.700000000000003</v>
      </c>
      <c r="U77" s="229">
        <v>0.03</v>
      </c>
      <c r="V77" s="231">
        <v>1262.4000000000001</v>
      </c>
      <c r="W77" s="231">
        <v>1229.5</v>
      </c>
      <c r="X77" s="228">
        <v>32.9</v>
      </c>
      <c r="Y77" s="229">
        <v>2.6800000000000001E-2</v>
      </c>
      <c r="Z77" s="228">
        <v>0.9</v>
      </c>
      <c r="AA77" s="228">
        <v>1.9</v>
      </c>
      <c r="AB77" s="228">
        <v>-1</v>
      </c>
      <c r="AC77" s="229">
        <v>6.9999999999999999E-4</v>
      </c>
      <c r="AD77" s="228">
        <v>-0.8</v>
      </c>
      <c r="AE77" s="228">
        <v>1.9</v>
      </c>
      <c r="AF77" s="228">
        <v>-2.7</v>
      </c>
      <c r="AG77" s="229">
        <v>-5.9999999999999995E-4</v>
      </c>
      <c r="AH77" s="228">
        <v>0.9</v>
      </c>
      <c r="AI77" s="228">
        <v>6.6</v>
      </c>
      <c r="AJ77" s="228">
        <v>-5.7</v>
      </c>
      <c r="AK77" s="229">
        <v>6.9999999999999999E-4</v>
      </c>
      <c r="AL77" s="228">
        <v>3.4</v>
      </c>
      <c r="AM77" s="228">
        <v>12.9</v>
      </c>
      <c r="AN77" s="228">
        <v>-9.5</v>
      </c>
      <c r="AO77" s="229">
        <v>2.7000000000000001E-3</v>
      </c>
      <c r="AP77" s="231">
        <v>1249.8599999999999</v>
      </c>
      <c r="AQ77" s="231">
        <v>1252.24</v>
      </c>
      <c r="AR77" s="228">
        <v>0</v>
      </c>
      <c r="AS77" s="228">
        <v>855</v>
      </c>
      <c r="AT77" s="228">
        <v>618</v>
      </c>
      <c r="AU77" s="228">
        <v>237</v>
      </c>
      <c r="AV77" s="229">
        <v>0.38440000000000002</v>
      </c>
      <c r="AW77" s="228">
        <v>348</v>
      </c>
      <c r="AX77" s="228">
        <v>285</v>
      </c>
      <c r="AY77" s="228">
        <v>64</v>
      </c>
      <c r="AZ77" s="229">
        <v>0.22320000000000001</v>
      </c>
      <c r="BA77" s="228">
        <v>504</v>
      </c>
      <c r="BB77" s="228">
        <v>331</v>
      </c>
      <c r="BC77" s="228">
        <v>173</v>
      </c>
      <c r="BD77" s="229">
        <v>0.52080000000000004</v>
      </c>
      <c r="BE77" s="228">
        <v>3</v>
      </c>
      <c r="BF77" s="228">
        <v>1</v>
      </c>
      <c r="BG77" s="228">
        <v>1</v>
      </c>
      <c r="BH77" s="229">
        <v>0.90910000000000002</v>
      </c>
      <c r="BI77" s="228">
        <v>835</v>
      </c>
      <c r="BJ77" s="228">
        <v>283</v>
      </c>
      <c r="BK77" s="228">
        <v>552</v>
      </c>
      <c r="BL77" s="229">
        <v>1.9542999999999999</v>
      </c>
      <c r="BM77" s="228">
        <v>165</v>
      </c>
      <c r="BN77" s="228">
        <v>110</v>
      </c>
      <c r="BO77" s="228">
        <v>55</v>
      </c>
      <c r="BP77" s="229">
        <v>0.50319999999999998</v>
      </c>
      <c r="BQ77" s="230">
        <v>1854</v>
      </c>
      <c r="BR77" s="230">
        <v>1010</v>
      </c>
      <c r="BS77" s="228">
        <v>845</v>
      </c>
      <c r="BT77" s="229">
        <v>0.83660000000000001</v>
      </c>
      <c r="BU77" s="230">
        <v>1638117</v>
      </c>
      <c r="BV77" s="230">
        <v>1904441</v>
      </c>
      <c r="BW77" s="230">
        <v>-266324</v>
      </c>
      <c r="BX77" s="229">
        <v>-0.13980000000000001</v>
      </c>
      <c r="BY77" s="230">
        <v>1174</v>
      </c>
      <c r="BZ77" s="230">
        <v>1502</v>
      </c>
      <c r="CA77" s="228">
        <v>-328</v>
      </c>
      <c r="CB77" s="229">
        <v>-0.21859999999999999</v>
      </c>
      <c r="CC77" s="228">
        <v>249</v>
      </c>
      <c r="CD77" s="228">
        <v>473</v>
      </c>
      <c r="CE77" s="228">
        <v>-224</v>
      </c>
      <c r="CF77" s="229">
        <v>-0.47439999999999999</v>
      </c>
      <c r="CG77" s="230">
        <v>1171</v>
      </c>
      <c r="CH77" s="230">
        <v>1027</v>
      </c>
      <c r="CI77" s="228">
        <v>144</v>
      </c>
      <c r="CJ77" s="229">
        <v>0.14000000000000001</v>
      </c>
      <c r="CK77" s="228">
        <v>3</v>
      </c>
      <c r="CL77" s="228">
        <v>2</v>
      </c>
      <c r="CM77" s="228">
        <v>1</v>
      </c>
      <c r="CN77" s="229">
        <v>0.28210000000000002</v>
      </c>
      <c r="CO77" s="228">
        <v>76</v>
      </c>
      <c r="CP77" s="228">
        <v>268</v>
      </c>
      <c r="CQ77" s="228">
        <v>-191</v>
      </c>
      <c r="CR77" s="229">
        <v>-0.71450000000000002</v>
      </c>
      <c r="CS77" s="228">
        <v>44</v>
      </c>
      <c r="CT77" s="228">
        <v>180</v>
      </c>
      <c r="CU77" s="228">
        <v>-136</v>
      </c>
      <c r="CV77" s="229">
        <v>-0.75570000000000004</v>
      </c>
      <c r="CW77" s="230">
        <v>1294</v>
      </c>
      <c r="CX77" s="230">
        <v>1950</v>
      </c>
      <c r="CY77" s="228">
        <v>-656</v>
      </c>
      <c r="CZ77" s="229">
        <v>-0.3362</v>
      </c>
      <c r="DA77" s="228">
        <v>26.35</v>
      </c>
      <c r="DB77" s="228">
        <v>24.94</v>
      </c>
      <c r="DC77" s="228">
        <v>1.41</v>
      </c>
      <c r="DD77" s="228">
        <v>1.41</v>
      </c>
      <c r="DE77" s="228">
        <v>31.25</v>
      </c>
      <c r="DF77" s="228">
        <v>30.99</v>
      </c>
      <c r="DG77" s="228">
        <v>-4.9000000000000004</v>
      </c>
      <c r="DH77" s="228">
        <v>0.26</v>
      </c>
      <c r="DI77" s="228">
        <v>26.19</v>
      </c>
      <c r="DJ77" s="228">
        <v>24.86</v>
      </c>
      <c r="DK77" s="228">
        <v>1.33</v>
      </c>
      <c r="DL77" s="228">
        <v>1.33</v>
      </c>
      <c r="DM77" s="228">
        <v>27.34</v>
      </c>
      <c r="DN77" s="228">
        <v>25.13</v>
      </c>
      <c r="DO77" s="228">
        <v>2.21</v>
      </c>
      <c r="DP77" s="228">
        <v>2.21</v>
      </c>
      <c r="DQ77" s="228">
        <v>0.57999999999999996</v>
      </c>
      <c r="DR77" s="228">
        <v>0.67</v>
      </c>
      <c r="DS77" s="228">
        <v>-0.09</v>
      </c>
      <c r="DT77" s="229">
        <v>-0.1343</v>
      </c>
      <c r="DU77" s="231">
        <v>1300</v>
      </c>
      <c r="DV77" s="231">
        <v>1200</v>
      </c>
      <c r="DW77" s="228">
        <v>0.2</v>
      </c>
      <c r="DX77" s="228">
        <v>0.39</v>
      </c>
      <c r="DY77" s="228">
        <v>-0.19</v>
      </c>
      <c r="DZ77" s="229">
        <v>-0.48720000000000002</v>
      </c>
      <c r="EA77" s="229">
        <v>0.82530000000000003</v>
      </c>
      <c r="EB77" s="230">
        <v>8170500</v>
      </c>
      <c r="EC77" s="229">
        <v>1.4E-3</v>
      </c>
      <c r="ED77" s="229">
        <v>0.82530000000000003</v>
      </c>
      <c r="EE77" s="228">
        <v>2.38</v>
      </c>
      <c r="EF77" s="229">
        <v>1.9E-3</v>
      </c>
      <c r="EG77" s="230">
        <v>743508</v>
      </c>
      <c r="EH77" s="230">
        <v>1617905</v>
      </c>
      <c r="EI77" s="229">
        <v>-0.54049999999999998</v>
      </c>
      <c r="EJ77" s="229">
        <v>0.45390000000000003</v>
      </c>
      <c r="EK77" s="228">
        <v>855.65</v>
      </c>
      <c r="EL77" s="228">
        <v>159.32</v>
      </c>
      <c r="EM77" s="228">
        <v>849.18</v>
      </c>
      <c r="EN77" s="228">
        <v>0</v>
      </c>
      <c r="EO77" s="231">
        <v>1864.14</v>
      </c>
      <c r="EP77" s="228">
        <v>984.71</v>
      </c>
      <c r="EQ77" s="228">
        <v>879.43</v>
      </c>
      <c r="ER77" s="229">
        <v>0.8931</v>
      </c>
      <c r="ES77" s="228">
        <v>78.11</v>
      </c>
      <c r="ET77" s="228">
        <v>42.05</v>
      </c>
      <c r="EU77" s="231">
        <v>1173.92</v>
      </c>
      <c r="EV77" s="231">
        <v>96028079</v>
      </c>
      <c r="EW77" s="231">
        <v>1294.07</v>
      </c>
      <c r="EX77" s="231">
        <v>1900.07</v>
      </c>
      <c r="EY77" s="228">
        <v>-606</v>
      </c>
      <c r="EZ77" s="229">
        <v>-0.31890000000000002</v>
      </c>
      <c r="FA77" s="229">
        <v>0.107</v>
      </c>
      <c r="FB77" s="227" t="s">
        <v>556</v>
      </c>
      <c r="FC77">
        <f t="shared" si="1"/>
        <v>925</v>
      </c>
    </row>
    <row r="78" spans="1:159" ht="17.25" thickBot="1" x14ac:dyDescent="0.3">
      <c r="A78" s="226">
        <v>45869</v>
      </c>
      <c r="B78" s="227" t="s">
        <v>206</v>
      </c>
      <c r="C78" s="227" t="s">
        <v>218</v>
      </c>
      <c r="D78" s="228">
        <v>275</v>
      </c>
      <c r="E78" s="228">
        <v>0</v>
      </c>
      <c r="F78" s="231">
        <v>2109.3000000000002</v>
      </c>
      <c r="G78" s="231">
        <v>2142.3000000000002</v>
      </c>
      <c r="H78" s="228">
        <v>-33</v>
      </c>
      <c r="I78" s="229">
        <v>-1.54E-2</v>
      </c>
      <c r="J78" s="231">
        <v>2102.9</v>
      </c>
      <c r="K78" s="231">
        <v>2129.4</v>
      </c>
      <c r="L78" s="228">
        <v>-26.5</v>
      </c>
      <c r="M78" s="229">
        <v>-1.24E-2</v>
      </c>
      <c r="N78" s="231">
        <v>2098.6999999999998</v>
      </c>
      <c r="O78" s="231">
        <v>2131.4</v>
      </c>
      <c r="P78" s="228">
        <v>-32.700000000000003</v>
      </c>
      <c r="Q78" s="229">
        <v>-1.5299999999999999E-2</v>
      </c>
      <c r="R78" s="231">
        <v>2109.3000000000002</v>
      </c>
      <c r="S78" s="231">
        <v>2142.3000000000002</v>
      </c>
      <c r="T78" s="228">
        <v>-33</v>
      </c>
      <c r="U78" s="229">
        <v>-1.54E-2</v>
      </c>
      <c r="V78" s="231">
        <v>2123.6</v>
      </c>
      <c r="W78" s="231">
        <v>2154.8000000000002</v>
      </c>
      <c r="X78" s="228">
        <v>-31.2</v>
      </c>
      <c r="Y78" s="229">
        <v>-1.4500000000000001E-2</v>
      </c>
      <c r="Z78" s="228">
        <v>6.4</v>
      </c>
      <c r="AA78" s="228">
        <v>2</v>
      </c>
      <c r="AB78" s="228">
        <v>4.4000000000000004</v>
      </c>
      <c r="AC78" s="229">
        <v>3.0000000000000001E-3</v>
      </c>
      <c r="AD78" s="228">
        <v>-4.2</v>
      </c>
      <c r="AE78" s="228">
        <v>2</v>
      </c>
      <c r="AF78" s="228">
        <v>-6.2</v>
      </c>
      <c r="AG78" s="229">
        <v>-2E-3</v>
      </c>
      <c r="AH78" s="228">
        <v>6.4</v>
      </c>
      <c r="AI78" s="228">
        <v>12.9</v>
      </c>
      <c r="AJ78" s="228">
        <v>-6.5</v>
      </c>
      <c r="AK78" s="229">
        <v>3.0000000000000001E-3</v>
      </c>
      <c r="AL78" s="228">
        <v>20.7</v>
      </c>
      <c r="AM78" s="228">
        <v>25.4</v>
      </c>
      <c r="AN78" s="228">
        <v>-4.7</v>
      </c>
      <c r="AO78" s="229">
        <v>9.7999999999999997E-3</v>
      </c>
      <c r="AP78" s="231">
        <v>2104.25</v>
      </c>
      <c r="AQ78" s="231">
        <v>2115.41</v>
      </c>
      <c r="AR78" s="228">
        <v>0</v>
      </c>
      <c r="AS78" s="228">
        <v>770</v>
      </c>
      <c r="AT78" s="228">
        <v>882</v>
      </c>
      <c r="AU78" s="228">
        <v>-113</v>
      </c>
      <c r="AV78" s="229">
        <v>-0.12770000000000001</v>
      </c>
      <c r="AW78" s="228">
        <v>339</v>
      </c>
      <c r="AX78" s="228">
        <v>411</v>
      </c>
      <c r="AY78" s="228">
        <v>-71</v>
      </c>
      <c r="AZ78" s="229">
        <v>-0.17349999999999999</v>
      </c>
      <c r="BA78" s="228">
        <v>421</v>
      </c>
      <c r="BB78" s="228">
        <v>465</v>
      </c>
      <c r="BC78" s="228">
        <v>-44</v>
      </c>
      <c r="BD78" s="229">
        <v>-9.4799999999999995E-2</v>
      </c>
      <c r="BE78" s="228">
        <v>9</v>
      </c>
      <c r="BF78" s="228">
        <v>7</v>
      </c>
      <c r="BG78" s="228">
        <v>3</v>
      </c>
      <c r="BH78" s="229">
        <v>0.40710000000000002</v>
      </c>
      <c r="BI78" s="228">
        <v>562</v>
      </c>
      <c r="BJ78" s="228">
        <v>435</v>
      </c>
      <c r="BK78" s="228">
        <v>128</v>
      </c>
      <c r="BL78" s="229">
        <v>0.29420000000000002</v>
      </c>
      <c r="BM78" s="228">
        <v>296</v>
      </c>
      <c r="BN78" s="228">
        <v>227</v>
      </c>
      <c r="BO78" s="228">
        <v>69</v>
      </c>
      <c r="BP78" s="229">
        <v>0.30270000000000002</v>
      </c>
      <c r="BQ78" s="230">
        <v>1628</v>
      </c>
      <c r="BR78" s="230">
        <v>1544</v>
      </c>
      <c r="BS78" s="228">
        <v>84</v>
      </c>
      <c r="BT78" s="229">
        <v>5.4399999999999997E-2</v>
      </c>
      <c r="BU78" s="230">
        <v>644150</v>
      </c>
      <c r="BV78" s="230">
        <v>395116</v>
      </c>
      <c r="BW78" s="230">
        <v>249034</v>
      </c>
      <c r="BX78" s="229">
        <v>0.63029999999999997</v>
      </c>
      <c r="BY78" s="230">
        <v>1460</v>
      </c>
      <c r="BZ78" s="230">
        <v>1496</v>
      </c>
      <c r="CA78" s="228">
        <v>-36</v>
      </c>
      <c r="CB78" s="229">
        <v>-2.3800000000000002E-2</v>
      </c>
      <c r="CC78" s="228">
        <v>74</v>
      </c>
      <c r="CD78" s="228">
        <v>238</v>
      </c>
      <c r="CE78" s="228">
        <v>-165</v>
      </c>
      <c r="CF78" s="229">
        <v>-0.69130000000000003</v>
      </c>
      <c r="CG78" s="230">
        <v>1441</v>
      </c>
      <c r="CH78" s="230">
        <v>1244</v>
      </c>
      <c r="CI78" s="228">
        <v>197</v>
      </c>
      <c r="CJ78" s="229">
        <v>0.15859999999999999</v>
      </c>
      <c r="CK78" s="228">
        <v>20</v>
      </c>
      <c r="CL78" s="228">
        <v>14</v>
      </c>
      <c r="CM78" s="228">
        <v>6</v>
      </c>
      <c r="CN78" s="229">
        <v>0.38779999999999998</v>
      </c>
      <c r="CO78" s="228">
        <v>215</v>
      </c>
      <c r="CP78" s="228">
        <v>694</v>
      </c>
      <c r="CQ78" s="228">
        <v>-478</v>
      </c>
      <c r="CR78" s="229">
        <v>-0.6895</v>
      </c>
      <c r="CS78" s="228">
        <v>200</v>
      </c>
      <c r="CT78" s="228">
        <v>364</v>
      </c>
      <c r="CU78" s="228">
        <v>-164</v>
      </c>
      <c r="CV78" s="229">
        <v>-0.4496</v>
      </c>
      <c r="CW78" s="230">
        <v>1876</v>
      </c>
      <c r="CX78" s="230">
        <v>2554</v>
      </c>
      <c r="CY78" s="228">
        <v>-678</v>
      </c>
      <c r="CZ78" s="229">
        <v>-0.26540000000000002</v>
      </c>
      <c r="DA78" s="228">
        <v>36.83</v>
      </c>
      <c r="DB78" s="228">
        <v>36.33</v>
      </c>
      <c r="DC78" s="228">
        <v>0.5</v>
      </c>
      <c r="DD78" s="228">
        <v>0.5</v>
      </c>
      <c r="DE78" s="228">
        <v>46.6</v>
      </c>
      <c r="DF78" s="228">
        <v>46.67</v>
      </c>
      <c r="DG78" s="228">
        <v>-9.77</v>
      </c>
      <c r="DH78" s="228">
        <v>-7.0000000000000007E-2</v>
      </c>
      <c r="DI78" s="228">
        <v>36.090000000000003</v>
      </c>
      <c r="DJ78" s="228">
        <v>35.92</v>
      </c>
      <c r="DK78" s="228">
        <v>0.17</v>
      </c>
      <c r="DL78" s="228">
        <v>0.17</v>
      </c>
      <c r="DM78" s="228">
        <v>37.85</v>
      </c>
      <c r="DN78" s="228">
        <v>36.81</v>
      </c>
      <c r="DO78" s="228">
        <v>1.04</v>
      </c>
      <c r="DP78" s="228">
        <v>1.04</v>
      </c>
      <c r="DQ78" s="228">
        <v>0.93</v>
      </c>
      <c r="DR78" s="228">
        <v>0.52</v>
      </c>
      <c r="DS78" s="228">
        <v>0.41</v>
      </c>
      <c r="DT78" s="229">
        <v>0.78849999999999998</v>
      </c>
      <c r="DU78" s="231">
        <v>2450</v>
      </c>
      <c r="DV78" s="231">
        <v>2200</v>
      </c>
      <c r="DW78" s="228">
        <v>0.53</v>
      </c>
      <c r="DX78" s="228">
        <v>0.52</v>
      </c>
      <c r="DY78" s="228">
        <v>0.01</v>
      </c>
      <c r="DZ78" s="229">
        <v>1.9199999999999998E-2</v>
      </c>
      <c r="EA78" s="229">
        <v>0.95209999999999995</v>
      </c>
      <c r="EB78" s="230">
        <v>5962825</v>
      </c>
      <c r="EC78" s="229">
        <v>5.1000000000000004E-3</v>
      </c>
      <c r="ED78" s="229">
        <v>0.95209999999999995</v>
      </c>
      <c r="EE78" s="228">
        <v>11.16</v>
      </c>
      <c r="EF78" s="229">
        <v>5.3E-3</v>
      </c>
      <c r="EG78" s="230">
        <v>306012</v>
      </c>
      <c r="EH78" s="230">
        <v>171291</v>
      </c>
      <c r="EI78" s="229">
        <v>0.78649999999999998</v>
      </c>
      <c r="EJ78" s="229">
        <v>0.47510000000000002</v>
      </c>
      <c r="EK78" s="228">
        <v>617.75</v>
      </c>
      <c r="EL78" s="228">
        <v>310.16000000000003</v>
      </c>
      <c r="EM78" s="228">
        <v>770.05</v>
      </c>
      <c r="EN78" s="228">
        <v>0</v>
      </c>
      <c r="EO78" s="231">
        <v>1697.96</v>
      </c>
      <c r="EP78" s="231">
        <v>1613.22</v>
      </c>
      <c r="EQ78" s="228">
        <v>84.74</v>
      </c>
      <c r="ER78" s="229">
        <v>5.2499999999999998E-2</v>
      </c>
      <c r="ES78" s="228">
        <v>238.05</v>
      </c>
      <c r="ET78" s="228">
        <v>202.56</v>
      </c>
      <c r="EU78" s="231">
        <v>1460.6</v>
      </c>
      <c r="EV78" s="231">
        <v>32126257</v>
      </c>
      <c r="EW78" s="231">
        <v>1901.21</v>
      </c>
      <c r="EX78" s="231">
        <v>2691.83</v>
      </c>
      <c r="EY78" s="228">
        <v>-790.62</v>
      </c>
      <c r="EZ78" s="229">
        <v>-0.29370000000000002</v>
      </c>
      <c r="FA78" s="229">
        <v>0.27689999999999998</v>
      </c>
      <c r="FB78" s="227" t="s">
        <v>568</v>
      </c>
      <c r="FC78">
        <f t="shared" si="1"/>
        <v>1386</v>
      </c>
    </row>
    <row r="79" spans="1:159" ht="17.25" thickBot="1" x14ac:dyDescent="0.3">
      <c r="A79" s="226">
        <v>45869</v>
      </c>
      <c r="B79" s="227" t="s">
        <v>170</v>
      </c>
      <c r="C79" s="227" t="s">
        <v>492</v>
      </c>
      <c r="D79" s="228">
        <v>1075</v>
      </c>
      <c r="E79" s="228">
        <v>0</v>
      </c>
      <c r="F79" s="228">
        <v>476.8</v>
      </c>
      <c r="G79" s="228">
        <v>494.1</v>
      </c>
      <c r="H79" s="228">
        <v>-17.3</v>
      </c>
      <c r="I79" s="229">
        <v>-3.5000000000000003E-2</v>
      </c>
      <c r="J79" s="228">
        <v>474.9</v>
      </c>
      <c r="K79" s="228">
        <v>492.15</v>
      </c>
      <c r="L79" s="228">
        <v>-17.25</v>
      </c>
      <c r="M79" s="229">
        <v>-3.5099999999999999E-2</v>
      </c>
      <c r="N79" s="228">
        <v>474.35</v>
      </c>
      <c r="O79" s="228">
        <v>491.75</v>
      </c>
      <c r="P79" s="228">
        <v>-17.399999999999999</v>
      </c>
      <c r="Q79" s="229">
        <v>-3.5400000000000001E-2</v>
      </c>
      <c r="R79" s="228">
        <v>476.8</v>
      </c>
      <c r="S79" s="228">
        <v>494.1</v>
      </c>
      <c r="T79" s="228">
        <v>-17.3</v>
      </c>
      <c r="U79" s="229">
        <v>-3.5000000000000003E-2</v>
      </c>
      <c r="V79" s="228">
        <v>0</v>
      </c>
      <c r="W79" s="228">
        <v>0</v>
      </c>
      <c r="X79" s="228">
        <v>0</v>
      </c>
      <c r="Y79" s="229">
        <v>0</v>
      </c>
      <c r="Z79" s="228">
        <v>1.9</v>
      </c>
      <c r="AA79" s="228">
        <v>-0.4</v>
      </c>
      <c r="AB79" s="228">
        <v>2.2999999999999998</v>
      </c>
      <c r="AC79" s="229">
        <v>4.0000000000000001E-3</v>
      </c>
      <c r="AD79" s="228">
        <v>-0.55000000000000004</v>
      </c>
      <c r="AE79" s="228">
        <v>-0.4</v>
      </c>
      <c r="AF79" s="228">
        <v>-0.15</v>
      </c>
      <c r="AG79" s="229">
        <v>-1.1999999999999999E-3</v>
      </c>
      <c r="AH79" s="228">
        <v>1.9</v>
      </c>
      <c r="AI79" s="228">
        <v>1.95</v>
      </c>
      <c r="AJ79" s="228">
        <v>-0.05</v>
      </c>
      <c r="AK79" s="229">
        <v>4.0000000000000001E-3</v>
      </c>
      <c r="AL79" s="228">
        <v>0</v>
      </c>
      <c r="AM79" s="228">
        <v>0</v>
      </c>
      <c r="AN79" s="228">
        <v>0</v>
      </c>
      <c r="AO79" s="229">
        <v>0</v>
      </c>
      <c r="AP79" s="228">
        <v>478.35</v>
      </c>
      <c r="AQ79" s="228">
        <v>480.75</v>
      </c>
      <c r="AR79" s="228">
        <v>0</v>
      </c>
      <c r="AS79" s="228">
        <v>542</v>
      </c>
      <c r="AT79" s="228">
        <v>299</v>
      </c>
      <c r="AU79" s="228">
        <v>243</v>
      </c>
      <c r="AV79" s="229">
        <v>0.81189999999999996</v>
      </c>
      <c r="AW79" s="228">
        <v>259</v>
      </c>
      <c r="AX79" s="228">
        <v>149</v>
      </c>
      <c r="AY79" s="228">
        <v>110</v>
      </c>
      <c r="AZ79" s="229">
        <v>0.73440000000000005</v>
      </c>
      <c r="BA79" s="228">
        <v>282</v>
      </c>
      <c r="BB79" s="228">
        <v>150</v>
      </c>
      <c r="BC79" s="228">
        <v>133</v>
      </c>
      <c r="BD79" s="229">
        <v>0.88929999999999998</v>
      </c>
      <c r="BE79" s="228">
        <v>0</v>
      </c>
      <c r="BF79" s="228">
        <v>0</v>
      </c>
      <c r="BG79" s="228">
        <v>0</v>
      </c>
      <c r="BH79" s="229">
        <v>0</v>
      </c>
      <c r="BI79" s="228">
        <v>160</v>
      </c>
      <c r="BJ79" s="228">
        <v>349</v>
      </c>
      <c r="BK79" s="228">
        <v>-188</v>
      </c>
      <c r="BL79" s="229">
        <v>-0.54</v>
      </c>
      <c r="BM79" s="228">
        <v>121</v>
      </c>
      <c r="BN79" s="228">
        <v>115</v>
      </c>
      <c r="BO79" s="228">
        <v>6</v>
      </c>
      <c r="BP79" s="229">
        <v>5.4300000000000001E-2</v>
      </c>
      <c r="BQ79" s="228">
        <v>823</v>
      </c>
      <c r="BR79" s="228">
        <v>763</v>
      </c>
      <c r="BS79" s="228">
        <v>60</v>
      </c>
      <c r="BT79" s="229">
        <v>7.9299999999999995E-2</v>
      </c>
      <c r="BU79" s="230">
        <v>969314</v>
      </c>
      <c r="BV79" s="230">
        <v>983559</v>
      </c>
      <c r="BW79" s="230">
        <v>-14245</v>
      </c>
      <c r="BX79" s="229">
        <v>-1.4500000000000001E-2</v>
      </c>
      <c r="BY79" s="228">
        <v>570</v>
      </c>
      <c r="BZ79" s="228">
        <v>625</v>
      </c>
      <c r="CA79" s="228">
        <v>-55</v>
      </c>
      <c r="CB79" s="229">
        <v>-8.8099999999999998E-2</v>
      </c>
      <c r="CC79" s="228">
        <v>25</v>
      </c>
      <c r="CD79" s="228">
        <v>225</v>
      </c>
      <c r="CE79" s="228">
        <v>-200</v>
      </c>
      <c r="CF79" s="229">
        <v>-0.88849999999999996</v>
      </c>
      <c r="CG79" s="228">
        <v>570</v>
      </c>
      <c r="CH79" s="228">
        <v>399</v>
      </c>
      <c r="CI79" s="228">
        <v>170</v>
      </c>
      <c r="CJ79" s="229">
        <v>0.42630000000000001</v>
      </c>
      <c r="CK79" s="228">
        <v>0</v>
      </c>
      <c r="CL79" s="228">
        <v>0</v>
      </c>
      <c r="CM79" s="228">
        <v>0</v>
      </c>
      <c r="CN79" s="229">
        <v>0</v>
      </c>
      <c r="CO79" s="228">
        <v>84</v>
      </c>
      <c r="CP79" s="228">
        <v>228</v>
      </c>
      <c r="CQ79" s="228">
        <v>-143</v>
      </c>
      <c r="CR79" s="229">
        <v>-0.63</v>
      </c>
      <c r="CS79" s="228">
        <v>57</v>
      </c>
      <c r="CT79" s="228">
        <v>132</v>
      </c>
      <c r="CU79" s="228">
        <v>-76</v>
      </c>
      <c r="CV79" s="229">
        <v>-0.57140000000000002</v>
      </c>
      <c r="CW79" s="228">
        <v>711</v>
      </c>
      <c r="CX79" s="228">
        <v>985</v>
      </c>
      <c r="CY79" s="228">
        <v>-274</v>
      </c>
      <c r="CZ79" s="229">
        <v>-0.27839999999999998</v>
      </c>
      <c r="DA79" s="228">
        <v>33.83</v>
      </c>
      <c r="DB79" s="228">
        <v>34.56</v>
      </c>
      <c r="DC79" s="228">
        <v>-0.73</v>
      </c>
      <c r="DD79" s="228">
        <v>-0.73</v>
      </c>
      <c r="DE79" s="228">
        <v>45.78</v>
      </c>
      <c r="DF79" s="228">
        <v>45.64</v>
      </c>
      <c r="DG79" s="228">
        <v>-11.95</v>
      </c>
      <c r="DH79" s="228">
        <v>0.14000000000000001</v>
      </c>
      <c r="DI79" s="228">
        <v>34.630000000000003</v>
      </c>
      <c r="DJ79" s="228">
        <v>34.65</v>
      </c>
      <c r="DK79" s="228">
        <v>-0.02</v>
      </c>
      <c r="DL79" s="228">
        <v>-0.02</v>
      </c>
      <c r="DM79" s="228">
        <v>32.85</v>
      </c>
      <c r="DN79" s="228">
        <v>34.25</v>
      </c>
      <c r="DO79" s="228">
        <v>-1.4</v>
      </c>
      <c r="DP79" s="228">
        <v>-1.4</v>
      </c>
      <c r="DQ79" s="228">
        <v>0.67</v>
      </c>
      <c r="DR79" s="228">
        <v>0.57999999999999996</v>
      </c>
      <c r="DS79" s="228">
        <v>0.09</v>
      </c>
      <c r="DT79" s="229">
        <v>0.1552</v>
      </c>
      <c r="DU79" s="228">
        <v>500</v>
      </c>
      <c r="DV79" s="228">
        <v>500</v>
      </c>
      <c r="DW79" s="228">
        <v>0.76</v>
      </c>
      <c r="DX79" s="228">
        <v>0.33</v>
      </c>
      <c r="DY79" s="228">
        <v>0.43</v>
      </c>
      <c r="DZ79" s="229">
        <v>1.3029999999999999</v>
      </c>
      <c r="EA79" s="229">
        <v>0.95779999999999998</v>
      </c>
      <c r="EB79" s="230">
        <v>8375325</v>
      </c>
      <c r="EC79" s="229">
        <v>5.1999999999999998E-3</v>
      </c>
      <c r="ED79" s="229">
        <v>0.95779999999999998</v>
      </c>
      <c r="EE79" s="228">
        <v>2.4</v>
      </c>
      <c r="EF79" s="229">
        <v>5.0000000000000001E-3</v>
      </c>
      <c r="EG79" s="230">
        <v>328630</v>
      </c>
      <c r="EH79" s="230">
        <v>279974</v>
      </c>
      <c r="EI79" s="229">
        <v>0.17380000000000001</v>
      </c>
      <c r="EJ79" s="229">
        <v>0.33900000000000002</v>
      </c>
      <c r="EK79" s="228">
        <v>170.16</v>
      </c>
      <c r="EL79" s="228">
        <v>124.87</v>
      </c>
      <c r="EM79" s="228">
        <v>544.70000000000005</v>
      </c>
      <c r="EN79" s="228">
        <v>0</v>
      </c>
      <c r="EO79" s="228">
        <v>839.73</v>
      </c>
      <c r="EP79" s="228">
        <v>799.88</v>
      </c>
      <c r="EQ79" s="228">
        <v>39.85</v>
      </c>
      <c r="ER79" s="229">
        <v>4.9799999999999997E-2</v>
      </c>
      <c r="ES79" s="228">
        <v>88.82</v>
      </c>
      <c r="ET79" s="228">
        <v>56.94</v>
      </c>
      <c r="EU79" s="228">
        <v>569.55999999999995</v>
      </c>
      <c r="EV79" s="231">
        <v>29668038</v>
      </c>
      <c r="EW79" s="228">
        <v>715.31</v>
      </c>
      <c r="EX79" s="231">
        <v>1023.82</v>
      </c>
      <c r="EY79" s="228">
        <v>-308.51</v>
      </c>
      <c r="EZ79" s="229">
        <v>-0.30130000000000001</v>
      </c>
      <c r="FA79" s="229">
        <v>0.50229999999999997</v>
      </c>
      <c r="FB79" s="227" t="s">
        <v>568</v>
      </c>
      <c r="FC79">
        <f t="shared" si="1"/>
        <v>545</v>
      </c>
    </row>
    <row r="80" spans="1:159" ht="17.25" thickBot="1" x14ac:dyDescent="0.3">
      <c r="A80" s="226">
        <v>45869</v>
      </c>
      <c r="B80" s="227" t="s">
        <v>157</v>
      </c>
      <c r="C80" s="227" t="s">
        <v>219</v>
      </c>
      <c r="D80" s="228">
        <v>250</v>
      </c>
      <c r="E80" s="228">
        <v>0</v>
      </c>
      <c r="F80" s="231">
        <v>2752.8</v>
      </c>
      <c r="G80" s="231">
        <v>2766.3</v>
      </c>
      <c r="H80" s="228">
        <v>-13.5</v>
      </c>
      <c r="I80" s="229">
        <v>-4.8999999999999998E-3</v>
      </c>
      <c r="J80" s="231">
        <v>2746.4</v>
      </c>
      <c r="K80" s="231">
        <v>2758.6</v>
      </c>
      <c r="L80" s="228">
        <v>-12.2</v>
      </c>
      <c r="M80" s="229">
        <v>-4.4000000000000003E-3</v>
      </c>
      <c r="N80" s="231">
        <v>2746.4</v>
      </c>
      <c r="O80" s="231">
        <v>2760.4</v>
      </c>
      <c r="P80" s="228">
        <v>-14</v>
      </c>
      <c r="Q80" s="229">
        <v>-5.1000000000000004E-3</v>
      </c>
      <c r="R80" s="231">
        <v>2752.8</v>
      </c>
      <c r="S80" s="231">
        <v>2766.3</v>
      </c>
      <c r="T80" s="228">
        <v>-13.5</v>
      </c>
      <c r="U80" s="229">
        <v>-4.8999999999999998E-3</v>
      </c>
      <c r="V80" s="231">
        <v>2766.9</v>
      </c>
      <c r="W80" s="231">
        <v>2780.8</v>
      </c>
      <c r="X80" s="228">
        <v>-13.9</v>
      </c>
      <c r="Y80" s="229">
        <v>-5.0000000000000001E-3</v>
      </c>
      <c r="Z80" s="228">
        <v>6.4</v>
      </c>
      <c r="AA80" s="228">
        <v>1.8</v>
      </c>
      <c r="AB80" s="228">
        <v>4.5999999999999996</v>
      </c>
      <c r="AC80" s="229">
        <v>2.3E-3</v>
      </c>
      <c r="AD80" s="228">
        <v>0</v>
      </c>
      <c r="AE80" s="228">
        <v>1.8</v>
      </c>
      <c r="AF80" s="228">
        <v>-1.8</v>
      </c>
      <c r="AG80" s="229">
        <v>0</v>
      </c>
      <c r="AH80" s="228">
        <v>6.4</v>
      </c>
      <c r="AI80" s="228">
        <v>7.7</v>
      </c>
      <c r="AJ80" s="228">
        <v>-1.3</v>
      </c>
      <c r="AK80" s="229">
        <v>2.3E-3</v>
      </c>
      <c r="AL80" s="228">
        <v>20.5</v>
      </c>
      <c r="AM80" s="228">
        <v>22.2</v>
      </c>
      <c r="AN80" s="228">
        <v>-1.7</v>
      </c>
      <c r="AO80" s="229">
        <v>7.4999999999999997E-3</v>
      </c>
      <c r="AP80" s="231">
        <v>2743.66</v>
      </c>
      <c r="AQ80" s="231">
        <v>2751.03</v>
      </c>
      <c r="AR80" s="228">
        <v>0</v>
      </c>
      <c r="AS80" s="230">
        <v>1060</v>
      </c>
      <c r="AT80" s="230">
        <v>1683</v>
      </c>
      <c r="AU80" s="228">
        <v>-624</v>
      </c>
      <c r="AV80" s="229">
        <v>-0.3705</v>
      </c>
      <c r="AW80" s="228">
        <v>375</v>
      </c>
      <c r="AX80" s="228">
        <v>778</v>
      </c>
      <c r="AY80" s="228">
        <v>-403</v>
      </c>
      <c r="AZ80" s="229">
        <v>-0.51770000000000005</v>
      </c>
      <c r="BA80" s="228">
        <v>683</v>
      </c>
      <c r="BB80" s="228">
        <v>903</v>
      </c>
      <c r="BC80" s="228">
        <v>-220</v>
      </c>
      <c r="BD80" s="229">
        <v>-0.24399999999999999</v>
      </c>
      <c r="BE80" s="228">
        <v>2</v>
      </c>
      <c r="BF80" s="228">
        <v>3</v>
      </c>
      <c r="BG80" s="228">
        <v>-1</v>
      </c>
      <c r="BH80" s="229">
        <v>-0.29730000000000001</v>
      </c>
      <c r="BI80" s="228">
        <v>455</v>
      </c>
      <c r="BJ80" s="230">
        <v>1535</v>
      </c>
      <c r="BK80" s="230">
        <v>-1080</v>
      </c>
      <c r="BL80" s="229">
        <v>-0.70350000000000001</v>
      </c>
      <c r="BM80" s="228">
        <v>216</v>
      </c>
      <c r="BN80" s="228">
        <v>341</v>
      </c>
      <c r="BO80" s="228">
        <v>-125</v>
      </c>
      <c r="BP80" s="229">
        <v>-0.36670000000000003</v>
      </c>
      <c r="BQ80" s="230">
        <v>1731</v>
      </c>
      <c r="BR80" s="230">
        <v>3559</v>
      </c>
      <c r="BS80" s="230">
        <v>-1829</v>
      </c>
      <c r="BT80" s="229">
        <v>-0.51380000000000003</v>
      </c>
      <c r="BU80" s="230">
        <v>586693</v>
      </c>
      <c r="BV80" s="230">
        <v>794593</v>
      </c>
      <c r="BW80" s="230">
        <v>-207900</v>
      </c>
      <c r="BX80" s="229">
        <v>-0.2616</v>
      </c>
      <c r="BY80" s="230">
        <v>3560</v>
      </c>
      <c r="BZ80" s="230">
        <v>3577</v>
      </c>
      <c r="CA80" s="228">
        <v>-17</v>
      </c>
      <c r="CB80" s="229">
        <v>-4.7000000000000002E-3</v>
      </c>
      <c r="CC80" s="228">
        <v>117</v>
      </c>
      <c r="CD80" s="228">
        <v>322</v>
      </c>
      <c r="CE80" s="228">
        <v>-205</v>
      </c>
      <c r="CF80" s="229">
        <v>-0.63660000000000005</v>
      </c>
      <c r="CG80" s="230">
        <v>3554</v>
      </c>
      <c r="CH80" s="230">
        <v>3249</v>
      </c>
      <c r="CI80" s="228">
        <v>305</v>
      </c>
      <c r="CJ80" s="229">
        <v>9.3799999999999994E-2</v>
      </c>
      <c r="CK80" s="228">
        <v>6</v>
      </c>
      <c r="CL80" s="228">
        <v>6</v>
      </c>
      <c r="CM80" s="228">
        <v>1</v>
      </c>
      <c r="CN80" s="229">
        <v>0.1125</v>
      </c>
      <c r="CO80" s="228">
        <v>141</v>
      </c>
      <c r="CP80" s="228">
        <v>529</v>
      </c>
      <c r="CQ80" s="228">
        <v>-388</v>
      </c>
      <c r="CR80" s="229">
        <v>-0.73370000000000002</v>
      </c>
      <c r="CS80" s="228">
        <v>109</v>
      </c>
      <c r="CT80" s="228">
        <v>278</v>
      </c>
      <c r="CU80" s="228">
        <v>-169</v>
      </c>
      <c r="CV80" s="229">
        <v>-0.60799999999999998</v>
      </c>
      <c r="CW80" s="230">
        <v>3810</v>
      </c>
      <c r="CX80" s="230">
        <v>4384</v>
      </c>
      <c r="CY80" s="228">
        <v>-574</v>
      </c>
      <c r="CZ80" s="229">
        <v>-0.13089999999999999</v>
      </c>
      <c r="DA80" s="228">
        <v>23.6</v>
      </c>
      <c r="DB80" s="228">
        <v>24.36</v>
      </c>
      <c r="DC80" s="228">
        <v>-0.76</v>
      </c>
      <c r="DD80" s="228">
        <v>-0.76</v>
      </c>
      <c r="DE80" s="228">
        <v>27.04</v>
      </c>
      <c r="DF80" s="228">
        <v>27.1</v>
      </c>
      <c r="DG80" s="228">
        <v>-3.44</v>
      </c>
      <c r="DH80" s="228">
        <v>-0.06</v>
      </c>
      <c r="DI80" s="228">
        <v>23.36</v>
      </c>
      <c r="DJ80" s="228">
        <v>24.25</v>
      </c>
      <c r="DK80" s="228">
        <v>-0.89</v>
      </c>
      <c r="DL80" s="228">
        <v>-0.89</v>
      </c>
      <c r="DM80" s="228">
        <v>24.18</v>
      </c>
      <c r="DN80" s="228">
        <v>24.98</v>
      </c>
      <c r="DO80" s="228">
        <v>-0.8</v>
      </c>
      <c r="DP80" s="228">
        <v>-0.8</v>
      </c>
      <c r="DQ80" s="228">
        <v>0.77</v>
      </c>
      <c r="DR80" s="228">
        <v>0.52</v>
      </c>
      <c r="DS80" s="228">
        <v>0.25</v>
      </c>
      <c r="DT80" s="229">
        <v>0.48080000000000001</v>
      </c>
      <c r="DU80" s="231">
        <v>3160</v>
      </c>
      <c r="DV80" s="231">
        <v>2600</v>
      </c>
      <c r="DW80" s="228">
        <v>0.47</v>
      </c>
      <c r="DX80" s="228">
        <v>0.22</v>
      </c>
      <c r="DY80" s="228">
        <v>0.25</v>
      </c>
      <c r="DZ80" s="229">
        <v>1.1364000000000001</v>
      </c>
      <c r="EA80" s="229">
        <v>0.96819999999999995</v>
      </c>
      <c r="EB80" s="230">
        <v>11824250</v>
      </c>
      <c r="EC80" s="229">
        <v>2.3E-3</v>
      </c>
      <c r="ED80" s="229">
        <v>0.96819999999999995</v>
      </c>
      <c r="EE80" s="228">
        <v>7.37</v>
      </c>
      <c r="EF80" s="229">
        <v>2.7000000000000001E-3</v>
      </c>
      <c r="EG80" s="230">
        <v>306006</v>
      </c>
      <c r="EH80" s="230">
        <v>432299</v>
      </c>
      <c r="EI80" s="229">
        <v>-0.29210000000000003</v>
      </c>
      <c r="EJ80" s="229">
        <v>0.52159999999999995</v>
      </c>
      <c r="EK80" s="228">
        <v>473.21</v>
      </c>
      <c r="EL80" s="228">
        <v>214.96</v>
      </c>
      <c r="EM80" s="231">
        <v>1057.8800000000001</v>
      </c>
      <c r="EN80" s="228">
        <v>0</v>
      </c>
      <c r="EO80" s="231">
        <v>1746.05</v>
      </c>
      <c r="EP80" s="231">
        <v>3630.47</v>
      </c>
      <c r="EQ80" s="231">
        <v>-1884.42</v>
      </c>
      <c r="ER80" s="229">
        <v>-0.51910000000000001</v>
      </c>
      <c r="ES80" s="228">
        <v>148.94</v>
      </c>
      <c r="ET80" s="228">
        <v>106.95</v>
      </c>
      <c r="EU80" s="231">
        <v>3560.5</v>
      </c>
      <c r="EV80" s="231">
        <v>77020742</v>
      </c>
      <c r="EW80" s="231">
        <v>3816.39</v>
      </c>
      <c r="EX80" s="231">
        <v>4432.22</v>
      </c>
      <c r="EY80" s="228">
        <v>-615.83000000000004</v>
      </c>
      <c r="EZ80" s="229">
        <v>-0.1389</v>
      </c>
      <c r="FA80" s="229">
        <v>0.1797</v>
      </c>
      <c r="FB80" s="227" t="s">
        <v>568</v>
      </c>
      <c r="FC80">
        <f t="shared" si="1"/>
        <v>3443</v>
      </c>
    </row>
    <row r="81" spans="1:159" ht="17.25" thickBot="1" x14ac:dyDescent="0.3">
      <c r="A81" s="226">
        <v>45869</v>
      </c>
      <c r="B81" s="227" t="s">
        <v>184</v>
      </c>
      <c r="C81" s="227" t="s">
        <v>513</v>
      </c>
      <c r="D81" s="228">
        <v>150</v>
      </c>
      <c r="E81" s="228">
        <v>0</v>
      </c>
      <c r="F81" s="231">
        <v>4536.5</v>
      </c>
      <c r="G81" s="231">
        <v>4548.3</v>
      </c>
      <c r="H81" s="228">
        <v>-11.8</v>
      </c>
      <c r="I81" s="229">
        <v>-2.5999999999999999E-3</v>
      </c>
      <c r="J81" s="231">
        <v>4533.8999999999996</v>
      </c>
      <c r="K81" s="231">
        <v>4545</v>
      </c>
      <c r="L81" s="228">
        <v>-11.1</v>
      </c>
      <c r="M81" s="229">
        <v>-2.3999999999999998E-3</v>
      </c>
      <c r="N81" s="231">
        <v>4523.5</v>
      </c>
      <c r="O81" s="231">
        <v>4540.7</v>
      </c>
      <c r="P81" s="228">
        <v>-17.2</v>
      </c>
      <c r="Q81" s="229">
        <v>-3.8E-3</v>
      </c>
      <c r="R81" s="231">
        <v>4536.5</v>
      </c>
      <c r="S81" s="231">
        <v>4548.3</v>
      </c>
      <c r="T81" s="228">
        <v>-11.8</v>
      </c>
      <c r="U81" s="229">
        <v>-2.5999999999999999E-3</v>
      </c>
      <c r="V81" s="231">
        <v>4566.3999999999996</v>
      </c>
      <c r="W81" s="231">
        <v>4576.1000000000004</v>
      </c>
      <c r="X81" s="228">
        <v>-9.6999999999999993</v>
      </c>
      <c r="Y81" s="229">
        <v>-2.0999999999999999E-3</v>
      </c>
      <c r="Z81" s="228">
        <v>2.6</v>
      </c>
      <c r="AA81" s="228">
        <v>-4.3</v>
      </c>
      <c r="AB81" s="228">
        <v>6.9</v>
      </c>
      <c r="AC81" s="229">
        <v>5.9999999999999995E-4</v>
      </c>
      <c r="AD81" s="228">
        <v>-10.4</v>
      </c>
      <c r="AE81" s="228">
        <v>-4.3</v>
      </c>
      <c r="AF81" s="228">
        <v>-6.1</v>
      </c>
      <c r="AG81" s="229">
        <v>-2.3E-3</v>
      </c>
      <c r="AH81" s="228">
        <v>2.6</v>
      </c>
      <c r="AI81" s="228">
        <v>3.3</v>
      </c>
      <c r="AJ81" s="228">
        <v>-0.7</v>
      </c>
      <c r="AK81" s="229">
        <v>5.9999999999999995E-4</v>
      </c>
      <c r="AL81" s="228">
        <v>32.5</v>
      </c>
      <c r="AM81" s="228">
        <v>31.1</v>
      </c>
      <c r="AN81" s="228">
        <v>1.4</v>
      </c>
      <c r="AO81" s="229">
        <v>7.1999999999999998E-3</v>
      </c>
      <c r="AP81" s="231">
        <v>4539.2299999999996</v>
      </c>
      <c r="AQ81" s="231">
        <v>4548.3100000000004</v>
      </c>
      <c r="AR81" s="228">
        <v>0</v>
      </c>
      <c r="AS81" s="230">
        <v>2951</v>
      </c>
      <c r="AT81" s="230">
        <v>1880</v>
      </c>
      <c r="AU81" s="230">
        <v>1071</v>
      </c>
      <c r="AV81" s="229">
        <v>0.56940000000000002</v>
      </c>
      <c r="AW81" s="230">
        <v>1312</v>
      </c>
      <c r="AX81" s="228">
        <v>936</v>
      </c>
      <c r="AY81" s="228">
        <v>376</v>
      </c>
      <c r="AZ81" s="229">
        <v>0.40129999999999999</v>
      </c>
      <c r="BA81" s="230">
        <v>1570</v>
      </c>
      <c r="BB81" s="228">
        <v>913</v>
      </c>
      <c r="BC81" s="228">
        <v>657</v>
      </c>
      <c r="BD81" s="229">
        <v>0.72050000000000003</v>
      </c>
      <c r="BE81" s="228">
        <v>69</v>
      </c>
      <c r="BF81" s="228">
        <v>31</v>
      </c>
      <c r="BG81" s="228">
        <v>37</v>
      </c>
      <c r="BH81" s="229">
        <v>1.1909000000000001</v>
      </c>
      <c r="BI81" s="230">
        <v>4689</v>
      </c>
      <c r="BJ81" s="230">
        <v>4761</v>
      </c>
      <c r="BK81" s="228">
        <v>-73</v>
      </c>
      <c r="BL81" s="229">
        <v>-1.5299999999999999E-2</v>
      </c>
      <c r="BM81" s="230">
        <v>2067</v>
      </c>
      <c r="BN81" s="230">
        <v>1473</v>
      </c>
      <c r="BO81" s="228">
        <v>594</v>
      </c>
      <c r="BP81" s="229">
        <v>0.40289999999999998</v>
      </c>
      <c r="BQ81" s="230">
        <v>9706</v>
      </c>
      <c r="BR81" s="230">
        <v>8115</v>
      </c>
      <c r="BS81" s="230">
        <v>1591</v>
      </c>
      <c r="BT81" s="229">
        <v>0.1961</v>
      </c>
      <c r="BU81" s="230">
        <v>863025</v>
      </c>
      <c r="BV81" s="230">
        <v>772699</v>
      </c>
      <c r="BW81" s="230">
        <v>90326</v>
      </c>
      <c r="BX81" s="229">
        <v>0.1169</v>
      </c>
      <c r="BY81" s="230">
        <v>4198</v>
      </c>
      <c r="BZ81" s="230">
        <v>4517</v>
      </c>
      <c r="CA81" s="228">
        <v>-318</v>
      </c>
      <c r="CB81" s="229">
        <v>-7.0499999999999993E-2</v>
      </c>
      <c r="CC81" s="228">
        <v>390</v>
      </c>
      <c r="CD81" s="230">
        <v>1077</v>
      </c>
      <c r="CE81" s="228">
        <v>-687</v>
      </c>
      <c r="CF81" s="229">
        <v>-0.63780000000000003</v>
      </c>
      <c r="CG81" s="230">
        <v>4041</v>
      </c>
      <c r="CH81" s="230">
        <v>3320</v>
      </c>
      <c r="CI81" s="228">
        <v>721</v>
      </c>
      <c r="CJ81" s="229">
        <v>0.2172</v>
      </c>
      <c r="CK81" s="228">
        <v>157</v>
      </c>
      <c r="CL81" s="228">
        <v>120</v>
      </c>
      <c r="CM81" s="228">
        <v>38</v>
      </c>
      <c r="CN81" s="229">
        <v>0.31509999999999999</v>
      </c>
      <c r="CO81" s="230">
        <v>1036</v>
      </c>
      <c r="CP81" s="230">
        <v>2889</v>
      </c>
      <c r="CQ81" s="230">
        <v>-1853</v>
      </c>
      <c r="CR81" s="229">
        <v>-0.64129999999999998</v>
      </c>
      <c r="CS81" s="228">
        <v>893</v>
      </c>
      <c r="CT81" s="230">
        <v>1643</v>
      </c>
      <c r="CU81" s="228">
        <v>-750</v>
      </c>
      <c r="CV81" s="229">
        <v>-0.45650000000000002</v>
      </c>
      <c r="CW81" s="230">
        <v>6127</v>
      </c>
      <c r="CX81" s="230">
        <v>9048</v>
      </c>
      <c r="CY81" s="230">
        <v>-2921</v>
      </c>
      <c r="CZ81" s="229">
        <v>-0.32279999999999998</v>
      </c>
      <c r="DA81" s="228">
        <v>30.22</v>
      </c>
      <c r="DB81" s="228">
        <v>30.41</v>
      </c>
      <c r="DC81" s="228">
        <v>-0.19</v>
      </c>
      <c r="DD81" s="228">
        <v>-0.19</v>
      </c>
      <c r="DE81" s="228">
        <v>43.43</v>
      </c>
      <c r="DF81" s="228">
        <v>43.54</v>
      </c>
      <c r="DG81" s="228">
        <v>-13.21</v>
      </c>
      <c r="DH81" s="228">
        <v>-0.11</v>
      </c>
      <c r="DI81" s="228">
        <v>30.15</v>
      </c>
      <c r="DJ81" s="228">
        <v>30.68</v>
      </c>
      <c r="DK81" s="228">
        <v>-0.53</v>
      </c>
      <c r="DL81" s="228">
        <v>-0.53</v>
      </c>
      <c r="DM81" s="228">
        <v>30.35</v>
      </c>
      <c r="DN81" s="228">
        <v>29.86</v>
      </c>
      <c r="DO81" s="228">
        <v>0.49</v>
      </c>
      <c r="DP81" s="228">
        <v>0.49</v>
      </c>
      <c r="DQ81" s="228">
        <v>0.86</v>
      </c>
      <c r="DR81" s="228">
        <v>0.56999999999999995</v>
      </c>
      <c r="DS81" s="228">
        <v>0.28999999999999998</v>
      </c>
      <c r="DT81" s="229">
        <v>0.50880000000000003</v>
      </c>
      <c r="DU81" s="231">
        <v>5000</v>
      </c>
      <c r="DV81" s="231">
        <v>4500</v>
      </c>
      <c r="DW81" s="228">
        <v>0.44</v>
      </c>
      <c r="DX81" s="228">
        <v>0.31</v>
      </c>
      <c r="DY81" s="228">
        <v>0.13</v>
      </c>
      <c r="DZ81" s="229">
        <v>0.4194</v>
      </c>
      <c r="EA81" s="229">
        <v>0.91500000000000004</v>
      </c>
      <c r="EB81" s="230">
        <v>7582050</v>
      </c>
      <c r="EC81" s="229">
        <v>2.8999999999999998E-3</v>
      </c>
      <c r="ED81" s="229">
        <v>0.91500000000000004</v>
      </c>
      <c r="EE81" s="228">
        <v>9.08</v>
      </c>
      <c r="EF81" s="229">
        <v>2E-3</v>
      </c>
      <c r="EG81" s="230">
        <v>247017</v>
      </c>
      <c r="EH81" s="230">
        <v>310041</v>
      </c>
      <c r="EI81" s="229">
        <v>-0.20330000000000001</v>
      </c>
      <c r="EJ81" s="229">
        <v>0.28620000000000001</v>
      </c>
      <c r="EK81" s="231">
        <v>4958.21</v>
      </c>
      <c r="EL81" s="231">
        <v>2103.27</v>
      </c>
      <c r="EM81" s="231">
        <v>2956.26</v>
      </c>
      <c r="EN81" s="228">
        <v>0</v>
      </c>
      <c r="EO81" s="231">
        <v>10017.74</v>
      </c>
      <c r="EP81" s="231">
        <v>8419.31</v>
      </c>
      <c r="EQ81" s="231">
        <v>1598.43</v>
      </c>
      <c r="ER81" s="229">
        <v>0.18990000000000001</v>
      </c>
      <c r="ES81" s="231">
        <v>1101.79</v>
      </c>
      <c r="ET81" s="228">
        <v>905.02</v>
      </c>
      <c r="EU81" s="231">
        <v>4199.43</v>
      </c>
      <c r="EV81" s="231">
        <v>37934515</v>
      </c>
      <c r="EW81" s="231">
        <v>6206.23</v>
      </c>
      <c r="EX81" s="231">
        <v>9390.7999999999993</v>
      </c>
      <c r="EY81" s="231">
        <v>-3184.57</v>
      </c>
      <c r="EZ81" s="229">
        <v>-0.33910000000000001</v>
      </c>
      <c r="FA81" s="229">
        <v>0.35610000000000003</v>
      </c>
      <c r="FB81" s="227" t="s">
        <v>568</v>
      </c>
      <c r="FC81">
        <f t="shared" si="1"/>
        <v>3808</v>
      </c>
    </row>
    <row r="82" spans="1:159" ht="17.25" thickBot="1" x14ac:dyDescent="0.3">
      <c r="A82" s="226">
        <v>45869</v>
      </c>
      <c r="B82" s="227" t="s">
        <v>184</v>
      </c>
      <c r="C82" s="227" t="s">
        <v>220</v>
      </c>
      <c r="D82" s="228">
        <v>500</v>
      </c>
      <c r="E82" s="228">
        <v>0</v>
      </c>
      <c r="F82" s="231">
        <v>1509.4</v>
      </c>
      <c r="G82" s="231">
        <v>1527.8</v>
      </c>
      <c r="H82" s="228">
        <v>-18.399999999999999</v>
      </c>
      <c r="I82" s="229">
        <v>-1.2E-2</v>
      </c>
      <c r="J82" s="231">
        <v>1500.6</v>
      </c>
      <c r="K82" s="231">
        <v>1528</v>
      </c>
      <c r="L82" s="228">
        <v>-27.4</v>
      </c>
      <c r="M82" s="229">
        <v>-1.7899999999999999E-2</v>
      </c>
      <c r="N82" s="231">
        <v>1504.1</v>
      </c>
      <c r="O82" s="231">
        <v>1528.9</v>
      </c>
      <c r="P82" s="228">
        <v>-24.8</v>
      </c>
      <c r="Q82" s="229">
        <v>-1.6199999999999999E-2</v>
      </c>
      <c r="R82" s="231">
        <v>1509.4</v>
      </c>
      <c r="S82" s="231">
        <v>1527.8</v>
      </c>
      <c r="T82" s="228">
        <v>-18.399999999999999</v>
      </c>
      <c r="U82" s="229">
        <v>-1.2E-2</v>
      </c>
      <c r="V82" s="231">
        <v>1512.6</v>
      </c>
      <c r="W82" s="231">
        <v>1531.2</v>
      </c>
      <c r="X82" s="228">
        <v>-18.600000000000001</v>
      </c>
      <c r="Y82" s="229">
        <v>-1.21E-2</v>
      </c>
      <c r="Z82" s="228">
        <v>8.8000000000000007</v>
      </c>
      <c r="AA82" s="228">
        <v>0.9</v>
      </c>
      <c r="AB82" s="228">
        <v>7.9</v>
      </c>
      <c r="AC82" s="229">
        <v>5.8999999999999999E-3</v>
      </c>
      <c r="AD82" s="228">
        <v>3.5</v>
      </c>
      <c r="AE82" s="228">
        <v>0.9</v>
      </c>
      <c r="AF82" s="228">
        <v>2.6</v>
      </c>
      <c r="AG82" s="229">
        <v>2.3E-3</v>
      </c>
      <c r="AH82" s="228">
        <v>8.8000000000000007</v>
      </c>
      <c r="AI82" s="228">
        <v>-0.2</v>
      </c>
      <c r="AJ82" s="228">
        <v>9</v>
      </c>
      <c r="AK82" s="229">
        <v>5.8999999999999999E-3</v>
      </c>
      <c r="AL82" s="228">
        <v>12</v>
      </c>
      <c r="AM82" s="228">
        <v>3.2</v>
      </c>
      <c r="AN82" s="228">
        <v>8.8000000000000007</v>
      </c>
      <c r="AO82" s="229">
        <v>8.0000000000000002E-3</v>
      </c>
      <c r="AP82" s="231">
        <v>1511.91</v>
      </c>
      <c r="AQ82" s="231">
        <v>1517.67</v>
      </c>
      <c r="AR82" s="228">
        <v>0</v>
      </c>
      <c r="AS82" s="228">
        <v>539</v>
      </c>
      <c r="AT82" s="228">
        <v>747</v>
      </c>
      <c r="AU82" s="228">
        <v>-209</v>
      </c>
      <c r="AV82" s="229">
        <v>-0.2792</v>
      </c>
      <c r="AW82" s="228">
        <v>203</v>
      </c>
      <c r="AX82" s="228">
        <v>353</v>
      </c>
      <c r="AY82" s="228">
        <v>-150</v>
      </c>
      <c r="AZ82" s="229">
        <v>-0.42570000000000002</v>
      </c>
      <c r="BA82" s="228">
        <v>329</v>
      </c>
      <c r="BB82" s="228">
        <v>390</v>
      </c>
      <c r="BC82" s="228">
        <v>-61</v>
      </c>
      <c r="BD82" s="229">
        <v>-0.15559999999999999</v>
      </c>
      <c r="BE82" s="228">
        <v>7</v>
      </c>
      <c r="BF82" s="228">
        <v>4</v>
      </c>
      <c r="BG82" s="228">
        <v>2</v>
      </c>
      <c r="BH82" s="229">
        <v>0.57140000000000002</v>
      </c>
      <c r="BI82" s="228">
        <v>383</v>
      </c>
      <c r="BJ82" s="228">
        <v>358</v>
      </c>
      <c r="BK82" s="228">
        <v>25</v>
      </c>
      <c r="BL82" s="229">
        <v>6.9800000000000001E-2</v>
      </c>
      <c r="BM82" s="228">
        <v>217</v>
      </c>
      <c r="BN82" s="228">
        <v>198</v>
      </c>
      <c r="BO82" s="228">
        <v>19</v>
      </c>
      <c r="BP82" s="229">
        <v>9.4E-2</v>
      </c>
      <c r="BQ82" s="230">
        <v>1139</v>
      </c>
      <c r="BR82" s="230">
        <v>1304</v>
      </c>
      <c r="BS82" s="228">
        <v>-165</v>
      </c>
      <c r="BT82" s="229">
        <v>-0.12659999999999999</v>
      </c>
      <c r="BU82" s="230">
        <v>720304</v>
      </c>
      <c r="BV82" s="230">
        <v>735414</v>
      </c>
      <c r="BW82" s="230">
        <v>-15110</v>
      </c>
      <c r="BX82" s="229">
        <v>-2.0500000000000001E-2</v>
      </c>
      <c r="BY82" s="230">
        <v>1256</v>
      </c>
      <c r="BZ82" s="230">
        <v>1346</v>
      </c>
      <c r="CA82" s="228">
        <v>-90</v>
      </c>
      <c r="CB82" s="229">
        <v>-6.6900000000000001E-2</v>
      </c>
      <c r="CC82" s="228">
        <v>81</v>
      </c>
      <c r="CD82" s="228">
        <v>132</v>
      </c>
      <c r="CE82" s="228">
        <v>-51</v>
      </c>
      <c r="CF82" s="229">
        <v>-0.3876</v>
      </c>
      <c r="CG82" s="230">
        <v>1240</v>
      </c>
      <c r="CH82" s="230">
        <v>1202</v>
      </c>
      <c r="CI82" s="228">
        <v>38</v>
      </c>
      <c r="CJ82" s="229">
        <v>3.1800000000000002E-2</v>
      </c>
      <c r="CK82" s="228">
        <v>16</v>
      </c>
      <c r="CL82" s="228">
        <v>12</v>
      </c>
      <c r="CM82" s="228">
        <v>4</v>
      </c>
      <c r="CN82" s="229">
        <v>0.32690000000000002</v>
      </c>
      <c r="CO82" s="228">
        <v>172</v>
      </c>
      <c r="CP82" s="228">
        <v>417</v>
      </c>
      <c r="CQ82" s="228">
        <v>-245</v>
      </c>
      <c r="CR82" s="229">
        <v>-0.58830000000000005</v>
      </c>
      <c r="CS82" s="228">
        <v>143</v>
      </c>
      <c r="CT82" s="228">
        <v>361</v>
      </c>
      <c r="CU82" s="228">
        <v>-217</v>
      </c>
      <c r="CV82" s="229">
        <v>-0.60270000000000001</v>
      </c>
      <c r="CW82" s="230">
        <v>1571</v>
      </c>
      <c r="CX82" s="230">
        <v>2124</v>
      </c>
      <c r="CY82" s="228">
        <v>-553</v>
      </c>
      <c r="CZ82" s="229">
        <v>-0.26029999999999998</v>
      </c>
      <c r="DA82" s="228">
        <v>23.04</v>
      </c>
      <c r="DB82" s="228">
        <v>22.86</v>
      </c>
      <c r="DC82" s="228">
        <v>0.18</v>
      </c>
      <c r="DD82" s="228">
        <v>0.18</v>
      </c>
      <c r="DE82" s="228">
        <v>29.89</v>
      </c>
      <c r="DF82" s="228">
        <v>29.92</v>
      </c>
      <c r="DG82" s="228">
        <v>-6.85</v>
      </c>
      <c r="DH82" s="228">
        <v>-0.03</v>
      </c>
      <c r="DI82" s="228">
        <v>22.92</v>
      </c>
      <c r="DJ82" s="228">
        <v>22.74</v>
      </c>
      <c r="DK82" s="228">
        <v>0.18</v>
      </c>
      <c r="DL82" s="228">
        <v>0.18</v>
      </c>
      <c r="DM82" s="228">
        <v>23.28</v>
      </c>
      <c r="DN82" s="228">
        <v>23.12</v>
      </c>
      <c r="DO82" s="228">
        <v>0.16</v>
      </c>
      <c r="DP82" s="228">
        <v>0.16</v>
      </c>
      <c r="DQ82" s="228">
        <v>0.83</v>
      </c>
      <c r="DR82" s="228">
        <v>0.86</v>
      </c>
      <c r="DS82" s="228">
        <v>-0.03</v>
      </c>
      <c r="DT82" s="229">
        <v>-3.49E-2</v>
      </c>
      <c r="DU82" s="231">
        <v>1600</v>
      </c>
      <c r="DV82" s="231">
        <v>1500</v>
      </c>
      <c r="DW82" s="228">
        <v>0.56999999999999995</v>
      </c>
      <c r="DX82" s="228">
        <v>0.55000000000000004</v>
      </c>
      <c r="DY82" s="228">
        <v>0.02</v>
      </c>
      <c r="DZ82" s="229">
        <v>3.6400000000000002E-2</v>
      </c>
      <c r="EA82" s="229">
        <v>0.93940000000000001</v>
      </c>
      <c r="EB82" s="230">
        <v>8041500</v>
      </c>
      <c r="EC82" s="229">
        <v>3.5000000000000001E-3</v>
      </c>
      <c r="ED82" s="229">
        <v>0.93940000000000001</v>
      </c>
      <c r="EE82" s="228">
        <v>5.76</v>
      </c>
      <c r="EF82" s="229">
        <v>3.8E-3</v>
      </c>
      <c r="EG82" s="230">
        <v>346423</v>
      </c>
      <c r="EH82" s="230">
        <v>414054</v>
      </c>
      <c r="EI82" s="229">
        <v>-0.1633</v>
      </c>
      <c r="EJ82" s="229">
        <v>0.48089999999999999</v>
      </c>
      <c r="EK82" s="228">
        <v>400.27</v>
      </c>
      <c r="EL82" s="228">
        <v>218.96</v>
      </c>
      <c r="EM82" s="228">
        <v>540.97</v>
      </c>
      <c r="EN82" s="228">
        <v>0</v>
      </c>
      <c r="EO82" s="231">
        <v>1160.2</v>
      </c>
      <c r="EP82" s="231">
        <v>1325.87</v>
      </c>
      <c r="EQ82" s="228">
        <v>-165.67</v>
      </c>
      <c r="ER82" s="229">
        <v>-0.125</v>
      </c>
      <c r="ES82" s="228">
        <v>181.84</v>
      </c>
      <c r="ET82" s="228">
        <v>141.51</v>
      </c>
      <c r="EU82" s="231">
        <v>1255.93</v>
      </c>
      <c r="EV82" s="231">
        <v>50833981</v>
      </c>
      <c r="EW82" s="231">
        <v>1579.29</v>
      </c>
      <c r="EX82" s="231">
        <v>2161.62</v>
      </c>
      <c r="EY82" s="228">
        <v>-582.33000000000004</v>
      </c>
      <c r="EZ82" s="229">
        <v>-0.26939999999999997</v>
      </c>
      <c r="FA82" s="229">
        <v>0.20469999999999999</v>
      </c>
      <c r="FB82" s="227" t="s">
        <v>568</v>
      </c>
      <c r="FC82">
        <f t="shared" si="1"/>
        <v>1175</v>
      </c>
    </row>
    <row r="83" spans="1:159" ht="17.25" thickBot="1" x14ac:dyDescent="0.3">
      <c r="A83" s="226">
        <v>45869</v>
      </c>
      <c r="B83" s="227" t="s">
        <v>221</v>
      </c>
      <c r="C83" s="227" t="s">
        <v>222</v>
      </c>
      <c r="D83" s="228">
        <v>350</v>
      </c>
      <c r="E83" s="228">
        <v>0</v>
      </c>
      <c r="F83" s="231">
        <v>1476.2</v>
      </c>
      <c r="G83" s="231">
        <v>1485</v>
      </c>
      <c r="H83" s="228">
        <v>-8.8000000000000007</v>
      </c>
      <c r="I83" s="229">
        <v>-5.8999999999999999E-3</v>
      </c>
      <c r="J83" s="231">
        <v>1467.9</v>
      </c>
      <c r="K83" s="231">
        <v>1476.5</v>
      </c>
      <c r="L83" s="228">
        <v>-8.6</v>
      </c>
      <c r="M83" s="229">
        <v>-5.7999999999999996E-3</v>
      </c>
      <c r="N83" s="231">
        <v>1468.1</v>
      </c>
      <c r="O83" s="231">
        <v>1477.4</v>
      </c>
      <c r="P83" s="228">
        <v>-9.3000000000000007</v>
      </c>
      <c r="Q83" s="229">
        <v>-6.3E-3</v>
      </c>
      <c r="R83" s="231">
        <v>1476.2</v>
      </c>
      <c r="S83" s="231">
        <v>1485</v>
      </c>
      <c r="T83" s="228">
        <v>-8.8000000000000007</v>
      </c>
      <c r="U83" s="229">
        <v>-5.8999999999999999E-3</v>
      </c>
      <c r="V83" s="231">
        <v>1484.6</v>
      </c>
      <c r="W83" s="231">
        <v>1495</v>
      </c>
      <c r="X83" s="228">
        <v>-10.4</v>
      </c>
      <c r="Y83" s="229">
        <v>-7.0000000000000001E-3</v>
      </c>
      <c r="Z83" s="228">
        <v>8.3000000000000007</v>
      </c>
      <c r="AA83" s="228">
        <v>0.9</v>
      </c>
      <c r="AB83" s="228">
        <v>7.4</v>
      </c>
      <c r="AC83" s="229">
        <v>5.7000000000000002E-3</v>
      </c>
      <c r="AD83" s="228">
        <v>0.2</v>
      </c>
      <c r="AE83" s="228">
        <v>0.9</v>
      </c>
      <c r="AF83" s="228">
        <v>-0.7</v>
      </c>
      <c r="AG83" s="229">
        <v>1E-4</v>
      </c>
      <c r="AH83" s="228">
        <v>8.3000000000000007</v>
      </c>
      <c r="AI83" s="228">
        <v>8.5</v>
      </c>
      <c r="AJ83" s="228">
        <v>-0.2</v>
      </c>
      <c r="AK83" s="229">
        <v>5.7000000000000002E-3</v>
      </c>
      <c r="AL83" s="228">
        <v>16.7</v>
      </c>
      <c r="AM83" s="228">
        <v>18.5</v>
      </c>
      <c r="AN83" s="228">
        <v>-1.8</v>
      </c>
      <c r="AO83" s="229">
        <v>1.14E-2</v>
      </c>
      <c r="AP83" s="231">
        <v>1471.77</v>
      </c>
      <c r="AQ83" s="231">
        <v>1478.99</v>
      </c>
      <c r="AR83" s="228">
        <v>0</v>
      </c>
      <c r="AS83" s="230">
        <v>1024</v>
      </c>
      <c r="AT83" s="230">
        <v>1311</v>
      </c>
      <c r="AU83" s="228">
        <v>-287</v>
      </c>
      <c r="AV83" s="229">
        <v>-0.21890000000000001</v>
      </c>
      <c r="AW83" s="228">
        <v>407</v>
      </c>
      <c r="AX83" s="228">
        <v>636</v>
      </c>
      <c r="AY83" s="228">
        <v>-229</v>
      </c>
      <c r="AZ83" s="229">
        <v>-0.36059999999999998</v>
      </c>
      <c r="BA83" s="228">
        <v>585</v>
      </c>
      <c r="BB83" s="228">
        <v>665</v>
      </c>
      <c r="BC83" s="228">
        <v>-80</v>
      </c>
      <c r="BD83" s="229">
        <v>-0.12039999999999999</v>
      </c>
      <c r="BE83" s="228">
        <v>32</v>
      </c>
      <c r="BF83" s="228">
        <v>10</v>
      </c>
      <c r="BG83" s="228">
        <v>22</v>
      </c>
      <c r="BH83" s="229">
        <v>2.1878000000000002</v>
      </c>
      <c r="BI83" s="230">
        <v>1011</v>
      </c>
      <c r="BJ83" s="228">
        <v>875</v>
      </c>
      <c r="BK83" s="228">
        <v>136</v>
      </c>
      <c r="BL83" s="229">
        <v>0.15529999999999999</v>
      </c>
      <c r="BM83" s="228">
        <v>623</v>
      </c>
      <c r="BN83" s="228">
        <v>405</v>
      </c>
      <c r="BO83" s="228">
        <v>218</v>
      </c>
      <c r="BP83" s="229">
        <v>0.53749999999999998</v>
      </c>
      <c r="BQ83" s="230">
        <v>2658</v>
      </c>
      <c r="BR83" s="230">
        <v>2591</v>
      </c>
      <c r="BS83" s="228">
        <v>67</v>
      </c>
      <c r="BT83" s="229">
        <v>2.58E-2</v>
      </c>
      <c r="BU83" s="230">
        <v>2389698</v>
      </c>
      <c r="BV83" s="230">
        <v>1682813</v>
      </c>
      <c r="BW83" s="230">
        <v>706885</v>
      </c>
      <c r="BX83" s="229">
        <v>0.42009999999999997</v>
      </c>
      <c r="BY83" s="230">
        <v>2904</v>
      </c>
      <c r="BZ83" s="230">
        <v>3084</v>
      </c>
      <c r="CA83" s="228">
        <v>-180</v>
      </c>
      <c r="CB83" s="229">
        <v>-5.8400000000000001E-2</v>
      </c>
      <c r="CC83" s="228">
        <v>203</v>
      </c>
      <c r="CD83" s="228">
        <v>454</v>
      </c>
      <c r="CE83" s="228">
        <v>-252</v>
      </c>
      <c r="CF83" s="229">
        <v>-0.55430000000000001</v>
      </c>
      <c r="CG83" s="230">
        <v>2783</v>
      </c>
      <c r="CH83" s="230">
        <v>2516</v>
      </c>
      <c r="CI83" s="228">
        <v>266</v>
      </c>
      <c r="CJ83" s="229">
        <v>0.1057</v>
      </c>
      <c r="CK83" s="228">
        <v>122</v>
      </c>
      <c r="CL83" s="228">
        <v>113</v>
      </c>
      <c r="CM83" s="228">
        <v>8</v>
      </c>
      <c r="CN83" s="229">
        <v>7.4399999999999994E-2</v>
      </c>
      <c r="CO83" s="228">
        <v>584</v>
      </c>
      <c r="CP83" s="230">
        <v>1962</v>
      </c>
      <c r="CQ83" s="230">
        <v>-1378</v>
      </c>
      <c r="CR83" s="229">
        <v>-0.70240000000000002</v>
      </c>
      <c r="CS83" s="228">
        <v>391</v>
      </c>
      <c r="CT83" s="228">
        <v>809</v>
      </c>
      <c r="CU83" s="228">
        <v>-419</v>
      </c>
      <c r="CV83" s="229">
        <v>-0.51739999999999997</v>
      </c>
      <c r="CW83" s="230">
        <v>3878</v>
      </c>
      <c r="CX83" s="230">
        <v>5855</v>
      </c>
      <c r="CY83" s="230">
        <v>-1977</v>
      </c>
      <c r="CZ83" s="229">
        <v>-0.33760000000000001</v>
      </c>
      <c r="DA83" s="228">
        <v>21.98</v>
      </c>
      <c r="DB83" s="228">
        <v>22.33</v>
      </c>
      <c r="DC83" s="228">
        <v>-0.35</v>
      </c>
      <c r="DD83" s="228">
        <v>-0.35</v>
      </c>
      <c r="DE83" s="228">
        <v>30.46</v>
      </c>
      <c r="DF83" s="228">
        <v>30.52</v>
      </c>
      <c r="DG83" s="228">
        <v>-8.48</v>
      </c>
      <c r="DH83" s="228">
        <v>-0.06</v>
      </c>
      <c r="DI83" s="228">
        <v>22.32</v>
      </c>
      <c r="DJ83" s="228">
        <v>22.5</v>
      </c>
      <c r="DK83" s="228">
        <v>-0.18</v>
      </c>
      <c r="DL83" s="228">
        <v>-0.18</v>
      </c>
      <c r="DM83" s="228">
        <v>21.4</v>
      </c>
      <c r="DN83" s="228">
        <v>22.07</v>
      </c>
      <c r="DO83" s="228">
        <v>-0.67</v>
      </c>
      <c r="DP83" s="228">
        <v>-0.67</v>
      </c>
      <c r="DQ83" s="228">
        <v>0.67</v>
      </c>
      <c r="DR83" s="228">
        <v>0.41</v>
      </c>
      <c r="DS83" s="228">
        <v>0.26</v>
      </c>
      <c r="DT83" s="229">
        <v>0.6341</v>
      </c>
      <c r="DU83" s="231">
        <v>1820</v>
      </c>
      <c r="DV83" s="231">
        <v>1500</v>
      </c>
      <c r="DW83" s="228">
        <v>0.62</v>
      </c>
      <c r="DX83" s="228">
        <v>0.46</v>
      </c>
      <c r="DY83" s="228">
        <v>0.16</v>
      </c>
      <c r="DZ83" s="229">
        <v>0.3478</v>
      </c>
      <c r="EA83" s="229">
        <v>0.93479999999999996</v>
      </c>
      <c r="EB83" s="230">
        <v>17813250</v>
      </c>
      <c r="EC83" s="229">
        <v>5.4999999999999997E-3</v>
      </c>
      <c r="ED83" s="229">
        <v>0.93479999999999996</v>
      </c>
      <c r="EE83" s="228">
        <v>7.22</v>
      </c>
      <c r="EF83" s="229">
        <v>4.8999999999999998E-3</v>
      </c>
      <c r="EG83" s="230">
        <v>1597533</v>
      </c>
      <c r="EH83" s="230">
        <v>1167043</v>
      </c>
      <c r="EI83" s="229">
        <v>0.36890000000000001</v>
      </c>
      <c r="EJ83" s="229">
        <v>0.66849999999999998</v>
      </c>
      <c r="EK83" s="231">
        <v>1065.31</v>
      </c>
      <c r="EL83" s="228">
        <v>636.84</v>
      </c>
      <c r="EM83" s="231">
        <v>1024.08</v>
      </c>
      <c r="EN83" s="228">
        <v>0</v>
      </c>
      <c r="EO83" s="231">
        <v>2726.23</v>
      </c>
      <c r="EP83" s="231">
        <v>2656.34</v>
      </c>
      <c r="EQ83" s="228">
        <v>69.89</v>
      </c>
      <c r="ER83" s="229">
        <v>2.63E-2</v>
      </c>
      <c r="ES83" s="228">
        <v>625.22</v>
      </c>
      <c r="ET83" s="228">
        <v>392.28</v>
      </c>
      <c r="EU83" s="231">
        <v>2904.79</v>
      </c>
      <c r="EV83" s="231">
        <v>211721976</v>
      </c>
      <c r="EW83" s="231">
        <v>3922.3</v>
      </c>
      <c r="EX83" s="231">
        <v>6178.97</v>
      </c>
      <c r="EY83" s="231">
        <v>-2256.67</v>
      </c>
      <c r="EZ83" s="229">
        <v>-0.36520000000000002</v>
      </c>
      <c r="FA83" s="229">
        <v>0.1241</v>
      </c>
      <c r="FB83" s="227" t="s">
        <v>568</v>
      </c>
      <c r="FC83">
        <f t="shared" si="1"/>
        <v>2701</v>
      </c>
    </row>
    <row r="84" spans="1:159" ht="17.25" thickBot="1" x14ac:dyDescent="0.3">
      <c r="A84" s="226">
        <v>45869</v>
      </c>
      <c r="B84" s="227" t="s">
        <v>175</v>
      </c>
      <c r="C84" s="227" t="s">
        <v>475</v>
      </c>
      <c r="D84" s="228">
        <v>150</v>
      </c>
      <c r="E84" s="228">
        <v>0</v>
      </c>
      <c r="F84" s="231">
        <v>5637.5</v>
      </c>
      <c r="G84" s="231">
        <v>5646.5</v>
      </c>
      <c r="H84" s="228">
        <v>-9</v>
      </c>
      <c r="I84" s="229">
        <v>-1.6000000000000001E-3</v>
      </c>
      <c r="J84" s="231">
        <v>5650</v>
      </c>
      <c r="K84" s="231">
        <v>5670</v>
      </c>
      <c r="L84" s="228">
        <v>-20</v>
      </c>
      <c r="M84" s="229">
        <v>-3.5000000000000001E-3</v>
      </c>
      <c r="N84" s="231">
        <v>5645</v>
      </c>
      <c r="O84" s="231">
        <v>5649.5</v>
      </c>
      <c r="P84" s="228">
        <v>-4.5</v>
      </c>
      <c r="Q84" s="229">
        <v>-8.0000000000000004E-4</v>
      </c>
      <c r="R84" s="231">
        <v>5637.5</v>
      </c>
      <c r="S84" s="231">
        <v>5646.5</v>
      </c>
      <c r="T84" s="228">
        <v>-9</v>
      </c>
      <c r="U84" s="229">
        <v>-1.6000000000000001E-3</v>
      </c>
      <c r="V84" s="231">
        <v>5639.5</v>
      </c>
      <c r="W84" s="231">
        <v>5652</v>
      </c>
      <c r="X84" s="228">
        <v>-12.5</v>
      </c>
      <c r="Y84" s="229">
        <v>-2.2000000000000001E-3</v>
      </c>
      <c r="Z84" s="228">
        <v>-12.5</v>
      </c>
      <c r="AA84" s="228">
        <v>-20.5</v>
      </c>
      <c r="AB84" s="228">
        <v>8</v>
      </c>
      <c r="AC84" s="229">
        <v>-2.2000000000000001E-3</v>
      </c>
      <c r="AD84" s="228">
        <v>-5</v>
      </c>
      <c r="AE84" s="228">
        <v>-20.5</v>
      </c>
      <c r="AF84" s="228">
        <v>15.5</v>
      </c>
      <c r="AG84" s="229">
        <v>-8.9999999999999998E-4</v>
      </c>
      <c r="AH84" s="228">
        <v>-12.5</v>
      </c>
      <c r="AI84" s="228">
        <v>-23.5</v>
      </c>
      <c r="AJ84" s="228">
        <v>11</v>
      </c>
      <c r="AK84" s="229">
        <v>-2.2000000000000001E-3</v>
      </c>
      <c r="AL84" s="228">
        <v>-10.5</v>
      </c>
      <c r="AM84" s="228">
        <v>-18</v>
      </c>
      <c r="AN84" s="228">
        <v>7.5</v>
      </c>
      <c r="AO84" s="229">
        <v>-1.9E-3</v>
      </c>
      <c r="AP84" s="231">
        <v>5628.74</v>
      </c>
      <c r="AQ84" s="231">
        <v>5627.42</v>
      </c>
      <c r="AR84" s="228">
        <v>0</v>
      </c>
      <c r="AS84" s="228">
        <v>660</v>
      </c>
      <c r="AT84" s="228">
        <v>894</v>
      </c>
      <c r="AU84" s="228">
        <v>-234</v>
      </c>
      <c r="AV84" s="229">
        <v>-0.26229999999999998</v>
      </c>
      <c r="AW84" s="228">
        <v>266</v>
      </c>
      <c r="AX84" s="228">
        <v>429</v>
      </c>
      <c r="AY84" s="228">
        <v>-163</v>
      </c>
      <c r="AZ84" s="229">
        <v>-0.38090000000000002</v>
      </c>
      <c r="BA84" s="228">
        <v>377</v>
      </c>
      <c r="BB84" s="228">
        <v>455</v>
      </c>
      <c r="BC84" s="228">
        <v>-78</v>
      </c>
      <c r="BD84" s="229">
        <v>-0.17069999999999999</v>
      </c>
      <c r="BE84" s="228">
        <v>16</v>
      </c>
      <c r="BF84" s="228">
        <v>10</v>
      </c>
      <c r="BG84" s="228">
        <v>7</v>
      </c>
      <c r="BH84" s="229">
        <v>0.68700000000000006</v>
      </c>
      <c r="BI84" s="228">
        <v>959</v>
      </c>
      <c r="BJ84" s="230">
        <v>1532</v>
      </c>
      <c r="BK84" s="228">
        <v>-573</v>
      </c>
      <c r="BL84" s="229">
        <v>-0.37419999999999998</v>
      </c>
      <c r="BM84" s="228">
        <v>655</v>
      </c>
      <c r="BN84" s="228">
        <v>789</v>
      </c>
      <c r="BO84" s="228">
        <v>-135</v>
      </c>
      <c r="BP84" s="229">
        <v>-0.1704</v>
      </c>
      <c r="BQ84" s="230">
        <v>2273</v>
      </c>
      <c r="BR84" s="230">
        <v>3216</v>
      </c>
      <c r="BS84" s="228">
        <v>-942</v>
      </c>
      <c r="BT84" s="229">
        <v>-0.29310000000000003</v>
      </c>
      <c r="BU84" s="230">
        <v>569584</v>
      </c>
      <c r="BV84" s="230">
        <v>399330</v>
      </c>
      <c r="BW84" s="230">
        <v>170254</v>
      </c>
      <c r="BX84" s="229">
        <v>0.42630000000000001</v>
      </c>
      <c r="BY84" s="230">
        <v>1350</v>
      </c>
      <c r="BZ84" s="230">
        <v>1477</v>
      </c>
      <c r="CA84" s="228">
        <v>-127</v>
      </c>
      <c r="CB84" s="229">
        <v>-8.6199999999999999E-2</v>
      </c>
      <c r="CC84" s="228">
        <v>105</v>
      </c>
      <c r="CD84" s="228">
        <v>200</v>
      </c>
      <c r="CE84" s="228">
        <v>-95</v>
      </c>
      <c r="CF84" s="229">
        <v>-0.47460000000000002</v>
      </c>
      <c r="CG84" s="230">
        <v>1332</v>
      </c>
      <c r="CH84" s="230">
        <v>1263</v>
      </c>
      <c r="CI84" s="228">
        <v>69</v>
      </c>
      <c r="CJ84" s="229">
        <v>5.4699999999999999E-2</v>
      </c>
      <c r="CK84" s="228">
        <v>18</v>
      </c>
      <c r="CL84" s="228">
        <v>15</v>
      </c>
      <c r="CM84" s="228">
        <v>3</v>
      </c>
      <c r="CN84" s="229">
        <v>0.23699999999999999</v>
      </c>
      <c r="CO84" s="228">
        <v>439</v>
      </c>
      <c r="CP84" s="228">
        <v>892</v>
      </c>
      <c r="CQ84" s="228">
        <v>-453</v>
      </c>
      <c r="CR84" s="229">
        <v>-0.50790000000000002</v>
      </c>
      <c r="CS84" s="228">
        <v>258</v>
      </c>
      <c r="CT84" s="228">
        <v>655</v>
      </c>
      <c r="CU84" s="228">
        <v>-398</v>
      </c>
      <c r="CV84" s="229">
        <v>-0.60699999999999998</v>
      </c>
      <c r="CW84" s="230">
        <v>2046</v>
      </c>
      <c r="CX84" s="230">
        <v>3024</v>
      </c>
      <c r="CY84" s="228">
        <v>-978</v>
      </c>
      <c r="CZ84" s="229">
        <v>-0.32340000000000002</v>
      </c>
      <c r="DA84" s="228">
        <v>27.21</v>
      </c>
      <c r="DB84" s="228">
        <v>27.15</v>
      </c>
      <c r="DC84" s="228">
        <v>0.06</v>
      </c>
      <c r="DD84" s="228">
        <v>0.06</v>
      </c>
      <c r="DE84" s="228">
        <v>36.99</v>
      </c>
      <c r="DF84" s="228">
        <v>37.08</v>
      </c>
      <c r="DG84" s="228">
        <v>-9.7799999999999994</v>
      </c>
      <c r="DH84" s="228">
        <v>-0.09</v>
      </c>
      <c r="DI84" s="228">
        <v>26.06</v>
      </c>
      <c r="DJ84" s="228">
        <v>26.82</v>
      </c>
      <c r="DK84" s="228">
        <v>-0.76</v>
      </c>
      <c r="DL84" s="228">
        <v>-0.76</v>
      </c>
      <c r="DM84" s="228">
        <v>29.07</v>
      </c>
      <c r="DN84" s="228">
        <v>28.02</v>
      </c>
      <c r="DO84" s="228">
        <v>1.05</v>
      </c>
      <c r="DP84" s="228">
        <v>1.05</v>
      </c>
      <c r="DQ84" s="228">
        <v>0.59</v>
      </c>
      <c r="DR84" s="228">
        <v>0.73</v>
      </c>
      <c r="DS84" s="228">
        <v>-0.14000000000000001</v>
      </c>
      <c r="DT84" s="229">
        <v>-0.1918</v>
      </c>
      <c r="DU84" s="231">
        <v>5700</v>
      </c>
      <c r="DV84" s="231">
        <v>5000</v>
      </c>
      <c r="DW84" s="228">
        <v>0.68</v>
      </c>
      <c r="DX84" s="228">
        <v>0.52</v>
      </c>
      <c r="DY84" s="228">
        <v>0.16</v>
      </c>
      <c r="DZ84" s="229">
        <v>0.30769999999999997</v>
      </c>
      <c r="EA84" s="229">
        <v>0.92789999999999995</v>
      </c>
      <c r="EB84" s="230">
        <v>2265600</v>
      </c>
      <c r="EC84" s="229">
        <v>-1.2999999999999999E-3</v>
      </c>
      <c r="ED84" s="229">
        <v>0.92789999999999995</v>
      </c>
      <c r="EE84" s="228">
        <v>-1.32</v>
      </c>
      <c r="EF84" s="229">
        <v>-2.0000000000000001E-4</v>
      </c>
      <c r="EG84" s="230">
        <v>278320</v>
      </c>
      <c r="EH84" s="230">
        <v>249259</v>
      </c>
      <c r="EI84" s="229">
        <v>0.1166</v>
      </c>
      <c r="EJ84" s="229">
        <v>0.48859999999999998</v>
      </c>
      <c r="EK84" s="228">
        <v>991.08</v>
      </c>
      <c r="EL84" s="228">
        <v>629.51</v>
      </c>
      <c r="EM84" s="228">
        <v>658.48</v>
      </c>
      <c r="EN84" s="228">
        <v>0</v>
      </c>
      <c r="EO84" s="231">
        <v>2279.0700000000002</v>
      </c>
      <c r="EP84" s="231">
        <v>3237.75</v>
      </c>
      <c r="EQ84" s="228">
        <v>-958.68</v>
      </c>
      <c r="ER84" s="229">
        <v>-0.29609999999999997</v>
      </c>
      <c r="ES84" s="228">
        <v>436.94</v>
      </c>
      <c r="ET84" s="228">
        <v>240.17</v>
      </c>
      <c r="EU84" s="231">
        <v>1349.71</v>
      </c>
      <c r="EV84" s="231">
        <v>20322651</v>
      </c>
      <c r="EW84" s="231">
        <v>2026.82</v>
      </c>
      <c r="EX84" s="231">
        <v>2972.41</v>
      </c>
      <c r="EY84" s="228">
        <v>-945.59</v>
      </c>
      <c r="EZ84" s="229">
        <v>-0.31809999999999999</v>
      </c>
      <c r="FA84" s="229">
        <v>0.17860000000000001</v>
      </c>
      <c r="FB84" s="227" t="s">
        <v>568</v>
      </c>
      <c r="FC84">
        <f t="shared" si="1"/>
        <v>1245</v>
      </c>
    </row>
    <row r="85" spans="1:159" ht="17.25" thickBot="1" x14ac:dyDescent="0.3">
      <c r="A85" s="226">
        <v>45869</v>
      </c>
      <c r="B85" s="227" t="s">
        <v>172</v>
      </c>
      <c r="C85" s="227" t="s">
        <v>224</v>
      </c>
      <c r="D85" s="228">
        <v>550</v>
      </c>
      <c r="E85" s="228">
        <v>0</v>
      </c>
      <c r="F85" s="231">
        <v>2028.7</v>
      </c>
      <c r="G85" s="231">
        <v>2034.4</v>
      </c>
      <c r="H85" s="228">
        <v>-5.7</v>
      </c>
      <c r="I85" s="229">
        <v>-2.8E-3</v>
      </c>
      <c r="J85" s="231">
        <v>2018.2</v>
      </c>
      <c r="K85" s="231">
        <v>2025.8</v>
      </c>
      <c r="L85" s="228">
        <v>-7.6</v>
      </c>
      <c r="M85" s="229">
        <v>-3.8E-3</v>
      </c>
      <c r="N85" s="231">
        <v>2017.8</v>
      </c>
      <c r="O85" s="231">
        <v>2023.1</v>
      </c>
      <c r="P85" s="228">
        <v>-5.3</v>
      </c>
      <c r="Q85" s="229">
        <v>-2.5999999999999999E-3</v>
      </c>
      <c r="R85" s="231">
        <v>2028.7</v>
      </c>
      <c r="S85" s="231">
        <v>2034.4</v>
      </c>
      <c r="T85" s="228">
        <v>-5.7</v>
      </c>
      <c r="U85" s="229">
        <v>-2.8E-3</v>
      </c>
      <c r="V85" s="231">
        <v>2040.8</v>
      </c>
      <c r="W85" s="231">
        <v>2046.5</v>
      </c>
      <c r="X85" s="228">
        <v>-5.7</v>
      </c>
      <c r="Y85" s="229">
        <v>-2.8E-3</v>
      </c>
      <c r="Z85" s="228">
        <v>10.5</v>
      </c>
      <c r="AA85" s="228">
        <v>-2.7</v>
      </c>
      <c r="AB85" s="228">
        <v>13.2</v>
      </c>
      <c r="AC85" s="229">
        <v>5.1999999999999998E-3</v>
      </c>
      <c r="AD85" s="228">
        <v>-0.4</v>
      </c>
      <c r="AE85" s="228">
        <v>-2.7</v>
      </c>
      <c r="AF85" s="228">
        <v>2.2999999999999998</v>
      </c>
      <c r="AG85" s="229">
        <v>-2.0000000000000001E-4</v>
      </c>
      <c r="AH85" s="228">
        <v>10.5</v>
      </c>
      <c r="AI85" s="228">
        <v>8.6</v>
      </c>
      <c r="AJ85" s="228">
        <v>1.9</v>
      </c>
      <c r="AK85" s="229">
        <v>5.1999999999999998E-3</v>
      </c>
      <c r="AL85" s="228">
        <v>22.6</v>
      </c>
      <c r="AM85" s="228">
        <v>20.7</v>
      </c>
      <c r="AN85" s="228">
        <v>1.9</v>
      </c>
      <c r="AO85" s="229">
        <v>1.12E-2</v>
      </c>
      <c r="AP85" s="231">
        <v>2018.18</v>
      </c>
      <c r="AQ85" s="231">
        <v>2029.08</v>
      </c>
      <c r="AR85" s="228">
        <v>0</v>
      </c>
      <c r="AS85" s="230">
        <v>7494</v>
      </c>
      <c r="AT85" s="230">
        <v>11402</v>
      </c>
      <c r="AU85" s="230">
        <v>-3908</v>
      </c>
      <c r="AV85" s="229">
        <v>-0.34279999999999999</v>
      </c>
      <c r="AW85" s="230">
        <v>3501</v>
      </c>
      <c r="AX85" s="230">
        <v>5817</v>
      </c>
      <c r="AY85" s="230">
        <v>-2317</v>
      </c>
      <c r="AZ85" s="229">
        <v>-0.39829999999999999</v>
      </c>
      <c r="BA85" s="230">
        <v>3948</v>
      </c>
      <c r="BB85" s="230">
        <v>5553</v>
      </c>
      <c r="BC85" s="230">
        <v>-1605</v>
      </c>
      <c r="BD85" s="229">
        <v>-0.28910000000000002</v>
      </c>
      <c r="BE85" s="228">
        <v>45</v>
      </c>
      <c r="BF85" s="228">
        <v>32</v>
      </c>
      <c r="BG85" s="228">
        <v>14</v>
      </c>
      <c r="BH85" s="229">
        <v>0.42809999999999998</v>
      </c>
      <c r="BI85" s="230">
        <v>7522</v>
      </c>
      <c r="BJ85" s="230">
        <v>7509</v>
      </c>
      <c r="BK85" s="228">
        <v>13</v>
      </c>
      <c r="BL85" s="229">
        <v>1.6999999999999999E-3</v>
      </c>
      <c r="BM85" s="230">
        <v>7427</v>
      </c>
      <c r="BN85" s="230">
        <v>6091</v>
      </c>
      <c r="BO85" s="230">
        <v>1336</v>
      </c>
      <c r="BP85" s="229">
        <v>0.21940000000000001</v>
      </c>
      <c r="BQ85" s="230">
        <v>22442</v>
      </c>
      <c r="BR85" s="230">
        <v>25001</v>
      </c>
      <c r="BS85" s="230">
        <v>-2559</v>
      </c>
      <c r="BT85" s="229">
        <v>-0.1024</v>
      </c>
      <c r="BU85" s="230">
        <v>11269394</v>
      </c>
      <c r="BV85" s="230">
        <v>7674304</v>
      </c>
      <c r="BW85" s="230">
        <v>3595090</v>
      </c>
      <c r="BX85" s="229">
        <v>0.46850000000000003</v>
      </c>
      <c r="BY85" s="230">
        <v>21040</v>
      </c>
      <c r="BZ85" s="230">
        <v>21495</v>
      </c>
      <c r="CA85" s="228">
        <v>-455</v>
      </c>
      <c r="CB85" s="229">
        <v>-2.12E-2</v>
      </c>
      <c r="CC85" s="228">
        <v>404</v>
      </c>
      <c r="CD85" s="230">
        <v>2561</v>
      </c>
      <c r="CE85" s="230">
        <v>-2156</v>
      </c>
      <c r="CF85" s="229">
        <v>-0.84219999999999995</v>
      </c>
      <c r="CG85" s="230">
        <v>20827</v>
      </c>
      <c r="CH85" s="230">
        <v>18727</v>
      </c>
      <c r="CI85" s="230">
        <v>2100</v>
      </c>
      <c r="CJ85" s="229">
        <v>0.11210000000000001</v>
      </c>
      <c r="CK85" s="228">
        <v>213</v>
      </c>
      <c r="CL85" s="228">
        <v>208</v>
      </c>
      <c r="CM85" s="228">
        <v>6</v>
      </c>
      <c r="CN85" s="229">
        <v>2.7400000000000001E-2</v>
      </c>
      <c r="CO85" s="230">
        <v>1745</v>
      </c>
      <c r="CP85" s="230">
        <v>6057</v>
      </c>
      <c r="CQ85" s="230">
        <v>-4312</v>
      </c>
      <c r="CR85" s="229">
        <v>-0.71189999999999998</v>
      </c>
      <c r="CS85" s="230">
        <v>2190</v>
      </c>
      <c r="CT85" s="230">
        <v>4705</v>
      </c>
      <c r="CU85" s="230">
        <v>-2516</v>
      </c>
      <c r="CV85" s="229">
        <v>-0.53469999999999995</v>
      </c>
      <c r="CW85" s="230">
        <v>24975</v>
      </c>
      <c r="CX85" s="230">
        <v>32257</v>
      </c>
      <c r="CY85" s="230">
        <v>-7283</v>
      </c>
      <c r="CZ85" s="229">
        <v>-0.2258</v>
      </c>
      <c r="DA85" s="228">
        <v>15.83</v>
      </c>
      <c r="DB85" s="228">
        <v>16.36</v>
      </c>
      <c r="DC85" s="228">
        <v>-0.53</v>
      </c>
      <c r="DD85" s="228">
        <v>-0.53</v>
      </c>
      <c r="DE85" s="228">
        <v>23</v>
      </c>
      <c r="DF85" s="228">
        <v>23.06</v>
      </c>
      <c r="DG85" s="228">
        <v>-7.17</v>
      </c>
      <c r="DH85" s="228">
        <v>-0.06</v>
      </c>
      <c r="DI85" s="228">
        <v>15.07</v>
      </c>
      <c r="DJ85" s="228">
        <v>15.39</v>
      </c>
      <c r="DK85" s="228">
        <v>-0.32</v>
      </c>
      <c r="DL85" s="228">
        <v>-0.32</v>
      </c>
      <c r="DM85" s="228">
        <v>16.600000000000001</v>
      </c>
      <c r="DN85" s="228">
        <v>17.29</v>
      </c>
      <c r="DO85" s="228">
        <v>-0.69</v>
      </c>
      <c r="DP85" s="228">
        <v>-0.69</v>
      </c>
      <c r="DQ85" s="228">
        <v>1.26</v>
      </c>
      <c r="DR85" s="228">
        <v>0.78</v>
      </c>
      <c r="DS85" s="228">
        <v>0.48</v>
      </c>
      <c r="DT85" s="229">
        <v>0.61539999999999995</v>
      </c>
      <c r="DU85" s="231">
        <v>2040</v>
      </c>
      <c r="DV85" s="231">
        <v>2000</v>
      </c>
      <c r="DW85" s="228">
        <v>0.99</v>
      </c>
      <c r="DX85" s="228">
        <v>0.81</v>
      </c>
      <c r="DY85" s="228">
        <v>0.18</v>
      </c>
      <c r="DZ85" s="229">
        <v>0.22220000000000001</v>
      </c>
      <c r="EA85" s="229">
        <v>0.98119999999999996</v>
      </c>
      <c r="EB85" s="230">
        <v>93333900</v>
      </c>
      <c r="EC85" s="229">
        <v>5.4000000000000003E-3</v>
      </c>
      <c r="ED85" s="229">
        <v>0.98119999999999996</v>
      </c>
      <c r="EE85" s="228">
        <v>10.9</v>
      </c>
      <c r="EF85" s="229">
        <v>5.4000000000000003E-3</v>
      </c>
      <c r="EG85" s="230">
        <v>4771350</v>
      </c>
      <c r="EH85" s="230">
        <v>5350639</v>
      </c>
      <c r="EI85" s="229">
        <v>-0.10829999999999999</v>
      </c>
      <c r="EJ85" s="229">
        <v>0.4234</v>
      </c>
      <c r="EK85" s="231">
        <v>7626.97</v>
      </c>
      <c r="EL85" s="231">
        <v>7325.61</v>
      </c>
      <c r="EM85" s="231">
        <v>7476.49</v>
      </c>
      <c r="EN85" s="228">
        <v>0</v>
      </c>
      <c r="EO85" s="231">
        <v>22429.08</v>
      </c>
      <c r="EP85" s="231">
        <v>24965.9</v>
      </c>
      <c r="EQ85" s="231">
        <v>-2536.8200000000002</v>
      </c>
      <c r="ER85" s="229">
        <v>-0.1016</v>
      </c>
      <c r="ES85" s="231">
        <v>1774.59</v>
      </c>
      <c r="ET85" s="231">
        <v>2111.15</v>
      </c>
      <c r="EU85" s="231">
        <v>21041.74</v>
      </c>
      <c r="EV85" s="231">
        <v>1324758679</v>
      </c>
      <c r="EW85" s="231">
        <v>24927.49</v>
      </c>
      <c r="EX85" s="231">
        <v>32204.13</v>
      </c>
      <c r="EY85" s="231">
        <v>-7276.64</v>
      </c>
      <c r="EZ85" s="229">
        <v>-0.22600000000000001</v>
      </c>
      <c r="FA85" s="229">
        <v>9.2899999999999996E-2</v>
      </c>
      <c r="FB85" s="227" t="s">
        <v>568</v>
      </c>
      <c r="FC85">
        <f t="shared" si="1"/>
        <v>20636</v>
      </c>
    </row>
    <row r="86" spans="1:159" ht="17.25" thickBot="1" x14ac:dyDescent="0.3">
      <c r="A86" s="226">
        <v>45869</v>
      </c>
      <c r="B86" s="227" t="s">
        <v>175</v>
      </c>
      <c r="C86" s="227" t="s">
        <v>225</v>
      </c>
      <c r="D86" s="228">
        <v>1100</v>
      </c>
      <c r="E86" s="228">
        <v>0</v>
      </c>
      <c r="F86" s="228">
        <v>760</v>
      </c>
      <c r="G86" s="228">
        <v>761.7</v>
      </c>
      <c r="H86" s="228">
        <v>-1.7</v>
      </c>
      <c r="I86" s="229">
        <v>-2.2000000000000001E-3</v>
      </c>
      <c r="J86" s="228">
        <v>755.5</v>
      </c>
      <c r="K86" s="228">
        <v>757.45</v>
      </c>
      <c r="L86" s="228">
        <v>-1.95</v>
      </c>
      <c r="M86" s="229">
        <v>-2.5999999999999999E-3</v>
      </c>
      <c r="N86" s="228">
        <v>756.65</v>
      </c>
      <c r="O86" s="228">
        <v>757.3</v>
      </c>
      <c r="P86" s="228">
        <v>-0.65</v>
      </c>
      <c r="Q86" s="229">
        <v>-8.9999999999999998E-4</v>
      </c>
      <c r="R86" s="228">
        <v>760</v>
      </c>
      <c r="S86" s="228">
        <v>761.7</v>
      </c>
      <c r="T86" s="228">
        <v>-1.7</v>
      </c>
      <c r="U86" s="229">
        <v>-2.2000000000000001E-3</v>
      </c>
      <c r="V86" s="228">
        <v>765.7</v>
      </c>
      <c r="W86" s="228">
        <v>766.7</v>
      </c>
      <c r="X86" s="228">
        <v>-1</v>
      </c>
      <c r="Y86" s="229">
        <v>-1.2999999999999999E-3</v>
      </c>
      <c r="Z86" s="228">
        <v>4.5</v>
      </c>
      <c r="AA86" s="228">
        <v>-0.15</v>
      </c>
      <c r="AB86" s="228">
        <v>4.6500000000000004</v>
      </c>
      <c r="AC86" s="229">
        <v>6.0000000000000001E-3</v>
      </c>
      <c r="AD86" s="228">
        <v>1.1499999999999999</v>
      </c>
      <c r="AE86" s="228">
        <v>-0.15</v>
      </c>
      <c r="AF86" s="228">
        <v>1.3</v>
      </c>
      <c r="AG86" s="229">
        <v>1.5E-3</v>
      </c>
      <c r="AH86" s="228">
        <v>4.5</v>
      </c>
      <c r="AI86" s="228">
        <v>4.25</v>
      </c>
      <c r="AJ86" s="228">
        <v>0.25</v>
      </c>
      <c r="AK86" s="229">
        <v>6.0000000000000001E-3</v>
      </c>
      <c r="AL86" s="228">
        <v>10.199999999999999</v>
      </c>
      <c r="AM86" s="228">
        <v>9.25</v>
      </c>
      <c r="AN86" s="228">
        <v>0.95</v>
      </c>
      <c r="AO86" s="229">
        <v>1.35E-2</v>
      </c>
      <c r="AP86" s="228">
        <v>755.55</v>
      </c>
      <c r="AQ86" s="228">
        <v>759.35</v>
      </c>
      <c r="AR86" s="228">
        <v>0</v>
      </c>
      <c r="AS86" s="228">
        <v>977</v>
      </c>
      <c r="AT86" s="230">
        <v>1699</v>
      </c>
      <c r="AU86" s="228">
        <v>-722</v>
      </c>
      <c r="AV86" s="229">
        <v>-0.42480000000000001</v>
      </c>
      <c r="AW86" s="228">
        <v>438</v>
      </c>
      <c r="AX86" s="228">
        <v>840</v>
      </c>
      <c r="AY86" s="228">
        <v>-403</v>
      </c>
      <c r="AZ86" s="229">
        <v>-0.47899999999999998</v>
      </c>
      <c r="BA86" s="228">
        <v>535</v>
      </c>
      <c r="BB86" s="228">
        <v>856</v>
      </c>
      <c r="BC86" s="228">
        <v>-321</v>
      </c>
      <c r="BD86" s="229">
        <v>-0.37509999999999999</v>
      </c>
      <c r="BE86" s="228">
        <v>4</v>
      </c>
      <c r="BF86" s="228">
        <v>2</v>
      </c>
      <c r="BG86" s="228">
        <v>2</v>
      </c>
      <c r="BH86" s="229">
        <v>0.88890000000000002</v>
      </c>
      <c r="BI86" s="228">
        <v>629</v>
      </c>
      <c r="BJ86" s="228">
        <v>620</v>
      </c>
      <c r="BK86" s="228">
        <v>9</v>
      </c>
      <c r="BL86" s="229">
        <v>1.44E-2</v>
      </c>
      <c r="BM86" s="228">
        <v>529</v>
      </c>
      <c r="BN86" s="228">
        <v>311</v>
      </c>
      <c r="BO86" s="228">
        <v>218</v>
      </c>
      <c r="BP86" s="229">
        <v>0.70140000000000002</v>
      </c>
      <c r="BQ86" s="230">
        <v>2135</v>
      </c>
      <c r="BR86" s="230">
        <v>2629</v>
      </c>
      <c r="BS86" s="228">
        <v>-494</v>
      </c>
      <c r="BT86" s="229">
        <v>-0.188</v>
      </c>
      <c r="BU86" s="230">
        <v>1839036</v>
      </c>
      <c r="BV86" s="230">
        <v>2070046</v>
      </c>
      <c r="BW86" s="230">
        <v>-231010</v>
      </c>
      <c r="BX86" s="229">
        <v>-0.1116</v>
      </c>
      <c r="BY86" s="230">
        <v>2182</v>
      </c>
      <c r="BZ86" s="230">
        <v>2265</v>
      </c>
      <c r="CA86" s="228">
        <v>-82</v>
      </c>
      <c r="CB86" s="229">
        <v>-3.6299999999999999E-2</v>
      </c>
      <c r="CC86" s="228">
        <v>98</v>
      </c>
      <c r="CD86" s="228">
        <v>323</v>
      </c>
      <c r="CE86" s="228">
        <v>-224</v>
      </c>
      <c r="CF86" s="229">
        <v>-0.69530000000000003</v>
      </c>
      <c r="CG86" s="230">
        <v>2167</v>
      </c>
      <c r="CH86" s="230">
        <v>1927</v>
      </c>
      <c r="CI86" s="228">
        <v>240</v>
      </c>
      <c r="CJ86" s="229">
        <v>0.1246</v>
      </c>
      <c r="CK86" s="228">
        <v>16</v>
      </c>
      <c r="CL86" s="228">
        <v>15</v>
      </c>
      <c r="CM86" s="228">
        <v>0</v>
      </c>
      <c r="CN86" s="229">
        <v>2.7199999999999998E-2</v>
      </c>
      <c r="CO86" s="228">
        <v>242</v>
      </c>
      <c r="CP86" s="230">
        <v>1266</v>
      </c>
      <c r="CQ86" s="230">
        <v>-1023</v>
      </c>
      <c r="CR86" s="229">
        <v>-0.8085</v>
      </c>
      <c r="CS86" s="228">
        <v>199</v>
      </c>
      <c r="CT86" s="228">
        <v>650</v>
      </c>
      <c r="CU86" s="228">
        <v>-451</v>
      </c>
      <c r="CV86" s="229">
        <v>-0.69330000000000003</v>
      </c>
      <c r="CW86" s="230">
        <v>2624</v>
      </c>
      <c r="CX86" s="230">
        <v>4181</v>
      </c>
      <c r="CY86" s="230">
        <v>-1556</v>
      </c>
      <c r="CZ86" s="229">
        <v>-0.37230000000000002</v>
      </c>
      <c r="DA86" s="228">
        <v>21.9</v>
      </c>
      <c r="DB86" s="228">
        <v>21.85</v>
      </c>
      <c r="DC86" s="228">
        <v>0.05</v>
      </c>
      <c r="DD86" s="228">
        <v>0.05</v>
      </c>
      <c r="DE86" s="228">
        <v>27.49</v>
      </c>
      <c r="DF86" s="228">
        <v>27.56</v>
      </c>
      <c r="DG86" s="228">
        <v>-5.59</v>
      </c>
      <c r="DH86" s="228">
        <v>-7.0000000000000007E-2</v>
      </c>
      <c r="DI86" s="228">
        <v>21.85</v>
      </c>
      <c r="DJ86" s="228">
        <v>21.94</v>
      </c>
      <c r="DK86" s="228">
        <v>-0.09</v>
      </c>
      <c r="DL86" s="228">
        <v>-0.09</v>
      </c>
      <c r="DM86" s="228">
        <v>21.96</v>
      </c>
      <c r="DN86" s="228">
        <v>21.71</v>
      </c>
      <c r="DO86" s="228">
        <v>0.25</v>
      </c>
      <c r="DP86" s="228">
        <v>0.25</v>
      </c>
      <c r="DQ86" s="228">
        <v>0.82</v>
      </c>
      <c r="DR86" s="228">
        <v>0.51</v>
      </c>
      <c r="DS86" s="228">
        <v>0.31</v>
      </c>
      <c r="DT86" s="229">
        <v>0.60780000000000001</v>
      </c>
      <c r="DU86" s="228">
        <v>820</v>
      </c>
      <c r="DV86" s="228">
        <v>700</v>
      </c>
      <c r="DW86" s="228">
        <v>0.84</v>
      </c>
      <c r="DX86" s="228">
        <v>0.5</v>
      </c>
      <c r="DY86" s="228">
        <v>0.34</v>
      </c>
      <c r="DZ86" s="229">
        <v>0.68</v>
      </c>
      <c r="EA86" s="229">
        <v>0.95689999999999997</v>
      </c>
      <c r="EB86" s="230">
        <v>25553000</v>
      </c>
      <c r="EC86" s="229">
        <v>4.4000000000000003E-3</v>
      </c>
      <c r="ED86" s="229">
        <v>0.95689999999999997</v>
      </c>
      <c r="EE86" s="228">
        <v>3.8</v>
      </c>
      <c r="EF86" s="229">
        <v>5.0000000000000001E-3</v>
      </c>
      <c r="EG86" s="230">
        <v>909243</v>
      </c>
      <c r="EH86" s="230">
        <v>1193790</v>
      </c>
      <c r="EI86" s="229">
        <v>-0.2384</v>
      </c>
      <c r="EJ86" s="229">
        <v>0.49440000000000001</v>
      </c>
      <c r="EK86" s="228">
        <v>648.19000000000005</v>
      </c>
      <c r="EL86" s="228">
        <v>526.19000000000005</v>
      </c>
      <c r="EM86" s="228">
        <v>973.95</v>
      </c>
      <c r="EN86" s="228">
        <v>0</v>
      </c>
      <c r="EO86" s="231">
        <v>2148.33</v>
      </c>
      <c r="EP86" s="231">
        <v>2638.38</v>
      </c>
      <c r="EQ86" s="228">
        <v>-490.06</v>
      </c>
      <c r="ER86" s="229">
        <v>-0.1857</v>
      </c>
      <c r="ES86" s="228">
        <v>253.56</v>
      </c>
      <c r="ET86" s="228">
        <v>194.49</v>
      </c>
      <c r="EU86" s="231">
        <v>2182.58</v>
      </c>
      <c r="EV86" s="231">
        <v>213821216</v>
      </c>
      <c r="EW86" s="231">
        <v>2630.63</v>
      </c>
      <c r="EX86" s="231">
        <v>4257.5</v>
      </c>
      <c r="EY86" s="231">
        <v>-1626.87</v>
      </c>
      <c r="EZ86" s="229">
        <v>-0.3821</v>
      </c>
      <c r="FA86" s="229">
        <v>0.1615</v>
      </c>
      <c r="FB86" s="227" t="s">
        <v>568</v>
      </c>
      <c r="FC86">
        <f t="shared" si="1"/>
        <v>2084</v>
      </c>
    </row>
    <row r="87" spans="1:159" ht="17.25" thickBot="1" x14ac:dyDescent="0.3">
      <c r="A87" s="226">
        <v>45869</v>
      </c>
      <c r="B87" s="227" t="s">
        <v>162</v>
      </c>
      <c r="C87" s="227" t="s">
        <v>226</v>
      </c>
      <c r="D87" s="228">
        <v>150</v>
      </c>
      <c r="E87" s="228">
        <v>0</v>
      </c>
      <c r="F87" s="231">
        <v>4225</v>
      </c>
      <c r="G87" s="231">
        <v>4221.2</v>
      </c>
      <c r="H87" s="228">
        <v>3.8</v>
      </c>
      <c r="I87" s="229">
        <v>8.9999999999999998E-4</v>
      </c>
      <c r="J87" s="231">
        <v>4260.7</v>
      </c>
      <c r="K87" s="231">
        <v>4251.3</v>
      </c>
      <c r="L87" s="228">
        <v>9.4</v>
      </c>
      <c r="M87" s="229">
        <v>2.2000000000000001E-3</v>
      </c>
      <c r="N87" s="231">
        <v>4260.2</v>
      </c>
      <c r="O87" s="231">
        <v>4252.6000000000004</v>
      </c>
      <c r="P87" s="228">
        <v>7.6</v>
      </c>
      <c r="Q87" s="229">
        <v>1.8E-3</v>
      </c>
      <c r="R87" s="231">
        <v>4225</v>
      </c>
      <c r="S87" s="231">
        <v>4221.2</v>
      </c>
      <c r="T87" s="228">
        <v>3.8</v>
      </c>
      <c r="U87" s="229">
        <v>8.9999999999999998E-4</v>
      </c>
      <c r="V87" s="231">
        <v>4218</v>
      </c>
      <c r="W87" s="231">
        <v>4216.5</v>
      </c>
      <c r="X87" s="228">
        <v>1.5</v>
      </c>
      <c r="Y87" s="229">
        <v>4.0000000000000002E-4</v>
      </c>
      <c r="Z87" s="228">
        <v>-35.700000000000003</v>
      </c>
      <c r="AA87" s="228">
        <v>1.3</v>
      </c>
      <c r="AB87" s="228">
        <v>-37</v>
      </c>
      <c r="AC87" s="229">
        <v>-8.3999999999999995E-3</v>
      </c>
      <c r="AD87" s="228">
        <v>-0.5</v>
      </c>
      <c r="AE87" s="228">
        <v>1.3</v>
      </c>
      <c r="AF87" s="228">
        <v>-1.8</v>
      </c>
      <c r="AG87" s="229">
        <v>-1E-4</v>
      </c>
      <c r="AH87" s="228">
        <v>-35.700000000000003</v>
      </c>
      <c r="AI87" s="228">
        <v>-30.1</v>
      </c>
      <c r="AJ87" s="228">
        <v>-5.6</v>
      </c>
      <c r="AK87" s="229">
        <v>-8.3999999999999995E-3</v>
      </c>
      <c r="AL87" s="228">
        <v>-42.7</v>
      </c>
      <c r="AM87" s="228">
        <v>-34.799999999999997</v>
      </c>
      <c r="AN87" s="228">
        <v>-7.9</v>
      </c>
      <c r="AO87" s="229">
        <v>-0.01</v>
      </c>
      <c r="AP87" s="231">
        <v>4252.6499999999996</v>
      </c>
      <c r="AQ87" s="231">
        <v>4219.72</v>
      </c>
      <c r="AR87" s="228">
        <v>0</v>
      </c>
      <c r="AS87" s="228">
        <v>966</v>
      </c>
      <c r="AT87" s="230">
        <v>1867</v>
      </c>
      <c r="AU87" s="228">
        <v>-901</v>
      </c>
      <c r="AV87" s="229">
        <v>-0.48259999999999997</v>
      </c>
      <c r="AW87" s="228">
        <v>363</v>
      </c>
      <c r="AX87" s="228">
        <v>790</v>
      </c>
      <c r="AY87" s="228">
        <v>-427</v>
      </c>
      <c r="AZ87" s="229">
        <v>-0.54090000000000005</v>
      </c>
      <c r="BA87" s="228">
        <v>576</v>
      </c>
      <c r="BB87" s="230">
        <v>1054</v>
      </c>
      <c r="BC87" s="228">
        <v>-477</v>
      </c>
      <c r="BD87" s="229">
        <v>-0.4531</v>
      </c>
      <c r="BE87" s="228">
        <v>27</v>
      </c>
      <c r="BF87" s="228">
        <v>24</v>
      </c>
      <c r="BG87" s="228">
        <v>3</v>
      </c>
      <c r="BH87" s="229">
        <v>0.14399999999999999</v>
      </c>
      <c r="BI87" s="230">
        <v>1312</v>
      </c>
      <c r="BJ87" s="230">
        <v>2802</v>
      </c>
      <c r="BK87" s="230">
        <v>-1490</v>
      </c>
      <c r="BL87" s="229">
        <v>-0.53159999999999996</v>
      </c>
      <c r="BM87" s="228">
        <v>586</v>
      </c>
      <c r="BN87" s="230">
        <v>1215</v>
      </c>
      <c r="BO87" s="228">
        <v>-629</v>
      </c>
      <c r="BP87" s="229">
        <v>-0.51780000000000004</v>
      </c>
      <c r="BQ87" s="230">
        <v>2864</v>
      </c>
      <c r="BR87" s="230">
        <v>5884</v>
      </c>
      <c r="BS87" s="230">
        <v>-3020</v>
      </c>
      <c r="BT87" s="229">
        <v>-0.51319999999999999</v>
      </c>
      <c r="BU87" s="230">
        <v>469501</v>
      </c>
      <c r="BV87" s="230">
        <v>565296</v>
      </c>
      <c r="BW87" s="230">
        <v>-95795</v>
      </c>
      <c r="BX87" s="229">
        <v>-0.16950000000000001</v>
      </c>
      <c r="BY87" s="230">
        <v>2767</v>
      </c>
      <c r="BZ87" s="230">
        <v>3100</v>
      </c>
      <c r="CA87" s="228">
        <v>-333</v>
      </c>
      <c r="CB87" s="229">
        <v>-0.1074</v>
      </c>
      <c r="CC87" s="228">
        <v>242</v>
      </c>
      <c r="CD87" s="228">
        <v>374</v>
      </c>
      <c r="CE87" s="228">
        <v>-132</v>
      </c>
      <c r="CF87" s="229">
        <v>-0.35370000000000001</v>
      </c>
      <c r="CG87" s="230">
        <v>2722</v>
      </c>
      <c r="CH87" s="230">
        <v>2688</v>
      </c>
      <c r="CI87" s="228">
        <v>33</v>
      </c>
      <c r="CJ87" s="229">
        <v>1.24E-2</v>
      </c>
      <c r="CK87" s="228">
        <v>45</v>
      </c>
      <c r="CL87" s="228">
        <v>37</v>
      </c>
      <c r="CM87" s="228">
        <v>7</v>
      </c>
      <c r="CN87" s="229">
        <v>0.19900000000000001</v>
      </c>
      <c r="CO87" s="228">
        <v>482</v>
      </c>
      <c r="CP87" s="230">
        <v>1446</v>
      </c>
      <c r="CQ87" s="228">
        <v>-965</v>
      </c>
      <c r="CR87" s="229">
        <v>-0.66700000000000004</v>
      </c>
      <c r="CS87" s="228">
        <v>327</v>
      </c>
      <c r="CT87" s="228">
        <v>842</v>
      </c>
      <c r="CU87" s="228">
        <v>-516</v>
      </c>
      <c r="CV87" s="229">
        <v>-0.61219999999999997</v>
      </c>
      <c r="CW87" s="230">
        <v>3575</v>
      </c>
      <c r="CX87" s="230">
        <v>5388</v>
      </c>
      <c r="CY87" s="230">
        <v>-1813</v>
      </c>
      <c r="CZ87" s="229">
        <v>-0.33650000000000002</v>
      </c>
      <c r="DA87" s="228">
        <v>28.42</v>
      </c>
      <c r="DB87" s="228">
        <v>28.86</v>
      </c>
      <c r="DC87" s="228">
        <v>-0.44</v>
      </c>
      <c r="DD87" s="228">
        <v>-0.44</v>
      </c>
      <c r="DE87" s="228">
        <v>30.37</v>
      </c>
      <c r="DF87" s="228">
        <v>30.44</v>
      </c>
      <c r="DG87" s="228">
        <v>-1.95</v>
      </c>
      <c r="DH87" s="228">
        <v>-7.0000000000000007E-2</v>
      </c>
      <c r="DI87" s="228">
        <v>28.35</v>
      </c>
      <c r="DJ87" s="228">
        <v>28.85</v>
      </c>
      <c r="DK87" s="228">
        <v>-0.5</v>
      </c>
      <c r="DL87" s="228">
        <v>-0.5</v>
      </c>
      <c r="DM87" s="228">
        <v>28.57</v>
      </c>
      <c r="DN87" s="228">
        <v>28.89</v>
      </c>
      <c r="DO87" s="228">
        <v>-0.32</v>
      </c>
      <c r="DP87" s="228">
        <v>-0.32</v>
      </c>
      <c r="DQ87" s="228">
        <v>0.68</v>
      </c>
      <c r="DR87" s="228">
        <v>0.57999999999999996</v>
      </c>
      <c r="DS87" s="228">
        <v>0.1</v>
      </c>
      <c r="DT87" s="229">
        <v>0.1724</v>
      </c>
      <c r="DU87" s="231">
        <v>4500</v>
      </c>
      <c r="DV87" s="231">
        <v>3700</v>
      </c>
      <c r="DW87" s="228">
        <v>0.45</v>
      </c>
      <c r="DX87" s="228">
        <v>0.43</v>
      </c>
      <c r="DY87" s="228">
        <v>0.02</v>
      </c>
      <c r="DZ87" s="229">
        <v>4.65E-2</v>
      </c>
      <c r="EA87" s="229">
        <v>0.91969999999999996</v>
      </c>
      <c r="EB87" s="230">
        <v>6451500</v>
      </c>
      <c r="EC87" s="229">
        <v>-8.3000000000000001E-3</v>
      </c>
      <c r="ED87" s="229">
        <v>0.91969999999999996</v>
      </c>
      <c r="EE87" s="228">
        <v>-32.93</v>
      </c>
      <c r="EF87" s="229">
        <v>-7.7000000000000002E-3</v>
      </c>
      <c r="EG87" s="230">
        <v>216529</v>
      </c>
      <c r="EH87" s="230">
        <v>225310</v>
      </c>
      <c r="EI87" s="229">
        <v>-3.9E-2</v>
      </c>
      <c r="EJ87" s="229">
        <v>0.4612</v>
      </c>
      <c r="EK87" s="231">
        <v>1376.42</v>
      </c>
      <c r="EL87" s="228">
        <v>587.07000000000005</v>
      </c>
      <c r="EM87" s="228">
        <v>967.6</v>
      </c>
      <c r="EN87" s="228">
        <v>0</v>
      </c>
      <c r="EO87" s="231">
        <v>2931.1</v>
      </c>
      <c r="EP87" s="231">
        <v>6038.03</v>
      </c>
      <c r="EQ87" s="231">
        <v>-3106.93</v>
      </c>
      <c r="ER87" s="229">
        <v>-0.51459999999999995</v>
      </c>
      <c r="ES87" s="228">
        <v>515.79999999999995</v>
      </c>
      <c r="ET87" s="228">
        <v>319.86</v>
      </c>
      <c r="EU87" s="231">
        <v>2766.5</v>
      </c>
      <c r="EV87" s="231">
        <v>26104531</v>
      </c>
      <c r="EW87" s="231">
        <v>3602.16</v>
      </c>
      <c r="EX87" s="231">
        <v>5461.31</v>
      </c>
      <c r="EY87" s="231">
        <v>-1859.15</v>
      </c>
      <c r="EZ87" s="229">
        <v>-0.34039999999999998</v>
      </c>
      <c r="FA87" s="229">
        <v>0.3241</v>
      </c>
      <c r="FB87" s="227" t="s">
        <v>556</v>
      </c>
      <c r="FC87">
        <f t="shared" si="1"/>
        <v>2525</v>
      </c>
    </row>
    <row r="88" spans="1:159" ht="17.25" thickBot="1" x14ac:dyDescent="0.3">
      <c r="A88" s="226">
        <v>45869</v>
      </c>
      <c r="B88" s="227" t="s">
        <v>221</v>
      </c>
      <c r="C88" s="227" t="s">
        <v>577</v>
      </c>
      <c r="D88" s="228">
        <v>6450</v>
      </c>
      <c r="E88" s="228">
        <v>0</v>
      </c>
      <c r="F88" s="228">
        <v>76.09</v>
      </c>
      <c r="G88" s="228">
        <v>77.430000000000007</v>
      </c>
      <c r="H88" s="228">
        <v>-1.34</v>
      </c>
      <c r="I88" s="229">
        <v>-1.7299999999999999E-2</v>
      </c>
      <c r="J88" s="228">
        <v>75.569999999999993</v>
      </c>
      <c r="K88" s="228">
        <v>77</v>
      </c>
      <c r="L88" s="228">
        <v>-1.43</v>
      </c>
      <c r="M88" s="229">
        <v>-1.8599999999999998E-2</v>
      </c>
      <c r="N88" s="228">
        <v>75.760000000000005</v>
      </c>
      <c r="O88" s="228">
        <v>77.010000000000005</v>
      </c>
      <c r="P88" s="228">
        <v>-1.25</v>
      </c>
      <c r="Q88" s="229">
        <v>-1.6199999999999999E-2</v>
      </c>
      <c r="R88" s="228">
        <v>76.09</v>
      </c>
      <c r="S88" s="228">
        <v>77.430000000000007</v>
      </c>
      <c r="T88" s="228">
        <v>-1.34</v>
      </c>
      <c r="U88" s="229">
        <v>-1.7299999999999999E-2</v>
      </c>
      <c r="V88" s="228">
        <v>76.59</v>
      </c>
      <c r="W88" s="228">
        <v>77.849999999999994</v>
      </c>
      <c r="X88" s="228">
        <v>-1.26</v>
      </c>
      <c r="Y88" s="229">
        <v>-1.6199999999999999E-2</v>
      </c>
      <c r="Z88" s="228">
        <v>0.52</v>
      </c>
      <c r="AA88" s="228">
        <v>0.01</v>
      </c>
      <c r="AB88" s="228">
        <v>0.51</v>
      </c>
      <c r="AC88" s="229">
        <v>6.8999999999999999E-3</v>
      </c>
      <c r="AD88" s="228">
        <v>0.19</v>
      </c>
      <c r="AE88" s="228">
        <v>0.01</v>
      </c>
      <c r="AF88" s="228">
        <v>0.18</v>
      </c>
      <c r="AG88" s="229">
        <v>2.5000000000000001E-3</v>
      </c>
      <c r="AH88" s="228">
        <v>0.52</v>
      </c>
      <c r="AI88" s="228">
        <v>0.43</v>
      </c>
      <c r="AJ88" s="228">
        <v>0.09</v>
      </c>
      <c r="AK88" s="229">
        <v>6.8999999999999999E-3</v>
      </c>
      <c r="AL88" s="228">
        <v>1.02</v>
      </c>
      <c r="AM88" s="228">
        <v>0.85</v>
      </c>
      <c r="AN88" s="228">
        <v>0.17</v>
      </c>
      <c r="AO88" s="229">
        <v>1.35E-2</v>
      </c>
      <c r="AP88" s="228">
        <v>76.13</v>
      </c>
      <c r="AQ88" s="228">
        <v>76.48</v>
      </c>
      <c r="AR88" s="228">
        <v>0</v>
      </c>
      <c r="AS88" s="228">
        <v>459</v>
      </c>
      <c r="AT88" s="228">
        <v>305</v>
      </c>
      <c r="AU88" s="228">
        <v>154</v>
      </c>
      <c r="AV88" s="229">
        <v>0.50680000000000003</v>
      </c>
      <c r="AW88" s="228">
        <v>197</v>
      </c>
      <c r="AX88" s="228">
        <v>145</v>
      </c>
      <c r="AY88" s="228">
        <v>52</v>
      </c>
      <c r="AZ88" s="229">
        <v>0.36070000000000002</v>
      </c>
      <c r="BA88" s="228">
        <v>254</v>
      </c>
      <c r="BB88" s="228">
        <v>157</v>
      </c>
      <c r="BC88" s="228">
        <v>97</v>
      </c>
      <c r="BD88" s="229">
        <v>0.621</v>
      </c>
      <c r="BE88" s="228">
        <v>8</v>
      </c>
      <c r="BF88" s="228">
        <v>3</v>
      </c>
      <c r="BG88" s="228">
        <v>5</v>
      </c>
      <c r="BH88" s="229">
        <v>1.4853000000000001</v>
      </c>
      <c r="BI88" s="228">
        <v>131</v>
      </c>
      <c r="BJ88" s="228">
        <v>84</v>
      </c>
      <c r="BK88" s="228">
        <v>47</v>
      </c>
      <c r="BL88" s="229">
        <v>0.56069999999999998</v>
      </c>
      <c r="BM88" s="228">
        <v>81</v>
      </c>
      <c r="BN88" s="228">
        <v>81</v>
      </c>
      <c r="BO88" s="228">
        <v>0</v>
      </c>
      <c r="BP88" s="229">
        <v>-5.9999999999999995E-4</v>
      </c>
      <c r="BQ88" s="228">
        <v>670</v>
      </c>
      <c r="BR88" s="228">
        <v>469</v>
      </c>
      <c r="BS88" s="228">
        <v>201</v>
      </c>
      <c r="BT88" s="229">
        <v>0.4289</v>
      </c>
      <c r="BU88" s="230">
        <v>12752093</v>
      </c>
      <c r="BV88" s="230">
        <v>6303265</v>
      </c>
      <c r="BW88" s="230">
        <v>6448828</v>
      </c>
      <c r="BX88" s="229">
        <v>1.0230999999999999</v>
      </c>
      <c r="BY88" s="228">
        <v>633</v>
      </c>
      <c r="BZ88" s="228">
        <v>631</v>
      </c>
      <c r="CA88" s="228">
        <v>2</v>
      </c>
      <c r="CB88" s="229">
        <v>3.0999999999999999E-3</v>
      </c>
      <c r="CC88" s="228">
        <v>30</v>
      </c>
      <c r="CD88" s="228">
        <v>145</v>
      </c>
      <c r="CE88" s="228">
        <v>-114</v>
      </c>
      <c r="CF88" s="229">
        <v>-0.79079999999999995</v>
      </c>
      <c r="CG88" s="228">
        <v>614</v>
      </c>
      <c r="CH88" s="228">
        <v>473</v>
      </c>
      <c r="CI88" s="228">
        <v>141</v>
      </c>
      <c r="CJ88" s="229">
        <v>0.29759999999999998</v>
      </c>
      <c r="CK88" s="228">
        <v>19</v>
      </c>
      <c r="CL88" s="228">
        <v>13</v>
      </c>
      <c r="CM88" s="228">
        <v>6</v>
      </c>
      <c r="CN88" s="229">
        <v>0.43640000000000001</v>
      </c>
      <c r="CO88" s="228">
        <v>167</v>
      </c>
      <c r="CP88" s="228">
        <v>344</v>
      </c>
      <c r="CQ88" s="228">
        <v>-177</v>
      </c>
      <c r="CR88" s="229">
        <v>-0.51580000000000004</v>
      </c>
      <c r="CS88" s="228">
        <v>101</v>
      </c>
      <c r="CT88" s="228">
        <v>194</v>
      </c>
      <c r="CU88" s="228">
        <v>-93</v>
      </c>
      <c r="CV88" s="229">
        <v>-0.48120000000000002</v>
      </c>
      <c r="CW88" s="228">
        <v>901</v>
      </c>
      <c r="CX88" s="230">
        <v>1170</v>
      </c>
      <c r="CY88" s="228">
        <v>-269</v>
      </c>
      <c r="CZ88" s="229">
        <v>-0.22989999999999999</v>
      </c>
      <c r="DA88" s="228">
        <v>43.64</v>
      </c>
      <c r="DB88" s="228">
        <v>45.2</v>
      </c>
      <c r="DC88" s="228">
        <v>-1.56</v>
      </c>
      <c r="DD88" s="228">
        <v>-1.56</v>
      </c>
      <c r="DE88" s="228">
        <v>57.92</v>
      </c>
      <c r="DF88" s="228">
        <v>58.02</v>
      </c>
      <c r="DG88" s="228">
        <v>-14.28</v>
      </c>
      <c r="DH88" s="228">
        <v>-0.1</v>
      </c>
      <c r="DI88" s="228">
        <v>43.49</v>
      </c>
      <c r="DJ88" s="228">
        <v>43.46</v>
      </c>
      <c r="DK88" s="228">
        <v>0.03</v>
      </c>
      <c r="DL88" s="228">
        <v>0.03</v>
      </c>
      <c r="DM88" s="228">
        <v>43.98</v>
      </c>
      <c r="DN88" s="228">
        <v>46.92</v>
      </c>
      <c r="DO88" s="228">
        <v>-2.94</v>
      </c>
      <c r="DP88" s="228">
        <v>-2.94</v>
      </c>
      <c r="DQ88" s="228">
        <v>0.6</v>
      </c>
      <c r="DR88" s="228">
        <v>0.56000000000000005</v>
      </c>
      <c r="DS88" s="228">
        <v>0.04</v>
      </c>
      <c r="DT88" s="229">
        <v>7.1400000000000005E-2</v>
      </c>
      <c r="DU88" s="228">
        <v>90</v>
      </c>
      <c r="DV88" s="228">
        <v>80</v>
      </c>
      <c r="DW88" s="228">
        <v>0.62</v>
      </c>
      <c r="DX88" s="228">
        <v>0.97</v>
      </c>
      <c r="DY88" s="228">
        <v>-0.35</v>
      </c>
      <c r="DZ88" s="229">
        <v>-0.36080000000000001</v>
      </c>
      <c r="EA88" s="229">
        <v>0.95440000000000003</v>
      </c>
      <c r="EB88" s="230">
        <v>63964650</v>
      </c>
      <c r="EC88" s="229">
        <v>4.4000000000000003E-3</v>
      </c>
      <c r="ED88" s="229">
        <v>0.95440000000000003</v>
      </c>
      <c r="EE88" s="228">
        <v>0.35</v>
      </c>
      <c r="EF88" s="229">
        <v>4.5999999999999999E-3</v>
      </c>
      <c r="EG88" s="230">
        <v>6327756</v>
      </c>
      <c r="EH88" s="230">
        <v>1989133</v>
      </c>
      <c r="EI88" s="229">
        <v>2.1812</v>
      </c>
      <c r="EJ88" s="229">
        <v>0.49619999999999997</v>
      </c>
      <c r="EK88" s="228">
        <v>141.62</v>
      </c>
      <c r="EL88" s="228">
        <v>86.17</v>
      </c>
      <c r="EM88" s="228">
        <v>460.41</v>
      </c>
      <c r="EN88" s="228">
        <v>0</v>
      </c>
      <c r="EO88" s="228">
        <v>688.19</v>
      </c>
      <c r="EP88" s="228">
        <v>497.79</v>
      </c>
      <c r="EQ88" s="228">
        <v>190.4</v>
      </c>
      <c r="ER88" s="229">
        <v>0.38250000000000001</v>
      </c>
      <c r="ES88" s="228">
        <v>183.37</v>
      </c>
      <c r="ET88" s="228">
        <v>104.27</v>
      </c>
      <c r="EU88" s="228">
        <v>633.53</v>
      </c>
      <c r="EV88" s="231">
        <v>189248684</v>
      </c>
      <c r="EW88" s="228">
        <v>921.17</v>
      </c>
      <c r="EX88" s="231">
        <v>1239.1199999999999</v>
      </c>
      <c r="EY88" s="228">
        <v>-317.95</v>
      </c>
      <c r="EZ88" s="229">
        <v>-0.25659999999999999</v>
      </c>
      <c r="FA88" s="229">
        <v>0.62549999999999994</v>
      </c>
      <c r="FB88" s="227" t="s">
        <v>567</v>
      </c>
      <c r="FC88">
        <f t="shared" si="1"/>
        <v>603</v>
      </c>
    </row>
    <row r="89" spans="1:159" ht="17.25" thickBot="1" x14ac:dyDescent="0.3">
      <c r="A89" s="226">
        <v>45869</v>
      </c>
      <c r="B89" s="227" t="s">
        <v>227</v>
      </c>
      <c r="C89" s="227" t="s">
        <v>228</v>
      </c>
      <c r="D89" s="228">
        <v>1400</v>
      </c>
      <c r="E89" s="228">
        <v>0</v>
      </c>
      <c r="F89" s="228">
        <v>680.2</v>
      </c>
      <c r="G89" s="228">
        <v>687.4</v>
      </c>
      <c r="H89" s="228">
        <v>-7.2</v>
      </c>
      <c r="I89" s="229">
        <v>-1.0500000000000001E-2</v>
      </c>
      <c r="J89" s="228">
        <v>683.05</v>
      </c>
      <c r="K89" s="228">
        <v>688.8</v>
      </c>
      <c r="L89" s="228">
        <v>-5.75</v>
      </c>
      <c r="M89" s="229">
        <v>-8.3000000000000001E-3</v>
      </c>
      <c r="N89" s="228">
        <v>682.35</v>
      </c>
      <c r="O89" s="228">
        <v>688.7</v>
      </c>
      <c r="P89" s="228">
        <v>-6.35</v>
      </c>
      <c r="Q89" s="229">
        <v>-9.1999999999999998E-3</v>
      </c>
      <c r="R89" s="228">
        <v>680.2</v>
      </c>
      <c r="S89" s="228">
        <v>687.4</v>
      </c>
      <c r="T89" s="228">
        <v>-7.2</v>
      </c>
      <c r="U89" s="229">
        <v>-1.0500000000000001E-2</v>
      </c>
      <c r="V89" s="228">
        <v>684.25</v>
      </c>
      <c r="W89" s="228">
        <v>691.25</v>
      </c>
      <c r="X89" s="228">
        <v>-7</v>
      </c>
      <c r="Y89" s="229">
        <v>-1.01E-2</v>
      </c>
      <c r="Z89" s="228">
        <v>-2.85</v>
      </c>
      <c r="AA89" s="228">
        <v>-0.1</v>
      </c>
      <c r="AB89" s="228">
        <v>-2.75</v>
      </c>
      <c r="AC89" s="229">
        <v>-4.1999999999999997E-3</v>
      </c>
      <c r="AD89" s="228">
        <v>-0.7</v>
      </c>
      <c r="AE89" s="228">
        <v>-0.1</v>
      </c>
      <c r="AF89" s="228">
        <v>-0.6</v>
      </c>
      <c r="AG89" s="229">
        <v>-1E-3</v>
      </c>
      <c r="AH89" s="228">
        <v>-2.85</v>
      </c>
      <c r="AI89" s="228">
        <v>-1.4</v>
      </c>
      <c r="AJ89" s="228">
        <v>-1.45</v>
      </c>
      <c r="AK89" s="229">
        <v>-4.1999999999999997E-3</v>
      </c>
      <c r="AL89" s="228">
        <v>1.2</v>
      </c>
      <c r="AM89" s="228">
        <v>2.4500000000000002</v>
      </c>
      <c r="AN89" s="228">
        <v>-1.25</v>
      </c>
      <c r="AO89" s="229">
        <v>1.8E-3</v>
      </c>
      <c r="AP89" s="228">
        <v>685.2</v>
      </c>
      <c r="AQ89" s="228">
        <v>682.97</v>
      </c>
      <c r="AR89" s="228">
        <v>0</v>
      </c>
      <c r="AS89" s="230">
        <v>1361</v>
      </c>
      <c r="AT89" s="230">
        <v>2074</v>
      </c>
      <c r="AU89" s="228">
        <v>-713</v>
      </c>
      <c r="AV89" s="229">
        <v>-0.34360000000000002</v>
      </c>
      <c r="AW89" s="228">
        <v>476</v>
      </c>
      <c r="AX89" s="228">
        <v>995</v>
      </c>
      <c r="AY89" s="228">
        <v>-519</v>
      </c>
      <c r="AZ89" s="229">
        <v>-0.52159999999999995</v>
      </c>
      <c r="BA89" s="228">
        <v>871</v>
      </c>
      <c r="BB89" s="230">
        <v>1066</v>
      </c>
      <c r="BC89" s="228">
        <v>-194</v>
      </c>
      <c r="BD89" s="229">
        <v>-0.18240000000000001</v>
      </c>
      <c r="BE89" s="228">
        <v>14</v>
      </c>
      <c r="BF89" s="228">
        <v>13</v>
      </c>
      <c r="BG89" s="228">
        <v>1</v>
      </c>
      <c r="BH89" s="229">
        <v>5.7099999999999998E-2</v>
      </c>
      <c r="BI89" s="228">
        <v>724</v>
      </c>
      <c r="BJ89" s="228">
        <v>767</v>
      </c>
      <c r="BK89" s="228">
        <v>-43</v>
      </c>
      <c r="BL89" s="229">
        <v>-5.6000000000000001E-2</v>
      </c>
      <c r="BM89" s="228">
        <v>733</v>
      </c>
      <c r="BN89" s="228">
        <v>525</v>
      </c>
      <c r="BO89" s="228">
        <v>209</v>
      </c>
      <c r="BP89" s="229">
        <v>0.39760000000000001</v>
      </c>
      <c r="BQ89" s="230">
        <v>2819</v>
      </c>
      <c r="BR89" s="230">
        <v>3366</v>
      </c>
      <c r="BS89" s="228">
        <v>-547</v>
      </c>
      <c r="BT89" s="229">
        <v>-0.16250000000000001</v>
      </c>
      <c r="BU89" s="230">
        <v>6461649</v>
      </c>
      <c r="BV89" s="230">
        <v>2876564</v>
      </c>
      <c r="BW89" s="230">
        <v>3585085</v>
      </c>
      <c r="BX89" s="229">
        <v>1.2463</v>
      </c>
      <c r="BY89" s="230">
        <v>3104</v>
      </c>
      <c r="BZ89" s="230">
        <v>3354</v>
      </c>
      <c r="CA89" s="228">
        <v>-249</v>
      </c>
      <c r="CB89" s="229">
        <v>-7.4399999999999994E-2</v>
      </c>
      <c r="CC89" s="228">
        <v>160</v>
      </c>
      <c r="CD89" s="228">
        <v>333</v>
      </c>
      <c r="CE89" s="228">
        <v>-173</v>
      </c>
      <c r="CF89" s="229">
        <v>-0.51919999999999999</v>
      </c>
      <c r="CG89" s="230">
        <v>3084</v>
      </c>
      <c r="CH89" s="230">
        <v>3003</v>
      </c>
      <c r="CI89" s="228">
        <v>81</v>
      </c>
      <c r="CJ89" s="229">
        <v>2.7E-2</v>
      </c>
      <c r="CK89" s="228">
        <v>20</v>
      </c>
      <c r="CL89" s="228">
        <v>18</v>
      </c>
      <c r="CM89" s="228">
        <v>3</v>
      </c>
      <c r="CN89" s="229">
        <v>0.14360000000000001</v>
      </c>
      <c r="CO89" s="228">
        <v>309</v>
      </c>
      <c r="CP89" s="230">
        <v>1021</v>
      </c>
      <c r="CQ89" s="228">
        <v>-712</v>
      </c>
      <c r="CR89" s="229">
        <v>-0.69730000000000003</v>
      </c>
      <c r="CS89" s="228">
        <v>266</v>
      </c>
      <c r="CT89" s="228">
        <v>595</v>
      </c>
      <c r="CU89" s="228">
        <v>-328</v>
      </c>
      <c r="CV89" s="229">
        <v>-0.55210000000000004</v>
      </c>
      <c r="CW89" s="230">
        <v>3680</v>
      </c>
      <c r="CX89" s="230">
        <v>4970</v>
      </c>
      <c r="CY89" s="230">
        <v>-1290</v>
      </c>
      <c r="CZ89" s="229">
        <v>-0.2596</v>
      </c>
      <c r="DA89" s="228">
        <v>27.77</v>
      </c>
      <c r="DB89" s="228">
        <v>27.23</v>
      </c>
      <c r="DC89" s="228">
        <v>0.54</v>
      </c>
      <c r="DD89" s="228">
        <v>0.54</v>
      </c>
      <c r="DE89" s="228">
        <v>35.29</v>
      </c>
      <c r="DF89" s="228">
        <v>35.36</v>
      </c>
      <c r="DG89" s="228">
        <v>-7.52</v>
      </c>
      <c r="DH89" s="228">
        <v>-7.0000000000000007E-2</v>
      </c>
      <c r="DI89" s="228">
        <v>28.05</v>
      </c>
      <c r="DJ89" s="228">
        <v>27.35</v>
      </c>
      <c r="DK89" s="228">
        <v>0.7</v>
      </c>
      <c r="DL89" s="228">
        <v>0.7</v>
      </c>
      <c r="DM89" s="228">
        <v>27.48</v>
      </c>
      <c r="DN89" s="228">
        <v>27.08</v>
      </c>
      <c r="DO89" s="228">
        <v>0.4</v>
      </c>
      <c r="DP89" s="228">
        <v>0.4</v>
      </c>
      <c r="DQ89" s="228">
        <v>0.86</v>
      </c>
      <c r="DR89" s="228">
        <v>0.57999999999999996</v>
      </c>
      <c r="DS89" s="228">
        <v>0.28000000000000003</v>
      </c>
      <c r="DT89" s="229">
        <v>0.48280000000000001</v>
      </c>
      <c r="DU89" s="228">
        <v>730</v>
      </c>
      <c r="DV89" s="228">
        <v>670</v>
      </c>
      <c r="DW89" s="228">
        <v>1.01</v>
      </c>
      <c r="DX89" s="228">
        <v>0.68</v>
      </c>
      <c r="DY89" s="228">
        <v>0.33</v>
      </c>
      <c r="DZ89" s="229">
        <v>0.48530000000000001</v>
      </c>
      <c r="EA89" s="229">
        <v>0.95099999999999996</v>
      </c>
      <c r="EB89" s="230">
        <v>44408000</v>
      </c>
      <c r="EC89" s="229">
        <v>-3.2000000000000002E-3</v>
      </c>
      <c r="ED89" s="229">
        <v>0.95099999999999996</v>
      </c>
      <c r="EE89" s="228">
        <v>-2.23</v>
      </c>
      <c r="EF89" s="229">
        <v>-3.3E-3</v>
      </c>
      <c r="EG89" s="230">
        <v>3699620</v>
      </c>
      <c r="EH89" s="230">
        <v>1585368</v>
      </c>
      <c r="EI89" s="229">
        <v>1.3335999999999999</v>
      </c>
      <c r="EJ89" s="229">
        <v>0.5726</v>
      </c>
      <c r="EK89" s="228">
        <v>761.92</v>
      </c>
      <c r="EL89" s="228">
        <v>732.12</v>
      </c>
      <c r="EM89" s="231">
        <v>1368.56</v>
      </c>
      <c r="EN89" s="228">
        <v>0</v>
      </c>
      <c r="EO89" s="231">
        <v>2862.6</v>
      </c>
      <c r="EP89" s="231">
        <v>3426.15</v>
      </c>
      <c r="EQ89" s="228">
        <v>-563.54999999999995</v>
      </c>
      <c r="ER89" s="229">
        <v>-0.16450000000000001</v>
      </c>
      <c r="ES89" s="228">
        <v>326.58999999999997</v>
      </c>
      <c r="ET89" s="228">
        <v>257.81</v>
      </c>
      <c r="EU89" s="231">
        <v>3104.27</v>
      </c>
      <c r="EV89" s="231">
        <v>291659008</v>
      </c>
      <c r="EW89" s="231">
        <v>3688.67</v>
      </c>
      <c r="EX89" s="231">
        <v>5046.0600000000004</v>
      </c>
      <c r="EY89" s="231">
        <v>-1357.39</v>
      </c>
      <c r="EZ89" s="229">
        <v>-0.26900000000000002</v>
      </c>
      <c r="FA89" s="229">
        <v>0.1855</v>
      </c>
      <c r="FB89" s="227" t="s">
        <v>568</v>
      </c>
      <c r="FC89">
        <f t="shared" si="1"/>
        <v>2944</v>
      </c>
    </row>
    <row r="90" spans="1:159" ht="17.25" thickBot="1" x14ac:dyDescent="0.3">
      <c r="A90" s="226">
        <v>45869</v>
      </c>
      <c r="B90" s="227" t="s">
        <v>227</v>
      </c>
      <c r="C90" s="227" t="s">
        <v>547</v>
      </c>
      <c r="D90" s="228">
        <v>2650</v>
      </c>
      <c r="E90" s="228">
        <v>0</v>
      </c>
      <c r="F90" s="228">
        <v>0</v>
      </c>
      <c r="G90" s="228">
        <v>0</v>
      </c>
      <c r="H90" s="228">
        <v>0</v>
      </c>
      <c r="I90" s="229">
        <v>0</v>
      </c>
      <c r="J90" s="228">
        <v>243.35</v>
      </c>
      <c r="K90" s="228">
        <v>258.35000000000002</v>
      </c>
      <c r="L90" s="228">
        <v>-15</v>
      </c>
      <c r="M90" s="229">
        <v>-5.8099999999999999E-2</v>
      </c>
      <c r="N90" s="228">
        <v>243.2</v>
      </c>
      <c r="O90" s="228">
        <v>257.95</v>
      </c>
      <c r="P90" s="228">
        <v>-14.75</v>
      </c>
      <c r="Q90" s="229">
        <v>-5.7200000000000001E-2</v>
      </c>
      <c r="R90" s="228">
        <v>0</v>
      </c>
      <c r="S90" s="228">
        <v>0</v>
      </c>
      <c r="T90" s="228">
        <v>0</v>
      </c>
      <c r="U90" s="229">
        <v>0</v>
      </c>
      <c r="V90" s="228">
        <v>0</v>
      </c>
      <c r="W90" s="228">
        <v>0</v>
      </c>
      <c r="X90" s="228">
        <v>0</v>
      </c>
      <c r="Y90" s="229">
        <v>0</v>
      </c>
      <c r="Z90" s="228">
        <v>0</v>
      </c>
      <c r="AA90" s="228">
        <v>-0.4</v>
      </c>
      <c r="AB90" s="228">
        <v>0</v>
      </c>
      <c r="AC90" s="229">
        <v>0</v>
      </c>
      <c r="AD90" s="228">
        <v>-0.15</v>
      </c>
      <c r="AE90" s="228">
        <v>-0.4</v>
      </c>
      <c r="AF90" s="228">
        <v>0.25</v>
      </c>
      <c r="AG90" s="229">
        <v>-5.9999999999999995E-4</v>
      </c>
      <c r="AH90" s="228">
        <v>0</v>
      </c>
      <c r="AI90" s="228">
        <v>0</v>
      </c>
      <c r="AJ90" s="228">
        <v>0</v>
      </c>
      <c r="AK90" s="229">
        <v>0</v>
      </c>
      <c r="AL90" s="228">
        <v>0</v>
      </c>
      <c r="AM90" s="228">
        <v>0</v>
      </c>
      <c r="AN90" s="228">
        <v>0</v>
      </c>
      <c r="AO90" s="229">
        <v>0</v>
      </c>
      <c r="AP90" s="228">
        <v>246.31</v>
      </c>
      <c r="AQ90" s="228">
        <v>0</v>
      </c>
      <c r="AR90" s="228">
        <v>0</v>
      </c>
      <c r="AS90" s="228">
        <v>0</v>
      </c>
      <c r="AT90" s="228">
        <v>0</v>
      </c>
      <c r="AU90" s="228">
        <v>0</v>
      </c>
      <c r="AV90" s="229">
        <v>6.25E-2</v>
      </c>
      <c r="AW90" s="228">
        <v>0</v>
      </c>
      <c r="AX90" s="228">
        <v>0</v>
      </c>
      <c r="AY90" s="228">
        <v>0</v>
      </c>
      <c r="AZ90" s="229">
        <v>6.25E-2</v>
      </c>
      <c r="BA90" s="228">
        <v>0</v>
      </c>
      <c r="BB90" s="228">
        <v>0</v>
      </c>
      <c r="BC90" s="228">
        <v>0</v>
      </c>
      <c r="BD90" s="229">
        <v>0</v>
      </c>
      <c r="BE90" s="228">
        <v>0</v>
      </c>
      <c r="BF90" s="228">
        <v>0</v>
      </c>
      <c r="BG90" s="228">
        <v>0</v>
      </c>
      <c r="BH90" s="229">
        <v>0</v>
      </c>
      <c r="BI90" s="228">
        <v>0</v>
      </c>
      <c r="BJ90" s="228">
        <v>0</v>
      </c>
      <c r="BK90" s="228">
        <v>0</v>
      </c>
      <c r="BL90" s="229">
        <v>-0.58289999999999997</v>
      </c>
      <c r="BM90" s="228">
        <v>0</v>
      </c>
      <c r="BN90" s="228">
        <v>0</v>
      </c>
      <c r="BO90" s="228">
        <v>0</v>
      </c>
      <c r="BP90" s="229">
        <v>-9.6299999999999997E-2</v>
      </c>
      <c r="BQ90" s="228">
        <v>0</v>
      </c>
      <c r="BR90" s="228">
        <v>0</v>
      </c>
      <c r="BS90" s="228">
        <v>0</v>
      </c>
      <c r="BT90" s="229">
        <v>-0.22409999999999999</v>
      </c>
      <c r="BU90" s="230">
        <v>14931637</v>
      </c>
      <c r="BV90" s="230">
        <v>12766780</v>
      </c>
      <c r="BW90" s="230">
        <v>2164857</v>
      </c>
      <c r="BX90" s="229">
        <v>0.1696</v>
      </c>
      <c r="BY90" s="228">
        <v>0</v>
      </c>
      <c r="BZ90" s="228">
        <v>0</v>
      </c>
      <c r="CA90" s="228">
        <v>0</v>
      </c>
      <c r="CB90" s="229">
        <v>-1</v>
      </c>
      <c r="CC90" s="228">
        <v>0</v>
      </c>
      <c r="CD90" s="228">
        <v>0</v>
      </c>
      <c r="CE90" s="228">
        <v>0</v>
      </c>
      <c r="CF90" s="229">
        <v>-0.53580000000000005</v>
      </c>
      <c r="CG90" s="228">
        <v>0</v>
      </c>
      <c r="CH90" s="228">
        <v>0</v>
      </c>
      <c r="CI90" s="228">
        <v>0</v>
      </c>
      <c r="CJ90" s="229">
        <v>0</v>
      </c>
      <c r="CK90" s="228">
        <v>0</v>
      </c>
      <c r="CL90" s="228">
        <v>0</v>
      </c>
      <c r="CM90" s="228">
        <v>0</v>
      </c>
      <c r="CN90" s="229">
        <v>0</v>
      </c>
      <c r="CO90" s="228">
        <v>0</v>
      </c>
      <c r="CP90" s="228">
        <v>0</v>
      </c>
      <c r="CQ90" s="228">
        <v>0</v>
      </c>
      <c r="CR90" s="229">
        <v>-6.8099999999999994E-2</v>
      </c>
      <c r="CS90" s="228">
        <v>0</v>
      </c>
      <c r="CT90" s="228">
        <v>0</v>
      </c>
      <c r="CU90" s="228">
        <v>0</v>
      </c>
      <c r="CV90" s="229">
        <v>-0.2223</v>
      </c>
      <c r="CW90" s="228">
        <v>0</v>
      </c>
      <c r="CX90" s="228">
        <v>0</v>
      </c>
      <c r="CY90" s="228">
        <v>0</v>
      </c>
      <c r="CZ90" s="229">
        <v>-0.52349999999999997</v>
      </c>
      <c r="DA90" s="228">
        <v>55.62</v>
      </c>
      <c r="DB90" s="228">
        <v>55.62</v>
      </c>
      <c r="DC90" s="228">
        <v>0</v>
      </c>
      <c r="DD90" s="228">
        <v>0</v>
      </c>
      <c r="DE90" s="228">
        <v>55.62</v>
      </c>
      <c r="DF90" s="228">
        <v>55.62</v>
      </c>
      <c r="DG90" s="228">
        <v>0</v>
      </c>
      <c r="DH90" s="228">
        <v>0</v>
      </c>
      <c r="DI90" s="228">
        <v>55.62</v>
      </c>
      <c r="DJ90" s="228">
        <v>55.62</v>
      </c>
      <c r="DK90" s="228">
        <v>0</v>
      </c>
      <c r="DL90" s="228">
        <v>0</v>
      </c>
      <c r="DM90" s="228">
        <v>55.62</v>
      </c>
      <c r="DN90" s="228">
        <v>55.62</v>
      </c>
      <c r="DO90" s="228">
        <v>0</v>
      </c>
      <c r="DP90" s="228">
        <v>0</v>
      </c>
      <c r="DQ90" s="228">
        <v>0.42</v>
      </c>
      <c r="DR90" s="228">
        <v>0.51</v>
      </c>
      <c r="DS90" s="228">
        <v>-0.09</v>
      </c>
      <c r="DT90" s="229">
        <v>-0.17649999999999999</v>
      </c>
      <c r="DU90" s="228">
        <v>280</v>
      </c>
      <c r="DV90" s="228">
        <v>260</v>
      </c>
      <c r="DW90" s="228">
        <v>1.1000000000000001</v>
      </c>
      <c r="DX90" s="228">
        <v>0.51</v>
      </c>
      <c r="DY90" s="228">
        <v>0.59</v>
      </c>
      <c r="DZ90" s="229">
        <v>1.1569</v>
      </c>
      <c r="EA90" s="229">
        <v>0</v>
      </c>
      <c r="EB90" s="228">
        <v>0</v>
      </c>
      <c r="EC90" s="229">
        <v>0</v>
      </c>
      <c r="ED90" s="229">
        <v>0</v>
      </c>
      <c r="EE90" s="228">
        <v>0</v>
      </c>
      <c r="EF90" s="229">
        <v>0</v>
      </c>
      <c r="EG90" s="230">
        <v>7383805</v>
      </c>
      <c r="EH90" s="230">
        <v>6464370</v>
      </c>
      <c r="EI90" s="229">
        <v>0.14219999999999999</v>
      </c>
      <c r="EJ90" s="229">
        <v>0.4945</v>
      </c>
      <c r="EK90" s="228">
        <v>112.76</v>
      </c>
      <c r="EL90" s="228">
        <v>119.27</v>
      </c>
      <c r="EM90" s="228">
        <v>276.16000000000003</v>
      </c>
      <c r="EN90" s="228">
        <v>0</v>
      </c>
      <c r="EO90" s="228">
        <v>508.19</v>
      </c>
      <c r="EP90" s="228">
        <v>680.74</v>
      </c>
      <c r="EQ90" s="228">
        <v>-172.55</v>
      </c>
      <c r="ER90" s="229">
        <v>-0.2535</v>
      </c>
      <c r="ES90" s="228">
        <v>0</v>
      </c>
      <c r="ET90" s="228">
        <v>0</v>
      </c>
      <c r="EU90" s="228">
        <v>0</v>
      </c>
      <c r="EV90" s="231">
        <v>65482129</v>
      </c>
      <c r="EW90" s="228">
        <v>0</v>
      </c>
      <c r="EX90" s="228">
        <v>625.45000000000005</v>
      </c>
      <c r="EY90" s="228">
        <v>-625.45000000000005</v>
      </c>
      <c r="EZ90" s="229">
        <v>-1</v>
      </c>
      <c r="FA90" s="229">
        <v>0.17050000000000001</v>
      </c>
      <c r="FB90" s="227" t="s">
        <v>237</v>
      </c>
      <c r="FC90">
        <f t="shared" si="1"/>
        <v>0</v>
      </c>
    </row>
    <row r="91" spans="1:159" ht="17.25" thickBot="1" x14ac:dyDescent="0.3">
      <c r="A91" s="226">
        <v>45869</v>
      </c>
      <c r="B91" s="227" t="s">
        <v>193</v>
      </c>
      <c r="C91" s="227" t="s">
        <v>229</v>
      </c>
      <c r="D91" s="228">
        <v>2025</v>
      </c>
      <c r="E91" s="228">
        <v>0</v>
      </c>
      <c r="F91" s="228">
        <v>418.45</v>
      </c>
      <c r="G91" s="228">
        <v>428.75</v>
      </c>
      <c r="H91" s="228">
        <v>-10.3</v>
      </c>
      <c r="I91" s="229">
        <v>-2.4E-2</v>
      </c>
      <c r="J91" s="228">
        <v>418.45</v>
      </c>
      <c r="K91" s="228">
        <v>426.25</v>
      </c>
      <c r="L91" s="228">
        <v>-7.8</v>
      </c>
      <c r="M91" s="229">
        <v>-1.83E-2</v>
      </c>
      <c r="N91" s="228">
        <v>418.5</v>
      </c>
      <c r="O91" s="228">
        <v>426.2</v>
      </c>
      <c r="P91" s="228">
        <v>-7.7</v>
      </c>
      <c r="Q91" s="229">
        <v>-1.8100000000000002E-2</v>
      </c>
      <c r="R91" s="228">
        <v>418.45</v>
      </c>
      <c r="S91" s="228">
        <v>428.75</v>
      </c>
      <c r="T91" s="228">
        <v>-10.3</v>
      </c>
      <c r="U91" s="229">
        <v>-2.4E-2</v>
      </c>
      <c r="V91" s="228">
        <v>420.35</v>
      </c>
      <c r="W91" s="228">
        <v>430.95</v>
      </c>
      <c r="X91" s="228">
        <v>-10.6</v>
      </c>
      <c r="Y91" s="229">
        <v>-2.46E-2</v>
      </c>
      <c r="Z91" s="228">
        <v>0</v>
      </c>
      <c r="AA91" s="228">
        <v>-0.05</v>
      </c>
      <c r="AB91" s="228">
        <v>0.05</v>
      </c>
      <c r="AC91" s="229">
        <v>0</v>
      </c>
      <c r="AD91" s="228">
        <v>0.05</v>
      </c>
      <c r="AE91" s="228">
        <v>-0.05</v>
      </c>
      <c r="AF91" s="228">
        <v>0.1</v>
      </c>
      <c r="AG91" s="229">
        <v>1E-4</v>
      </c>
      <c r="AH91" s="228">
        <v>0</v>
      </c>
      <c r="AI91" s="228">
        <v>2.5</v>
      </c>
      <c r="AJ91" s="228">
        <v>-2.5</v>
      </c>
      <c r="AK91" s="229">
        <v>0</v>
      </c>
      <c r="AL91" s="228">
        <v>1.9</v>
      </c>
      <c r="AM91" s="228">
        <v>4.7</v>
      </c>
      <c r="AN91" s="228">
        <v>-2.8</v>
      </c>
      <c r="AO91" s="229">
        <v>4.4999999999999997E-3</v>
      </c>
      <c r="AP91" s="228">
        <v>417.37</v>
      </c>
      <c r="AQ91" s="228">
        <v>417.88</v>
      </c>
      <c r="AR91" s="228">
        <v>0</v>
      </c>
      <c r="AS91" s="230">
        <v>1469</v>
      </c>
      <c r="AT91" s="230">
        <v>2386</v>
      </c>
      <c r="AU91" s="228">
        <v>-917</v>
      </c>
      <c r="AV91" s="229">
        <v>-0.38440000000000002</v>
      </c>
      <c r="AW91" s="228">
        <v>576</v>
      </c>
      <c r="AX91" s="230">
        <v>1033</v>
      </c>
      <c r="AY91" s="228">
        <v>-456</v>
      </c>
      <c r="AZ91" s="229">
        <v>-0.44190000000000002</v>
      </c>
      <c r="BA91" s="228">
        <v>885</v>
      </c>
      <c r="BB91" s="230">
        <v>1344</v>
      </c>
      <c r="BC91" s="228">
        <v>-459</v>
      </c>
      <c r="BD91" s="229">
        <v>-0.3412</v>
      </c>
      <c r="BE91" s="228">
        <v>7</v>
      </c>
      <c r="BF91" s="228">
        <v>9</v>
      </c>
      <c r="BG91" s="228">
        <v>-2</v>
      </c>
      <c r="BH91" s="229">
        <v>-0.2273</v>
      </c>
      <c r="BI91" s="228">
        <v>959</v>
      </c>
      <c r="BJ91" s="230">
        <v>2251</v>
      </c>
      <c r="BK91" s="230">
        <v>-1291</v>
      </c>
      <c r="BL91" s="229">
        <v>-0.57379999999999998</v>
      </c>
      <c r="BM91" s="228">
        <v>545</v>
      </c>
      <c r="BN91" s="230">
        <v>1024</v>
      </c>
      <c r="BO91" s="228">
        <v>-479</v>
      </c>
      <c r="BP91" s="229">
        <v>-0.46760000000000002</v>
      </c>
      <c r="BQ91" s="230">
        <v>2973</v>
      </c>
      <c r="BR91" s="230">
        <v>5661</v>
      </c>
      <c r="BS91" s="230">
        <v>-2687</v>
      </c>
      <c r="BT91" s="229">
        <v>-0.4748</v>
      </c>
      <c r="BU91" s="230">
        <v>10057221</v>
      </c>
      <c r="BV91" s="230">
        <v>7073298</v>
      </c>
      <c r="BW91" s="230">
        <v>2983923</v>
      </c>
      <c r="BX91" s="229">
        <v>0.4219</v>
      </c>
      <c r="BY91" s="230">
        <v>2248</v>
      </c>
      <c r="BZ91" s="230">
        <v>2705</v>
      </c>
      <c r="CA91" s="228">
        <v>-457</v>
      </c>
      <c r="CB91" s="229">
        <v>-0.1691</v>
      </c>
      <c r="CC91" s="228">
        <v>393</v>
      </c>
      <c r="CD91" s="228">
        <v>660</v>
      </c>
      <c r="CE91" s="228">
        <v>-267</v>
      </c>
      <c r="CF91" s="229">
        <v>-0.40500000000000003</v>
      </c>
      <c r="CG91" s="230">
        <v>2238</v>
      </c>
      <c r="CH91" s="230">
        <v>2036</v>
      </c>
      <c r="CI91" s="228">
        <v>202</v>
      </c>
      <c r="CJ91" s="229">
        <v>9.9199999999999997E-2</v>
      </c>
      <c r="CK91" s="228">
        <v>9</v>
      </c>
      <c r="CL91" s="228">
        <v>9</v>
      </c>
      <c r="CM91" s="228">
        <v>1</v>
      </c>
      <c r="CN91" s="229">
        <v>6.7299999999999999E-2</v>
      </c>
      <c r="CO91" s="228">
        <v>216</v>
      </c>
      <c r="CP91" s="228">
        <v>639</v>
      </c>
      <c r="CQ91" s="228">
        <v>-423</v>
      </c>
      <c r="CR91" s="229">
        <v>-0.66149999999999998</v>
      </c>
      <c r="CS91" s="228">
        <v>207</v>
      </c>
      <c r="CT91" s="228">
        <v>433</v>
      </c>
      <c r="CU91" s="228">
        <v>-226</v>
      </c>
      <c r="CV91" s="229">
        <v>-0.52129999999999999</v>
      </c>
      <c r="CW91" s="230">
        <v>2671</v>
      </c>
      <c r="CX91" s="230">
        <v>3777</v>
      </c>
      <c r="CY91" s="230">
        <v>-1106</v>
      </c>
      <c r="CZ91" s="229">
        <v>-0.2928</v>
      </c>
      <c r="DA91" s="228">
        <v>34.54</v>
      </c>
      <c r="DB91" s="228">
        <v>35.299999999999997</v>
      </c>
      <c r="DC91" s="228">
        <v>-0.76</v>
      </c>
      <c r="DD91" s="228">
        <v>-0.76</v>
      </c>
      <c r="DE91" s="228">
        <v>43.8</v>
      </c>
      <c r="DF91" s="228">
        <v>43.79</v>
      </c>
      <c r="DG91" s="228">
        <v>-9.26</v>
      </c>
      <c r="DH91" s="228">
        <v>0.01</v>
      </c>
      <c r="DI91" s="228">
        <v>34.25</v>
      </c>
      <c r="DJ91" s="228">
        <v>35.44</v>
      </c>
      <c r="DK91" s="228">
        <v>-1.19</v>
      </c>
      <c r="DL91" s="228">
        <v>-1.19</v>
      </c>
      <c r="DM91" s="228">
        <v>35.049999999999997</v>
      </c>
      <c r="DN91" s="228">
        <v>35.07</v>
      </c>
      <c r="DO91" s="228">
        <v>-0.02</v>
      </c>
      <c r="DP91" s="228">
        <v>-0.02</v>
      </c>
      <c r="DQ91" s="228">
        <v>0.96</v>
      </c>
      <c r="DR91" s="228">
        <v>0.68</v>
      </c>
      <c r="DS91" s="228">
        <v>0.28000000000000003</v>
      </c>
      <c r="DT91" s="229">
        <v>0.4118</v>
      </c>
      <c r="DU91" s="228">
        <v>450</v>
      </c>
      <c r="DV91" s="228">
        <v>400</v>
      </c>
      <c r="DW91" s="228">
        <v>0.56999999999999995</v>
      </c>
      <c r="DX91" s="228">
        <v>0.46</v>
      </c>
      <c r="DY91" s="228">
        <v>0.11</v>
      </c>
      <c r="DZ91" s="229">
        <v>0.23910000000000001</v>
      </c>
      <c r="EA91" s="229">
        <v>0.85129999999999995</v>
      </c>
      <c r="EB91" s="230">
        <v>48875400</v>
      </c>
      <c r="EC91" s="229">
        <v>-1E-4</v>
      </c>
      <c r="ED91" s="229">
        <v>0.85129999999999995</v>
      </c>
      <c r="EE91" s="228">
        <v>0.51</v>
      </c>
      <c r="EF91" s="229">
        <v>1.1999999999999999E-3</v>
      </c>
      <c r="EG91" s="230">
        <v>4434941</v>
      </c>
      <c r="EH91" s="230">
        <v>2749932</v>
      </c>
      <c r="EI91" s="229">
        <v>0.61270000000000002</v>
      </c>
      <c r="EJ91" s="229">
        <v>0.441</v>
      </c>
      <c r="EK91" s="231">
        <v>1010.07</v>
      </c>
      <c r="EL91" s="228">
        <v>549.88</v>
      </c>
      <c r="EM91" s="231">
        <v>1466.06</v>
      </c>
      <c r="EN91" s="228">
        <v>0</v>
      </c>
      <c r="EO91" s="231">
        <v>3026.01</v>
      </c>
      <c r="EP91" s="231">
        <v>5871</v>
      </c>
      <c r="EQ91" s="231">
        <v>-2844.99</v>
      </c>
      <c r="ER91" s="229">
        <v>-0.48459999999999998</v>
      </c>
      <c r="ES91" s="228">
        <v>231.34</v>
      </c>
      <c r="ET91" s="228">
        <v>202.27</v>
      </c>
      <c r="EU91" s="231">
        <v>2247.92</v>
      </c>
      <c r="EV91" s="231">
        <v>191910891</v>
      </c>
      <c r="EW91" s="231">
        <v>2681.53</v>
      </c>
      <c r="EX91" s="231">
        <v>3877.47</v>
      </c>
      <c r="EY91" s="231">
        <v>-1195.94</v>
      </c>
      <c r="EZ91" s="229">
        <v>-0.30840000000000001</v>
      </c>
      <c r="FA91" s="229">
        <v>0.33260000000000001</v>
      </c>
      <c r="FB91" s="227" t="s">
        <v>568</v>
      </c>
      <c r="FC91">
        <f t="shared" si="1"/>
        <v>1855</v>
      </c>
    </row>
    <row r="92" spans="1:159" ht="17.25" thickBot="1" x14ac:dyDescent="0.3">
      <c r="A92" s="226">
        <v>45869</v>
      </c>
      <c r="B92" s="227" t="s">
        <v>168</v>
      </c>
      <c r="C92" s="227" t="s">
        <v>230</v>
      </c>
      <c r="D92" s="228">
        <v>300</v>
      </c>
      <c r="E92" s="228">
        <v>0</v>
      </c>
      <c r="F92" s="231">
        <v>2532.5</v>
      </c>
      <c r="G92" s="231">
        <v>2450.8000000000002</v>
      </c>
      <c r="H92" s="228">
        <v>81.7</v>
      </c>
      <c r="I92" s="229">
        <v>3.3300000000000003E-2</v>
      </c>
      <c r="J92" s="231">
        <v>2521.1999999999998</v>
      </c>
      <c r="K92" s="231">
        <v>2437.4</v>
      </c>
      <c r="L92" s="228">
        <v>83.8</v>
      </c>
      <c r="M92" s="229">
        <v>3.44E-2</v>
      </c>
      <c r="N92" s="231">
        <v>2516.3000000000002</v>
      </c>
      <c r="O92" s="231">
        <v>2436.6999999999998</v>
      </c>
      <c r="P92" s="228">
        <v>79.599999999999994</v>
      </c>
      <c r="Q92" s="229">
        <v>3.27E-2</v>
      </c>
      <c r="R92" s="231">
        <v>2532.5</v>
      </c>
      <c r="S92" s="231">
        <v>2450.8000000000002</v>
      </c>
      <c r="T92" s="228">
        <v>81.7</v>
      </c>
      <c r="U92" s="229">
        <v>3.3300000000000003E-2</v>
      </c>
      <c r="V92" s="231">
        <v>2546.1</v>
      </c>
      <c r="W92" s="231">
        <v>2462.9</v>
      </c>
      <c r="X92" s="228">
        <v>83.2</v>
      </c>
      <c r="Y92" s="229">
        <v>3.3799999999999997E-2</v>
      </c>
      <c r="Z92" s="228">
        <v>11.3</v>
      </c>
      <c r="AA92" s="228">
        <v>-0.7</v>
      </c>
      <c r="AB92" s="228">
        <v>12</v>
      </c>
      <c r="AC92" s="229">
        <v>4.4999999999999997E-3</v>
      </c>
      <c r="AD92" s="228">
        <v>-4.9000000000000004</v>
      </c>
      <c r="AE92" s="228">
        <v>-0.7</v>
      </c>
      <c r="AF92" s="228">
        <v>-4.2</v>
      </c>
      <c r="AG92" s="229">
        <v>-1.9E-3</v>
      </c>
      <c r="AH92" s="228">
        <v>11.3</v>
      </c>
      <c r="AI92" s="228">
        <v>13.4</v>
      </c>
      <c r="AJ92" s="228">
        <v>-2.1</v>
      </c>
      <c r="AK92" s="229">
        <v>4.4999999999999997E-3</v>
      </c>
      <c r="AL92" s="228">
        <v>24.9</v>
      </c>
      <c r="AM92" s="228">
        <v>25.5</v>
      </c>
      <c r="AN92" s="228">
        <v>-0.6</v>
      </c>
      <c r="AO92" s="229">
        <v>9.9000000000000008E-3</v>
      </c>
      <c r="AP92" s="231">
        <v>2498.67</v>
      </c>
      <c r="AQ92" s="231">
        <v>2510.06</v>
      </c>
      <c r="AR92" s="228">
        <v>0</v>
      </c>
      <c r="AS92" s="230">
        <v>3908</v>
      </c>
      <c r="AT92" s="230">
        <v>3521</v>
      </c>
      <c r="AU92" s="228">
        <v>387</v>
      </c>
      <c r="AV92" s="229">
        <v>0.11</v>
      </c>
      <c r="AW92" s="230">
        <v>1244</v>
      </c>
      <c r="AX92" s="230">
        <v>1483</v>
      </c>
      <c r="AY92" s="228">
        <v>-239</v>
      </c>
      <c r="AZ92" s="229">
        <v>-0.16089999999999999</v>
      </c>
      <c r="BA92" s="230">
        <v>2628</v>
      </c>
      <c r="BB92" s="230">
        <v>2025</v>
      </c>
      <c r="BC92" s="228">
        <v>603</v>
      </c>
      <c r="BD92" s="229">
        <v>0.29780000000000001</v>
      </c>
      <c r="BE92" s="228">
        <v>36</v>
      </c>
      <c r="BF92" s="228">
        <v>13</v>
      </c>
      <c r="BG92" s="228">
        <v>23</v>
      </c>
      <c r="BH92" s="229">
        <v>1.7646999999999999</v>
      </c>
      <c r="BI92" s="230">
        <v>16695</v>
      </c>
      <c r="BJ92" s="230">
        <v>4219</v>
      </c>
      <c r="BK92" s="230">
        <v>12476</v>
      </c>
      <c r="BL92" s="229">
        <v>2.9567000000000001</v>
      </c>
      <c r="BM92" s="230">
        <v>7428</v>
      </c>
      <c r="BN92" s="230">
        <v>2947</v>
      </c>
      <c r="BO92" s="230">
        <v>4481</v>
      </c>
      <c r="BP92" s="229">
        <v>1.5206999999999999</v>
      </c>
      <c r="BQ92" s="230">
        <v>28032</v>
      </c>
      <c r="BR92" s="230">
        <v>10687</v>
      </c>
      <c r="BS92" s="230">
        <v>17344</v>
      </c>
      <c r="BT92" s="229">
        <v>1.6229</v>
      </c>
      <c r="BU92" s="230">
        <v>5718163</v>
      </c>
      <c r="BV92" s="230">
        <v>1263180</v>
      </c>
      <c r="BW92" s="230">
        <v>4454983</v>
      </c>
      <c r="BX92" s="229">
        <v>3.5268000000000002</v>
      </c>
      <c r="BY92" s="230">
        <v>3982</v>
      </c>
      <c r="BZ92" s="230">
        <v>4302</v>
      </c>
      <c r="CA92" s="228">
        <v>-320</v>
      </c>
      <c r="CB92" s="229">
        <v>-7.4399999999999994E-2</v>
      </c>
      <c r="CC92" s="228">
        <v>641</v>
      </c>
      <c r="CD92" s="228">
        <v>561</v>
      </c>
      <c r="CE92" s="228">
        <v>80</v>
      </c>
      <c r="CF92" s="229">
        <v>0.14199999999999999</v>
      </c>
      <c r="CG92" s="230">
        <v>3955</v>
      </c>
      <c r="CH92" s="230">
        <v>3713</v>
      </c>
      <c r="CI92" s="228">
        <v>242</v>
      </c>
      <c r="CJ92" s="229">
        <v>6.5000000000000002E-2</v>
      </c>
      <c r="CK92" s="228">
        <v>27</v>
      </c>
      <c r="CL92" s="228">
        <v>28</v>
      </c>
      <c r="CM92" s="228">
        <v>0</v>
      </c>
      <c r="CN92" s="229">
        <v>-1.0999999999999999E-2</v>
      </c>
      <c r="CO92" s="228">
        <v>822</v>
      </c>
      <c r="CP92" s="230">
        <v>2459</v>
      </c>
      <c r="CQ92" s="230">
        <v>-1638</v>
      </c>
      <c r="CR92" s="229">
        <v>-0.66590000000000005</v>
      </c>
      <c r="CS92" s="228">
        <v>770</v>
      </c>
      <c r="CT92" s="230">
        <v>1698</v>
      </c>
      <c r="CU92" s="228">
        <v>-928</v>
      </c>
      <c r="CV92" s="229">
        <v>-0.54649999999999999</v>
      </c>
      <c r="CW92" s="230">
        <v>5574</v>
      </c>
      <c r="CX92" s="230">
        <v>8459</v>
      </c>
      <c r="CY92" s="230">
        <v>-2886</v>
      </c>
      <c r="CZ92" s="229">
        <v>-0.34110000000000001</v>
      </c>
      <c r="DA92" s="228">
        <v>19.489999999999998</v>
      </c>
      <c r="DB92" s="228">
        <v>22.07</v>
      </c>
      <c r="DC92" s="228">
        <v>-2.58</v>
      </c>
      <c r="DD92" s="228">
        <v>-2.58</v>
      </c>
      <c r="DE92" s="228">
        <v>23.36</v>
      </c>
      <c r="DF92" s="228">
        <v>22.97</v>
      </c>
      <c r="DG92" s="228">
        <v>-3.87</v>
      </c>
      <c r="DH92" s="228">
        <v>0.39</v>
      </c>
      <c r="DI92" s="228">
        <v>19.14</v>
      </c>
      <c r="DJ92" s="228">
        <v>21.64</v>
      </c>
      <c r="DK92" s="228">
        <v>-2.5</v>
      </c>
      <c r="DL92" s="228">
        <v>-2.5</v>
      </c>
      <c r="DM92" s="228">
        <v>20.22</v>
      </c>
      <c r="DN92" s="228">
        <v>22.72</v>
      </c>
      <c r="DO92" s="228">
        <v>-2.5</v>
      </c>
      <c r="DP92" s="228">
        <v>-2.5</v>
      </c>
      <c r="DQ92" s="228">
        <v>0.94</v>
      </c>
      <c r="DR92" s="228">
        <v>0.69</v>
      </c>
      <c r="DS92" s="228">
        <v>0.25</v>
      </c>
      <c r="DT92" s="229">
        <v>0.36230000000000001</v>
      </c>
      <c r="DU92" s="231">
        <v>2560</v>
      </c>
      <c r="DV92" s="231">
        <v>2400</v>
      </c>
      <c r="DW92" s="228">
        <v>0.44</v>
      </c>
      <c r="DX92" s="228">
        <v>0.7</v>
      </c>
      <c r="DY92" s="228">
        <v>-0.26</v>
      </c>
      <c r="DZ92" s="229">
        <v>-0.37140000000000001</v>
      </c>
      <c r="EA92" s="229">
        <v>0.86129999999999995</v>
      </c>
      <c r="EB92" s="230">
        <v>14771400</v>
      </c>
      <c r="EC92" s="229">
        <v>6.4000000000000003E-3</v>
      </c>
      <c r="ED92" s="229">
        <v>0.86129999999999995</v>
      </c>
      <c r="EE92" s="228">
        <v>11.39</v>
      </c>
      <c r="EF92" s="229">
        <v>4.5999999999999999E-3</v>
      </c>
      <c r="EG92" s="230">
        <v>1916013</v>
      </c>
      <c r="EH92" s="230">
        <v>612973</v>
      </c>
      <c r="EI92" s="229">
        <v>2.1257999999999999</v>
      </c>
      <c r="EJ92" s="229">
        <v>0.33510000000000001</v>
      </c>
      <c r="EK92" s="231">
        <v>16972.400000000001</v>
      </c>
      <c r="EL92" s="231">
        <v>7219.12</v>
      </c>
      <c r="EM92" s="231">
        <v>3868.13</v>
      </c>
      <c r="EN92" s="228">
        <v>0</v>
      </c>
      <c r="EO92" s="231">
        <v>28059.66</v>
      </c>
      <c r="EP92" s="231">
        <v>10341.86</v>
      </c>
      <c r="EQ92" s="231">
        <v>17717.8</v>
      </c>
      <c r="ER92" s="229">
        <v>1.7132000000000001</v>
      </c>
      <c r="ES92" s="228">
        <v>841.67</v>
      </c>
      <c r="ET92" s="228">
        <v>728.2</v>
      </c>
      <c r="EU92" s="231">
        <v>3982.22</v>
      </c>
      <c r="EV92" s="231">
        <v>179035680</v>
      </c>
      <c r="EW92" s="231">
        <v>5552.1</v>
      </c>
      <c r="EX92" s="231">
        <v>8157.57</v>
      </c>
      <c r="EY92" s="231">
        <v>-2605.4699999999998</v>
      </c>
      <c r="EZ92" s="229">
        <v>-0.31940000000000002</v>
      </c>
      <c r="FA92" s="229">
        <v>0.1229</v>
      </c>
      <c r="FB92" s="227" t="s">
        <v>556</v>
      </c>
      <c r="FC92">
        <f t="shared" si="1"/>
        <v>3341</v>
      </c>
    </row>
    <row r="93" spans="1:159" ht="17.25" thickBot="1" x14ac:dyDescent="0.3">
      <c r="A93" s="226">
        <v>45869</v>
      </c>
      <c r="B93" s="227" t="s">
        <v>227</v>
      </c>
      <c r="C93" s="227" t="s">
        <v>670</v>
      </c>
      <c r="D93" s="228">
        <v>1225</v>
      </c>
      <c r="E93" s="228">
        <v>0</v>
      </c>
      <c r="F93" s="228">
        <v>426.7</v>
      </c>
      <c r="G93" s="228">
        <v>434.7</v>
      </c>
      <c r="H93" s="228">
        <v>-8</v>
      </c>
      <c r="I93" s="229">
        <v>-1.84E-2</v>
      </c>
      <c r="J93" s="228">
        <v>424.05</v>
      </c>
      <c r="K93" s="228">
        <v>432.45</v>
      </c>
      <c r="L93" s="228">
        <v>-8.4</v>
      </c>
      <c r="M93" s="229">
        <v>-1.9400000000000001E-2</v>
      </c>
      <c r="N93" s="228">
        <v>424.8</v>
      </c>
      <c r="O93" s="228">
        <v>432.45</v>
      </c>
      <c r="P93" s="228">
        <v>-7.65</v>
      </c>
      <c r="Q93" s="229">
        <v>-1.77E-2</v>
      </c>
      <c r="R93" s="228">
        <v>426.7</v>
      </c>
      <c r="S93" s="228">
        <v>434.7</v>
      </c>
      <c r="T93" s="228">
        <v>-8</v>
      </c>
      <c r="U93" s="229">
        <v>-1.84E-2</v>
      </c>
      <c r="V93" s="228">
        <v>429.4</v>
      </c>
      <c r="W93" s="228">
        <v>437.45</v>
      </c>
      <c r="X93" s="228">
        <v>-8.0500000000000007</v>
      </c>
      <c r="Y93" s="229">
        <v>-1.84E-2</v>
      </c>
      <c r="Z93" s="228">
        <v>2.65</v>
      </c>
      <c r="AA93" s="228">
        <v>0</v>
      </c>
      <c r="AB93" s="228">
        <v>2.65</v>
      </c>
      <c r="AC93" s="229">
        <v>6.1999999999999998E-3</v>
      </c>
      <c r="AD93" s="228">
        <v>0.75</v>
      </c>
      <c r="AE93" s="228">
        <v>0</v>
      </c>
      <c r="AF93" s="228">
        <v>0.75</v>
      </c>
      <c r="AG93" s="229">
        <v>1.8E-3</v>
      </c>
      <c r="AH93" s="228">
        <v>2.65</v>
      </c>
      <c r="AI93" s="228">
        <v>2.25</v>
      </c>
      <c r="AJ93" s="228">
        <v>0.4</v>
      </c>
      <c r="AK93" s="229">
        <v>6.1999999999999998E-3</v>
      </c>
      <c r="AL93" s="228">
        <v>5.35</v>
      </c>
      <c r="AM93" s="228">
        <v>5</v>
      </c>
      <c r="AN93" s="228">
        <v>0.35</v>
      </c>
      <c r="AO93" s="229">
        <v>1.26E-2</v>
      </c>
      <c r="AP93" s="228">
        <v>427.73</v>
      </c>
      <c r="AQ93" s="228">
        <v>429.7</v>
      </c>
      <c r="AR93" s="228">
        <v>0</v>
      </c>
      <c r="AS93" s="228">
        <v>966</v>
      </c>
      <c r="AT93" s="228">
        <v>814</v>
      </c>
      <c r="AU93" s="228">
        <v>151</v>
      </c>
      <c r="AV93" s="229">
        <v>0.186</v>
      </c>
      <c r="AW93" s="228">
        <v>464</v>
      </c>
      <c r="AX93" s="228">
        <v>393</v>
      </c>
      <c r="AY93" s="228">
        <v>71</v>
      </c>
      <c r="AZ93" s="229">
        <v>0.18049999999999999</v>
      </c>
      <c r="BA93" s="228">
        <v>493</v>
      </c>
      <c r="BB93" s="228">
        <v>415</v>
      </c>
      <c r="BC93" s="228">
        <v>77</v>
      </c>
      <c r="BD93" s="229">
        <v>0.186</v>
      </c>
      <c r="BE93" s="228">
        <v>9</v>
      </c>
      <c r="BF93" s="228">
        <v>6</v>
      </c>
      <c r="BG93" s="228">
        <v>3</v>
      </c>
      <c r="BH93" s="229">
        <v>0.55859999999999999</v>
      </c>
      <c r="BI93" s="228">
        <v>295</v>
      </c>
      <c r="BJ93" s="228">
        <v>266</v>
      </c>
      <c r="BK93" s="228">
        <v>29</v>
      </c>
      <c r="BL93" s="229">
        <v>0.10920000000000001</v>
      </c>
      <c r="BM93" s="228">
        <v>228</v>
      </c>
      <c r="BN93" s="228">
        <v>130</v>
      </c>
      <c r="BO93" s="228">
        <v>97</v>
      </c>
      <c r="BP93" s="229">
        <v>0.74519999999999997</v>
      </c>
      <c r="BQ93" s="230">
        <v>1488</v>
      </c>
      <c r="BR93" s="230">
        <v>1211</v>
      </c>
      <c r="BS93" s="228">
        <v>278</v>
      </c>
      <c r="BT93" s="229">
        <v>0.22939999999999999</v>
      </c>
      <c r="BU93" s="230">
        <v>2364016</v>
      </c>
      <c r="BV93" s="230">
        <v>1420578</v>
      </c>
      <c r="BW93" s="230">
        <v>943438</v>
      </c>
      <c r="BX93" s="229">
        <v>0.66410000000000002</v>
      </c>
      <c r="BY93" s="230">
        <v>1330</v>
      </c>
      <c r="BZ93" s="230">
        <v>1484</v>
      </c>
      <c r="CA93" s="228">
        <v>-154</v>
      </c>
      <c r="CB93" s="229">
        <v>-0.1037</v>
      </c>
      <c r="CC93" s="228">
        <v>130</v>
      </c>
      <c r="CD93" s="228">
        <v>454</v>
      </c>
      <c r="CE93" s="228">
        <v>-324</v>
      </c>
      <c r="CF93" s="229">
        <v>-0.71450000000000002</v>
      </c>
      <c r="CG93" s="230">
        <v>1305</v>
      </c>
      <c r="CH93" s="230">
        <v>1010</v>
      </c>
      <c r="CI93" s="228">
        <v>295</v>
      </c>
      <c r="CJ93" s="229">
        <v>0.2918</v>
      </c>
      <c r="CK93" s="228">
        <v>25</v>
      </c>
      <c r="CL93" s="228">
        <v>20</v>
      </c>
      <c r="CM93" s="228">
        <v>5</v>
      </c>
      <c r="CN93" s="229">
        <v>0.27179999999999999</v>
      </c>
      <c r="CO93" s="228">
        <v>267</v>
      </c>
      <c r="CP93" s="228">
        <v>741</v>
      </c>
      <c r="CQ93" s="228">
        <v>-474</v>
      </c>
      <c r="CR93" s="229">
        <v>-0.63970000000000005</v>
      </c>
      <c r="CS93" s="228">
        <v>187</v>
      </c>
      <c r="CT93" s="228">
        <v>468</v>
      </c>
      <c r="CU93" s="228">
        <v>-281</v>
      </c>
      <c r="CV93" s="229">
        <v>-0.60019999999999996</v>
      </c>
      <c r="CW93" s="230">
        <v>1784</v>
      </c>
      <c r="CX93" s="230">
        <v>2693</v>
      </c>
      <c r="CY93" s="228">
        <v>-909</v>
      </c>
      <c r="CZ93" s="229">
        <v>-0.33750000000000002</v>
      </c>
      <c r="DA93" s="228">
        <v>26.01</v>
      </c>
      <c r="DB93" s="228">
        <v>24.62</v>
      </c>
      <c r="DC93" s="228">
        <v>1.39</v>
      </c>
      <c r="DD93" s="228">
        <v>1.39</v>
      </c>
      <c r="DE93" s="228">
        <v>46.85</v>
      </c>
      <c r="DF93" s="228">
        <v>46.9</v>
      </c>
      <c r="DG93" s="228">
        <v>-20.84</v>
      </c>
      <c r="DH93" s="228">
        <v>-0.05</v>
      </c>
      <c r="DI93" s="228">
        <v>25.15</v>
      </c>
      <c r="DJ93" s="228">
        <v>24.32</v>
      </c>
      <c r="DK93" s="228">
        <v>0.83</v>
      </c>
      <c r="DL93" s="228">
        <v>0.83</v>
      </c>
      <c r="DM93" s="228">
        <v>27.28</v>
      </c>
      <c r="DN93" s="228">
        <v>25.09</v>
      </c>
      <c r="DO93" s="228">
        <v>2.19</v>
      </c>
      <c r="DP93" s="228">
        <v>2.19</v>
      </c>
      <c r="DQ93" s="228">
        <v>0.7</v>
      </c>
      <c r="DR93" s="228">
        <v>0.63</v>
      </c>
      <c r="DS93" s="228">
        <v>7.0000000000000007E-2</v>
      </c>
      <c r="DT93" s="229">
        <v>0.1111</v>
      </c>
      <c r="DU93" s="228">
        <v>450</v>
      </c>
      <c r="DV93" s="228">
        <v>450</v>
      </c>
      <c r="DW93" s="228">
        <v>0.77</v>
      </c>
      <c r="DX93" s="228">
        <v>0.49</v>
      </c>
      <c r="DY93" s="228">
        <v>0.28000000000000003</v>
      </c>
      <c r="DZ93" s="229">
        <v>0.57140000000000002</v>
      </c>
      <c r="EA93" s="229">
        <v>0.91120000000000001</v>
      </c>
      <c r="EB93" s="230">
        <v>24131275</v>
      </c>
      <c r="EC93" s="229">
        <v>4.4999999999999997E-3</v>
      </c>
      <c r="ED93" s="229">
        <v>0.91120000000000001</v>
      </c>
      <c r="EE93" s="228">
        <v>1.97</v>
      </c>
      <c r="EF93" s="229">
        <v>4.5999999999999999E-3</v>
      </c>
      <c r="EG93" s="230">
        <v>1429409</v>
      </c>
      <c r="EH93" s="230">
        <v>829781</v>
      </c>
      <c r="EI93" s="229">
        <v>0.72260000000000002</v>
      </c>
      <c r="EJ93" s="229">
        <v>0.60470000000000002</v>
      </c>
      <c r="EK93" s="228">
        <v>312.89</v>
      </c>
      <c r="EL93" s="228">
        <v>240.8</v>
      </c>
      <c r="EM93" s="228">
        <v>970.62</v>
      </c>
      <c r="EN93" s="228">
        <v>0</v>
      </c>
      <c r="EO93" s="231">
        <v>1524.31</v>
      </c>
      <c r="EP93" s="231">
        <v>1253.04</v>
      </c>
      <c r="EQ93" s="228">
        <v>271.27</v>
      </c>
      <c r="ER93" s="229">
        <v>0.2165</v>
      </c>
      <c r="ES93" s="228">
        <v>291.51</v>
      </c>
      <c r="ET93" s="228">
        <v>191.18</v>
      </c>
      <c r="EU93" s="231">
        <v>1329.93</v>
      </c>
      <c r="EV93" s="231">
        <v>309154116</v>
      </c>
      <c r="EW93" s="231">
        <v>1812.62</v>
      </c>
      <c r="EX93" s="231">
        <v>2810.1</v>
      </c>
      <c r="EY93" s="228">
        <v>-997.48</v>
      </c>
      <c r="EZ93" s="229">
        <v>-0.35499999999999998</v>
      </c>
      <c r="FA93" s="229">
        <v>0.13519999999999999</v>
      </c>
      <c r="FB93" s="227" t="s">
        <v>568</v>
      </c>
      <c r="FC93">
        <f t="shared" si="1"/>
        <v>1200</v>
      </c>
    </row>
    <row r="94" spans="1:159" ht="17.25" thickBot="1" x14ac:dyDescent="0.3">
      <c r="A94" s="226">
        <v>45869</v>
      </c>
      <c r="B94" s="227" t="s">
        <v>206</v>
      </c>
      <c r="C94" s="227" t="s">
        <v>609</v>
      </c>
      <c r="D94" s="228">
        <v>2775</v>
      </c>
      <c r="E94" s="228">
        <v>0</v>
      </c>
      <c r="F94" s="228">
        <v>212.15</v>
      </c>
      <c r="G94" s="228">
        <v>216.96</v>
      </c>
      <c r="H94" s="228">
        <v>-4.8099999999999996</v>
      </c>
      <c r="I94" s="229">
        <v>-2.2200000000000001E-2</v>
      </c>
      <c r="J94" s="228">
        <v>212.27</v>
      </c>
      <c r="K94" s="228">
        <v>217.43</v>
      </c>
      <c r="L94" s="228">
        <v>-5.16</v>
      </c>
      <c r="M94" s="229">
        <v>-2.3699999999999999E-2</v>
      </c>
      <c r="N94" s="228">
        <v>211.95</v>
      </c>
      <c r="O94" s="228">
        <v>217</v>
      </c>
      <c r="P94" s="228">
        <v>-5.05</v>
      </c>
      <c r="Q94" s="229">
        <v>-2.3300000000000001E-2</v>
      </c>
      <c r="R94" s="228">
        <v>212.15</v>
      </c>
      <c r="S94" s="228">
        <v>216.96</v>
      </c>
      <c r="T94" s="228">
        <v>-4.8099999999999996</v>
      </c>
      <c r="U94" s="229">
        <v>-2.2200000000000001E-2</v>
      </c>
      <c r="V94" s="228">
        <v>212.35</v>
      </c>
      <c r="W94" s="228">
        <v>217.51</v>
      </c>
      <c r="X94" s="228">
        <v>-5.16</v>
      </c>
      <c r="Y94" s="229">
        <v>-2.3699999999999999E-2</v>
      </c>
      <c r="Z94" s="228">
        <v>-0.12</v>
      </c>
      <c r="AA94" s="228">
        <v>-0.43</v>
      </c>
      <c r="AB94" s="228">
        <v>0.31</v>
      </c>
      <c r="AC94" s="229">
        <v>-5.9999999999999995E-4</v>
      </c>
      <c r="AD94" s="228">
        <v>-0.32</v>
      </c>
      <c r="AE94" s="228">
        <v>-0.43</v>
      </c>
      <c r="AF94" s="228">
        <v>0.11</v>
      </c>
      <c r="AG94" s="229">
        <v>-1.5E-3</v>
      </c>
      <c r="AH94" s="228">
        <v>-0.12</v>
      </c>
      <c r="AI94" s="228">
        <v>-0.47</v>
      </c>
      <c r="AJ94" s="228">
        <v>0.35</v>
      </c>
      <c r="AK94" s="229">
        <v>-5.9999999999999995E-4</v>
      </c>
      <c r="AL94" s="228">
        <v>0.08</v>
      </c>
      <c r="AM94" s="228">
        <v>0.08</v>
      </c>
      <c r="AN94" s="228">
        <v>0</v>
      </c>
      <c r="AO94" s="229">
        <v>4.0000000000000002E-4</v>
      </c>
      <c r="AP94" s="228">
        <v>213.49</v>
      </c>
      <c r="AQ94" s="228">
        <v>213.63</v>
      </c>
      <c r="AR94" s="228">
        <v>0</v>
      </c>
      <c r="AS94" s="228">
        <v>692</v>
      </c>
      <c r="AT94" s="228">
        <v>639</v>
      </c>
      <c r="AU94" s="228">
        <v>53</v>
      </c>
      <c r="AV94" s="229">
        <v>8.2600000000000007E-2</v>
      </c>
      <c r="AW94" s="228">
        <v>322</v>
      </c>
      <c r="AX94" s="228">
        <v>310</v>
      </c>
      <c r="AY94" s="228">
        <v>12</v>
      </c>
      <c r="AZ94" s="229">
        <v>3.7999999999999999E-2</v>
      </c>
      <c r="BA94" s="228">
        <v>345</v>
      </c>
      <c r="BB94" s="228">
        <v>318</v>
      </c>
      <c r="BC94" s="228">
        <v>26</v>
      </c>
      <c r="BD94" s="229">
        <v>8.3199999999999996E-2</v>
      </c>
      <c r="BE94" s="228">
        <v>25</v>
      </c>
      <c r="BF94" s="228">
        <v>10</v>
      </c>
      <c r="BG94" s="228">
        <v>14</v>
      </c>
      <c r="BH94" s="229">
        <v>1.4056999999999999</v>
      </c>
      <c r="BI94" s="228">
        <v>208</v>
      </c>
      <c r="BJ94" s="228">
        <v>210</v>
      </c>
      <c r="BK94" s="228">
        <v>-2</v>
      </c>
      <c r="BL94" s="229">
        <v>-9.7999999999999997E-3</v>
      </c>
      <c r="BM94" s="228">
        <v>115</v>
      </c>
      <c r="BN94" s="228">
        <v>131</v>
      </c>
      <c r="BO94" s="228">
        <v>-16</v>
      </c>
      <c r="BP94" s="229">
        <v>-0.125</v>
      </c>
      <c r="BQ94" s="230">
        <v>1014</v>
      </c>
      <c r="BR94" s="228">
        <v>980</v>
      </c>
      <c r="BS94" s="228">
        <v>34</v>
      </c>
      <c r="BT94" s="229">
        <v>3.5000000000000003E-2</v>
      </c>
      <c r="BU94" s="230">
        <v>3234470</v>
      </c>
      <c r="BV94" s="230">
        <v>3646205</v>
      </c>
      <c r="BW94" s="230">
        <v>-411735</v>
      </c>
      <c r="BX94" s="229">
        <v>-0.1129</v>
      </c>
      <c r="BY94" s="228">
        <v>704</v>
      </c>
      <c r="BZ94" s="228">
        <v>779</v>
      </c>
      <c r="CA94" s="228">
        <v>-75</v>
      </c>
      <c r="CB94" s="229">
        <v>-9.6199999999999994E-2</v>
      </c>
      <c r="CC94" s="228">
        <v>62</v>
      </c>
      <c r="CD94" s="228">
        <v>225</v>
      </c>
      <c r="CE94" s="228">
        <v>-163</v>
      </c>
      <c r="CF94" s="229">
        <v>-0.72599999999999998</v>
      </c>
      <c r="CG94" s="228">
        <v>679</v>
      </c>
      <c r="CH94" s="228">
        <v>539</v>
      </c>
      <c r="CI94" s="228">
        <v>140</v>
      </c>
      <c r="CJ94" s="229">
        <v>0.2606</v>
      </c>
      <c r="CK94" s="228">
        <v>24</v>
      </c>
      <c r="CL94" s="228">
        <v>15</v>
      </c>
      <c r="CM94" s="228">
        <v>9</v>
      </c>
      <c r="CN94" s="229">
        <v>0.63100000000000001</v>
      </c>
      <c r="CO94" s="228">
        <v>105</v>
      </c>
      <c r="CP94" s="228">
        <v>323</v>
      </c>
      <c r="CQ94" s="228">
        <v>-218</v>
      </c>
      <c r="CR94" s="229">
        <v>-0.67579999999999996</v>
      </c>
      <c r="CS94" s="228">
        <v>85</v>
      </c>
      <c r="CT94" s="228">
        <v>196</v>
      </c>
      <c r="CU94" s="228">
        <v>-111</v>
      </c>
      <c r="CV94" s="229">
        <v>-0.56740000000000002</v>
      </c>
      <c r="CW94" s="228">
        <v>893</v>
      </c>
      <c r="CX94" s="230">
        <v>1297</v>
      </c>
      <c r="CY94" s="228">
        <v>-404</v>
      </c>
      <c r="CZ94" s="229">
        <v>-0.31159999999999999</v>
      </c>
      <c r="DA94" s="228">
        <v>36.92</v>
      </c>
      <c r="DB94" s="228">
        <v>36.1</v>
      </c>
      <c r="DC94" s="228">
        <v>0.82</v>
      </c>
      <c r="DD94" s="228">
        <v>0.82</v>
      </c>
      <c r="DE94" s="228">
        <v>57.73</v>
      </c>
      <c r="DF94" s="228">
        <v>57.8</v>
      </c>
      <c r="DG94" s="228">
        <v>-20.81</v>
      </c>
      <c r="DH94" s="228">
        <v>-7.0000000000000007E-2</v>
      </c>
      <c r="DI94" s="228">
        <v>37.11</v>
      </c>
      <c r="DJ94" s="228">
        <v>35.799999999999997</v>
      </c>
      <c r="DK94" s="228">
        <v>1.31</v>
      </c>
      <c r="DL94" s="228">
        <v>1.31</v>
      </c>
      <c r="DM94" s="228">
        <v>36.6</v>
      </c>
      <c r="DN94" s="228">
        <v>36.54</v>
      </c>
      <c r="DO94" s="228">
        <v>0.06</v>
      </c>
      <c r="DP94" s="228">
        <v>0.06</v>
      </c>
      <c r="DQ94" s="228">
        <v>0.81</v>
      </c>
      <c r="DR94" s="228">
        <v>0.61</v>
      </c>
      <c r="DS94" s="228">
        <v>0.2</v>
      </c>
      <c r="DT94" s="229">
        <v>0.32790000000000002</v>
      </c>
      <c r="DU94" s="228">
        <v>240</v>
      </c>
      <c r="DV94" s="228">
        <v>210</v>
      </c>
      <c r="DW94" s="228">
        <v>0.55000000000000004</v>
      </c>
      <c r="DX94" s="228">
        <v>0.63</v>
      </c>
      <c r="DY94" s="228">
        <v>-0.08</v>
      </c>
      <c r="DZ94" s="229">
        <v>-0.127</v>
      </c>
      <c r="EA94" s="229">
        <v>0.91949999999999998</v>
      </c>
      <c r="EB94" s="230">
        <v>26107200</v>
      </c>
      <c r="EC94" s="229">
        <v>8.9999999999999998E-4</v>
      </c>
      <c r="ED94" s="229">
        <v>0.91949999999999998</v>
      </c>
      <c r="EE94" s="228">
        <v>0.14000000000000001</v>
      </c>
      <c r="EF94" s="229">
        <v>6.9999999999999999E-4</v>
      </c>
      <c r="EG94" s="230">
        <v>1098204</v>
      </c>
      <c r="EH94" s="230">
        <v>1433651</v>
      </c>
      <c r="EI94" s="229">
        <v>-0.23400000000000001</v>
      </c>
      <c r="EJ94" s="229">
        <v>0.33950000000000002</v>
      </c>
      <c r="EK94" s="228">
        <v>223.54</v>
      </c>
      <c r="EL94" s="228">
        <v>121.41</v>
      </c>
      <c r="EM94" s="228">
        <v>696.35</v>
      </c>
      <c r="EN94" s="228">
        <v>0</v>
      </c>
      <c r="EO94" s="231">
        <v>1041.3</v>
      </c>
      <c r="EP94" s="231">
        <v>1019.76</v>
      </c>
      <c r="EQ94" s="228">
        <v>21.53</v>
      </c>
      <c r="ER94" s="229">
        <v>2.1100000000000001E-2</v>
      </c>
      <c r="ES94" s="228">
        <v>113.84</v>
      </c>
      <c r="ET94" s="228">
        <v>86.67</v>
      </c>
      <c r="EU94" s="228">
        <v>703.72</v>
      </c>
      <c r="EV94" s="231">
        <v>100095000</v>
      </c>
      <c r="EW94" s="228">
        <v>904.23</v>
      </c>
      <c r="EX94" s="231">
        <v>1367.56</v>
      </c>
      <c r="EY94" s="228">
        <v>-463.33</v>
      </c>
      <c r="EZ94" s="229">
        <v>-0.33879999999999999</v>
      </c>
      <c r="FA94" s="229">
        <v>0.42059999999999997</v>
      </c>
      <c r="FB94" s="227" t="s">
        <v>568</v>
      </c>
      <c r="FC94">
        <f t="shared" si="1"/>
        <v>642</v>
      </c>
    </row>
    <row r="95" spans="1:159" ht="17.25" thickBot="1" x14ac:dyDescent="0.3">
      <c r="A95" s="226">
        <v>45869</v>
      </c>
      <c r="B95" s="227" t="s">
        <v>172</v>
      </c>
      <c r="C95" s="227" t="s">
        <v>232</v>
      </c>
      <c r="D95" s="228">
        <v>700</v>
      </c>
      <c r="E95" s="228">
        <v>0</v>
      </c>
      <c r="F95" s="231">
        <v>1477.4</v>
      </c>
      <c r="G95" s="231">
        <v>1477.6</v>
      </c>
      <c r="H95" s="228">
        <v>-0.2</v>
      </c>
      <c r="I95" s="229">
        <v>-1E-4</v>
      </c>
      <c r="J95" s="231">
        <v>1481.4</v>
      </c>
      <c r="K95" s="231">
        <v>1482.4</v>
      </c>
      <c r="L95" s="228">
        <v>-1</v>
      </c>
      <c r="M95" s="229">
        <v>-6.9999999999999999E-4</v>
      </c>
      <c r="N95" s="231">
        <v>1479.3</v>
      </c>
      <c r="O95" s="231">
        <v>1480.7</v>
      </c>
      <c r="P95" s="228">
        <v>-1.4</v>
      </c>
      <c r="Q95" s="229">
        <v>-8.9999999999999998E-4</v>
      </c>
      <c r="R95" s="231">
        <v>1477.4</v>
      </c>
      <c r="S95" s="231">
        <v>1477.6</v>
      </c>
      <c r="T95" s="228">
        <v>-0.2</v>
      </c>
      <c r="U95" s="229">
        <v>-1E-4</v>
      </c>
      <c r="V95" s="231">
        <v>1486.5</v>
      </c>
      <c r="W95" s="231">
        <v>1485.4</v>
      </c>
      <c r="X95" s="228">
        <v>1.1000000000000001</v>
      </c>
      <c r="Y95" s="229">
        <v>6.9999999999999999E-4</v>
      </c>
      <c r="Z95" s="228">
        <v>-4</v>
      </c>
      <c r="AA95" s="228">
        <v>-1.7</v>
      </c>
      <c r="AB95" s="228">
        <v>-2.2999999999999998</v>
      </c>
      <c r="AC95" s="229">
        <v>-2.7000000000000001E-3</v>
      </c>
      <c r="AD95" s="228">
        <v>-2.1</v>
      </c>
      <c r="AE95" s="228">
        <v>-1.7</v>
      </c>
      <c r="AF95" s="228">
        <v>-0.4</v>
      </c>
      <c r="AG95" s="229">
        <v>-1.4E-3</v>
      </c>
      <c r="AH95" s="228">
        <v>-4</v>
      </c>
      <c r="AI95" s="228">
        <v>-4.8</v>
      </c>
      <c r="AJ95" s="228">
        <v>0.8</v>
      </c>
      <c r="AK95" s="229">
        <v>-2.7000000000000001E-3</v>
      </c>
      <c r="AL95" s="228">
        <v>5.0999999999999996</v>
      </c>
      <c r="AM95" s="228">
        <v>3</v>
      </c>
      <c r="AN95" s="228">
        <v>2.1</v>
      </c>
      <c r="AO95" s="229">
        <v>3.3999999999999998E-3</v>
      </c>
      <c r="AP95" s="231">
        <v>1475.21</v>
      </c>
      <c r="AQ95" s="231">
        <v>1474.5</v>
      </c>
      <c r="AR95" s="228">
        <v>0</v>
      </c>
      <c r="AS95" s="230">
        <v>4631</v>
      </c>
      <c r="AT95" s="230">
        <v>5824</v>
      </c>
      <c r="AU95" s="230">
        <v>-1193</v>
      </c>
      <c r="AV95" s="229">
        <v>-0.2049</v>
      </c>
      <c r="AW95" s="230">
        <v>1637</v>
      </c>
      <c r="AX95" s="230">
        <v>2816</v>
      </c>
      <c r="AY95" s="230">
        <v>-1180</v>
      </c>
      <c r="AZ95" s="229">
        <v>-0.41880000000000001</v>
      </c>
      <c r="BA95" s="230">
        <v>2915</v>
      </c>
      <c r="BB95" s="230">
        <v>2985</v>
      </c>
      <c r="BC95" s="228">
        <v>-70</v>
      </c>
      <c r="BD95" s="229">
        <v>-2.3400000000000001E-2</v>
      </c>
      <c r="BE95" s="228">
        <v>78</v>
      </c>
      <c r="BF95" s="228">
        <v>22</v>
      </c>
      <c r="BG95" s="228">
        <v>56</v>
      </c>
      <c r="BH95" s="229">
        <v>2.5467</v>
      </c>
      <c r="BI95" s="230">
        <v>5240</v>
      </c>
      <c r="BJ95" s="230">
        <v>3858</v>
      </c>
      <c r="BK95" s="230">
        <v>1382</v>
      </c>
      <c r="BL95" s="229">
        <v>0.3584</v>
      </c>
      <c r="BM95" s="230">
        <v>4767</v>
      </c>
      <c r="BN95" s="230">
        <v>3197</v>
      </c>
      <c r="BO95" s="230">
        <v>1570</v>
      </c>
      <c r="BP95" s="229">
        <v>0.4909</v>
      </c>
      <c r="BQ95" s="230">
        <v>14638</v>
      </c>
      <c r="BR95" s="230">
        <v>12879</v>
      </c>
      <c r="BS95" s="230">
        <v>1759</v>
      </c>
      <c r="BT95" s="229">
        <v>0.1366</v>
      </c>
      <c r="BU95" s="230">
        <v>12513144</v>
      </c>
      <c r="BV95" s="230">
        <v>7334368</v>
      </c>
      <c r="BW95" s="230">
        <v>5178776</v>
      </c>
      <c r="BX95" s="229">
        <v>0.70609999999999995</v>
      </c>
      <c r="BY95" s="230">
        <v>13921</v>
      </c>
      <c r="BZ95" s="230">
        <v>13942</v>
      </c>
      <c r="CA95" s="228">
        <v>-21</v>
      </c>
      <c r="CB95" s="229">
        <v>-1.5E-3</v>
      </c>
      <c r="CC95" s="228">
        <v>568</v>
      </c>
      <c r="CD95" s="228">
        <v>984</v>
      </c>
      <c r="CE95" s="228">
        <v>-416</v>
      </c>
      <c r="CF95" s="229">
        <v>-0.42309999999999998</v>
      </c>
      <c r="CG95" s="230">
        <v>13829</v>
      </c>
      <c r="CH95" s="230">
        <v>12890</v>
      </c>
      <c r="CI95" s="228">
        <v>939</v>
      </c>
      <c r="CJ95" s="229">
        <v>7.2800000000000004E-2</v>
      </c>
      <c r="CK95" s="228">
        <v>92</v>
      </c>
      <c r="CL95" s="228">
        <v>68</v>
      </c>
      <c r="CM95" s="228">
        <v>24</v>
      </c>
      <c r="CN95" s="229">
        <v>0.35880000000000001</v>
      </c>
      <c r="CO95" s="230">
        <v>1026</v>
      </c>
      <c r="CP95" s="230">
        <v>3241</v>
      </c>
      <c r="CQ95" s="230">
        <v>-2215</v>
      </c>
      <c r="CR95" s="229">
        <v>-0.68330000000000002</v>
      </c>
      <c r="CS95" s="230">
        <v>1038</v>
      </c>
      <c r="CT95" s="230">
        <v>3108</v>
      </c>
      <c r="CU95" s="230">
        <v>-2070</v>
      </c>
      <c r="CV95" s="229">
        <v>-0.66610000000000003</v>
      </c>
      <c r="CW95" s="230">
        <v>15985</v>
      </c>
      <c r="CX95" s="230">
        <v>20291</v>
      </c>
      <c r="CY95" s="230">
        <v>-4306</v>
      </c>
      <c r="CZ95" s="229">
        <v>-0.2122</v>
      </c>
      <c r="DA95" s="228">
        <v>15.37</v>
      </c>
      <c r="DB95" s="228">
        <v>16.12</v>
      </c>
      <c r="DC95" s="228">
        <v>-0.75</v>
      </c>
      <c r="DD95" s="228">
        <v>-0.75</v>
      </c>
      <c r="DE95" s="228">
        <v>22.66</v>
      </c>
      <c r="DF95" s="228">
        <v>22.72</v>
      </c>
      <c r="DG95" s="228">
        <v>-7.29</v>
      </c>
      <c r="DH95" s="228">
        <v>-0.06</v>
      </c>
      <c r="DI95" s="228">
        <v>15.36</v>
      </c>
      <c r="DJ95" s="228">
        <v>15.65</v>
      </c>
      <c r="DK95" s="228">
        <v>-0.28999999999999998</v>
      </c>
      <c r="DL95" s="228">
        <v>-0.28999999999999998</v>
      </c>
      <c r="DM95" s="228">
        <v>15.38</v>
      </c>
      <c r="DN95" s="228">
        <v>16.77</v>
      </c>
      <c r="DO95" s="228">
        <v>-1.39</v>
      </c>
      <c r="DP95" s="228">
        <v>-1.39</v>
      </c>
      <c r="DQ95" s="228">
        <v>1.01</v>
      </c>
      <c r="DR95" s="228">
        <v>0.96</v>
      </c>
      <c r="DS95" s="228">
        <v>0.05</v>
      </c>
      <c r="DT95" s="229">
        <v>5.21E-2</v>
      </c>
      <c r="DU95" s="231">
        <v>1490</v>
      </c>
      <c r="DV95" s="231">
        <v>1400</v>
      </c>
      <c r="DW95" s="228">
        <v>0.91</v>
      </c>
      <c r="DX95" s="228">
        <v>0.83</v>
      </c>
      <c r="DY95" s="228">
        <v>0.08</v>
      </c>
      <c r="DZ95" s="229">
        <v>9.64E-2</v>
      </c>
      <c r="EA95" s="229">
        <v>0.96079999999999999</v>
      </c>
      <c r="EB95" s="230">
        <v>87707900</v>
      </c>
      <c r="EC95" s="229">
        <v>-1.2999999999999999E-3</v>
      </c>
      <c r="ED95" s="229">
        <v>0.96079999999999999</v>
      </c>
      <c r="EE95" s="228">
        <v>-0.71</v>
      </c>
      <c r="EF95" s="229">
        <v>-5.0000000000000001E-4</v>
      </c>
      <c r="EG95" s="230">
        <v>6713694</v>
      </c>
      <c r="EH95" s="230">
        <v>4958888</v>
      </c>
      <c r="EI95" s="229">
        <v>0.35389999999999999</v>
      </c>
      <c r="EJ95" s="229">
        <v>0.53649999999999998</v>
      </c>
      <c r="EK95" s="231">
        <v>5340.05</v>
      </c>
      <c r="EL95" s="231">
        <v>4741.46</v>
      </c>
      <c r="EM95" s="231">
        <v>4623.12</v>
      </c>
      <c r="EN95" s="228">
        <v>0</v>
      </c>
      <c r="EO95" s="231">
        <v>14704.63</v>
      </c>
      <c r="EP95" s="231">
        <v>12920.93</v>
      </c>
      <c r="EQ95" s="231">
        <v>1783.7</v>
      </c>
      <c r="ER95" s="229">
        <v>0.13800000000000001</v>
      </c>
      <c r="ES95" s="231">
        <v>1045.73</v>
      </c>
      <c r="ET95" s="231">
        <v>1003.63</v>
      </c>
      <c r="EU95" s="231">
        <v>13921.66</v>
      </c>
      <c r="EV95" s="231">
        <v>1159424540</v>
      </c>
      <c r="EW95" s="231">
        <v>15971.03</v>
      </c>
      <c r="EX95" s="231">
        <v>20208.47</v>
      </c>
      <c r="EY95" s="231">
        <v>-4237.4399999999996</v>
      </c>
      <c r="EZ95" s="229">
        <v>-0.2097</v>
      </c>
      <c r="FA95" s="229">
        <v>9.3299999999999994E-2</v>
      </c>
      <c r="FB95" s="227" t="s">
        <v>568</v>
      </c>
      <c r="FC95">
        <f t="shared" si="1"/>
        <v>13353</v>
      </c>
    </row>
    <row r="96" spans="1:159" ht="17.25" thickBot="1" x14ac:dyDescent="0.3">
      <c r="A96" s="226">
        <v>45869</v>
      </c>
      <c r="B96" s="227" t="s">
        <v>175</v>
      </c>
      <c r="C96" s="227" t="s">
        <v>472</v>
      </c>
      <c r="D96" s="228">
        <v>325</v>
      </c>
      <c r="E96" s="228">
        <v>0</v>
      </c>
      <c r="F96" s="231">
        <v>1938.2</v>
      </c>
      <c r="G96" s="231">
        <v>1926</v>
      </c>
      <c r="H96" s="228">
        <v>12.2</v>
      </c>
      <c r="I96" s="229">
        <v>6.3E-3</v>
      </c>
      <c r="J96" s="231">
        <v>1927</v>
      </c>
      <c r="K96" s="231">
        <v>1920.4</v>
      </c>
      <c r="L96" s="228">
        <v>6.6</v>
      </c>
      <c r="M96" s="229">
        <v>3.3999999999999998E-3</v>
      </c>
      <c r="N96" s="231">
        <v>1929.6</v>
      </c>
      <c r="O96" s="231">
        <v>1918.1</v>
      </c>
      <c r="P96" s="228">
        <v>11.5</v>
      </c>
      <c r="Q96" s="229">
        <v>6.0000000000000001E-3</v>
      </c>
      <c r="R96" s="231">
        <v>1938.2</v>
      </c>
      <c r="S96" s="231">
        <v>1926</v>
      </c>
      <c r="T96" s="228">
        <v>12.2</v>
      </c>
      <c r="U96" s="229">
        <v>6.3E-3</v>
      </c>
      <c r="V96" s="231">
        <v>1950.7</v>
      </c>
      <c r="W96" s="231">
        <v>1936.9</v>
      </c>
      <c r="X96" s="228">
        <v>13.8</v>
      </c>
      <c r="Y96" s="229">
        <v>7.1000000000000004E-3</v>
      </c>
      <c r="Z96" s="228">
        <v>11.2</v>
      </c>
      <c r="AA96" s="228">
        <v>-2.2999999999999998</v>
      </c>
      <c r="AB96" s="228">
        <v>13.5</v>
      </c>
      <c r="AC96" s="229">
        <v>5.7999999999999996E-3</v>
      </c>
      <c r="AD96" s="228">
        <v>2.6</v>
      </c>
      <c r="AE96" s="228">
        <v>-2.2999999999999998</v>
      </c>
      <c r="AF96" s="228">
        <v>4.9000000000000004</v>
      </c>
      <c r="AG96" s="229">
        <v>1.2999999999999999E-3</v>
      </c>
      <c r="AH96" s="228">
        <v>11.2</v>
      </c>
      <c r="AI96" s="228">
        <v>5.6</v>
      </c>
      <c r="AJ96" s="228">
        <v>5.6</v>
      </c>
      <c r="AK96" s="229">
        <v>5.7999999999999996E-3</v>
      </c>
      <c r="AL96" s="228">
        <v>23.7</v>
      </c>
      <c r="AM96" s="228">
        <v>16.5</v>
      </c>
      <c r="AN96" s="228">
        <v>7.2</v>
      </c>
      <c r="AO96" s="229">
        <v>1.23E-2</v>
      </c>
      <c r="AP96" s="231">
        <v>1923.88</v>
      </c>
      <c r="AQ96" s="231">
        <v>1927.11</v>
      </c>
      <c r="AR96" s="228">
        <v>0</v>
      </c>
      <c r="AS96" s="228">
        <v>506</v>
      </c>
      <c r="AT96" s="228">
        <v>529</v>
      </c>
      <c r="AU96" s="228">
        <v>-23</v>
      </c>
      <c r="AV96" s="229">
        <v>-4.36E-2</v>
      </c>
      <c r="AW96" s="228">
        <v>227</v>
      </c>
      <c r="AX96" s="228">
        <v>267</v>
      </c>
      <c r="AY96" s="228">
        <v>-41</v>
      </c>
      <c r="AZ96" s="229">
        <v>-0.15210000000000001</v>
      </c>
      <c r="BA96" s="228">
        <v>277</v>
      </c>
      <c r="BB96" s="228">
        <v>261</v>
      </c>
      <c r="BC96" s="228">
        <v>15</v>
      </c>
      <c r="BD96" s="229">
        <v>5.8999999999999997E-2</v>
      </c>
      <c r="BE96" s="228">
        <v>3</v>
      </c>
      <c r="BF96" s="228">
        <v>0</v>
      </c>
      <c r="BG96" s="228">
        <v>2</v>
      </c>
      <c r="BH96" s="229">
        <v>4.8571</v>
      </c>
      <c r="BI96" s="228">
        <v>184</v>
      </c>
      <c r="BJ96" s="228">
        <v>156</v>
      </c>
      <c r="BK96" s="228">
        <v>28</v>
      </c>
      <c r="BL96" s="229">
        <v>0.1792</v>
      </c>
      <c r="BM96" s="228">
        <v>98</v>
      </c>
      <c r="BN96" s="228">
        <v>47</v>
      </c>
      <c r="BO96" s="228">
        <v>51</v>
      </c>
      <c r="BP96" s="229">
        <v>1.0895999999999999</v>
      </c>
      <c r="BQ96" s="228">
        <v>788</v>
      </c>
      <c r="BR96" s="228">
        <v>732</v>
      </c>
      <c r="BS96" s="228">
        <v>56</v>
      </c>
      <c r="BT96" s="229">
        <v>7.6799999999999993E-2</v>
      </c>
      <c r="BU96" s="230">
        <v>512147</v>
      </c>
      <c r="BV96" s="230">
        <v>282145</v>
      </c>
      <c r="BW96" s="230">
        <v>230002</v>
      </c>
      <c r="BX96" s="229">
        <v>0.81520000000000004</v>
      </c>
      <c r="BY96" s="228">
        <v>947</v>
      </c>
      <c r="BZ96" s="230">
        <v>1008</v>
      </c>
      <c r="CA96" s="228">
        <v>-62</v>
      </c>
      <c r="CB96" s="229">
        <v>-6.1199999999999997E-2</v>
      </c>
      <c r="CC96" s="228">
        <v>95</v>
      </c>
      <c r="CD96" s="228">
        <v>147</v>
      </c>
      <c r="CE96" s="228">
        <v>-52</v>
      </c>
      <c r="CF96" s="229">
        <v>-0.35570000000000002</v>
      </c>
      <c r="CG96" s="228">
        <v>942</v>
      </c>
      <c r="CH96" s="228">
        <v>858</v>
      </c>
      <c r="CI96" s="228">
        <v>84</v>
      </c>
      <c r="CJ96" s="229">
        <v>9.8299999999999998E-2</v>
      </c>
      <c r="CK96" s="228">
        <v>5</v>
      </c>
      <c r="CL96" s="228">
        <v>4</v>
      </c>
      <c r="CM96" s="228">
        <v>1</v>
      </c>
      <c r="CN96" s="229">
        <v>0.39290000000000003</v>
      </c>
      <c r="CO96" s="228">
        <v>62</v>
      </c>
      <c r="CP96" s="228">
        <v>385</v>
      </c>
      <c r="CQ96" s="228">
        <v>-323</v>
      </c>
      <c r="CR96" s="229">
        <v>-0.83989999999999998</v>
      </c>
      <c r="CS96" s="228">
        <v>58</v>
      </c>
      <c r="CT96" s="228">
        <v>178</v>
      </c>
      <c r="CU96" s="228">
        <v>-120</v>
      </c>
      <c r="CV96" s="229">
        <v>-0.67530000000000001</v>
      </c>
      <c r="CW96" s="230">
        <v>1066</v>
      </c>
      <c r="CX96" s="230">
        <v>1571</v>
      </c>
      <c r="CY96" s="228">
        <v>-505</v>
      </c>
      <c r="CZ96" s="229">
        <v>-0.32129999999999997</v>
      </c>
      <c r="DA96" s="228">
        <v>21.35</v>
      </c>
      <c r="DB96" s="228">
        <v>22.09</v>
      </c>
      <c r="DC96" s="228">
        <v>-0.74</v>
      </c>
      <c r="DD96" s="228">
        <v>-0.74</v>
      </c>
      <c r="DE96" s="228">
        <v>29.48</v>
      </c>
      <c r="DF96" s="228">
        <v>29.55</v>
      </c>
      <c r="DG96" s="228">
        <v>-8.1300000000000008</v>
      </c>
      <c r="DH96" s="228">
        <v>-7.0000000000000007E-2</v>
      </c>
      <c r="DI96" s="228">
        <v>21.29</v>
      </c>
      <c r="DJ96" s="228">
        <v>22.12</v>
      </c>
      <c r="DK96" s="228">
        <v>-0.83</v>
      </c>
      <c r="DL96" s="228">
        <v>-0.83</v>
      </c>
      <c r="DM96" s="228">
        <v>21.47</v>
      </c>
      <c r="DN96" s="228">
        <v>22.05</v>
      </c>
      <c r="DO96" s="228">
        <v>-0.57999999999999996</v>
      </c>
      <c r="DP96" s="228">
        <v>-0.57999999999999996</v>
      </c>
      <c r="DQ96" s="228">
        <v>0.94</v>
      </c>
      <c r="DR96" s="228">
        <v>0.46</v>
      </c>
      <c r="DS96" s="228">
        <v>0.48</v>
      </c>
      <c r="DT96" s="229">
        <v>1.0435000000000001</v>
      </c>
      <c r="DU96" s="231">
        <v>2100</v>
      </c>
      <c r="DV96" s="231">
        <v>2000</v>
      </c>
      <c r="DW96" s="228">
        <v>0.54</v>
      </c>
      <c r="DX96" s="228">
        <v>0.3</v>
      </c>
      <c r="DY96" s="228">
        <v>0.24</v>
      </c>
      <c r="DZ96" s="229">
        <v>0.8</v>
      </c>
      <c r="EA96" s="229">
        <v>0.90890000000000004</v>
      </c>
      <c r="EB96" s="230">
        <v>4442750</v>
      </c>
      <c r="EC96" s="229">
        <v>4.4999999999999997E-3</v>
      </c>
      <c r="ED96" s="229">
        <v>0.90890000000000004</v>
      </c>
      <c r="EE96" s="228">
        <v>3.23</v>
      </c>
      <c r="EF96" s="229">
        <v>1.6999999999999999E-3</v>
      </c>
      <c r="EG96" s="230">
        <v>225034</v>
      </c>
      <c r="EH96" s="230">
        <v>189554</v>
      </c>
      <c r="EI96" s="229">
        <v>0.18720000000000001</v>
      </c>
      <c r="EJ96" s="229">
        <v>0.43940000000000001</v>
      </c>
      <c r="EK96" s="228">
        <v>190.85</v>
      </c>
      <c r="EL96" s="228">
        <v>97.8</v>
      </c>
      <c r="EM96" s="228">
        <v>502.76</v>
      </c>
      <c r="EN96" s="228">
        <v>0</v>
      </c>
      <c r="EO96" s="228">
        <v>791.41</v>
      </c>
      <c r="EP96" s="228">
        <v>732.67</v>
      </c>
      <c r="EQ96" s="228">
        <v>58.73</v>
      </c>
      <c r="ER96" s="229">
        <v>8.0199999999999994E-2</v>
      </c>
      <c r="ES96" s="228">
        <v>63.57</v>
      </c>
      <c r="ET96" s="228">
        <v>56.88</v>
      </c>
      <c r="EU96" s="228">
        <v>946.79</v>
      </c>
      <c r="EV96" s="231">
        <v>48034132</v>
      </c>
      <c r="EW96" s="231">
        <v>1067.25</v>
      </c>
      <c r="EX96" s="231">
        <v>1588.97</v>
      </c>
      <c r="EY96" s="228">
        <v>-521.72</v>
      </c>
      <c r="EZ96" s="229">
        <v>-0.32829999999999998</v>
      </c>
      <c r="FA96" s="229">
        <v>0.1145</v>
      </c>
      <c r="FB96" s="227" t="s">
        <v>556</v>
      </c>
      <c r="FC96">
        <f t="shared" si="1"/>
        <v>852</v>
      </c>
    </row>
    <row r="97" spans="1:159" ht="17.25" thickBot="1" x14ac:dyDescent="0.3">
      <c r="A97" s="226">
        <v>45869</v>
      </c>
      <c r="B97" s="227" t="s">
        <v>175</v>
      </c>
      <c r="C97" s="227" t="s">
        <v>233</v>
      </c>
      <c r="D97" s="228">
        <v>925</v>
      </c>
      <c r="E97" s="228">
        <v>0</v>
      </c>
      <c r="F97" s="228">
        <v>618.29999999999995</v>
      </c>
      <c r="G97" s="228">
        <v>622.5</v>
      </c>
      <c r="H97" s="228">
        <v>-4.2</v>
      </c>
      <c r="I97" s="229">
        <v>-6.7000000000000002E-3</v>
      </c>
      <c r="J97" s="228">
        <v>615.95000000000005</v>
      </c>
      <c r="K97" s="228">
        <v>619.15</v>
      </c>
      <c r="L97" s="228">
        <v>-3.2</v>
      </c>
      <c r="M97" s="229">
        <v>-5.1999999999999998E-3</v>
      </c>
      <c r="N97" s="228">
        <v>615.70000000000005</v>
      </c>
      <c r="O97" s="228">
        <v>619.29999999999995</v>
      </c>
      <c r="P97" s="228">
        <v>-3.6</v>
      </c>
      <c r="Q97" s="229">
        <v>-5.7999999999999996E-3</v>
      </c>
      <c r="R97" s="228">
        <v>618.29999999999995</v>
      </c>
      <c r="S97" s="228">
        <v>622.5</v>
      </c>
      <c r="T97" s="228">
        <v>-4.2</v>
      </c>
      <c r="U97" s="229">
        <v>-6.7000000000000002E-3</v>
      </c>
      <c r="V97" s="228">
        <v>621.25</v>
      </c>
      <c r="W97" s="228">
        <v>626</v>
      </c>
      <c r="X97" s="228">
        <v>-4.75</v>
      </c>
      <c r="Y97" s="229">
        <v>-7.6E-3</v>
      </c>
      <c r="Z97" s="228">
        <v>2.35</v>
      </c>
      <c r="AA97" s="228">
        <v>0.15</v>
      </c>
      <c r="AB97" s="228">
        <v>2.2000000000000002</v>
      </c>
      <c r="AC97" s="229">
        <v>3.8E-3</v>
      </c>
      <c r="AD97" s="228">
        <v>-0.25</v>
      </c>
      <c r="AE97" s="228">
        <v>0.15</v>
      </c>
      <c r="AF97" s="228">
        <v>-0.4</v>
      </c>
      <c r="AG97" s="229">
        <v>-4.0000000000000002E-4</v>
      </c>
      <c r="AH97" s="228">
        <v>2.35</v>
      </c>
      <c r="AI97" s="228">
        <v>3.35</v>
      </c>
      <c r="AJ97" s="228">
        <v>-1</v>
      </c>
      <c r="AK97" s="229">
        <v>3.8E-3</v>
      </c>
      <c r="AL97" s="228">
        <v>5.3</v>
      </c>
      <c r="AM97" s="228">
        <v>6.85</v>
      </c>
      <c r="AN97" s="228">
        <v>-1.55</v>
      </c>
      <c r="AO97" s="229">
        <v>8.6E-3</v>
      </c>
      <c r="AP97" s="228">
        <v>614.38</v>
      </c>
      <c r="AQ97" s="228">
        <v>617.4</v>
      </c>
      <c r="AR97" s="228">
        <v>0</v>
      </c>
      <c r="AS97" s="228">
        <v>219</v>
      </c>
      <c r="AT97" s="228">
        <v>521</v>
      </c>
      <c r="AU97" s="228">
        <v>-302</v>
      </c>
      <c r="AV97" s="229">
        <v>-0.57979999999999998</v>
      </c>
      <c r="AW97" s="228">
        <v>102</v>
      </c>
      <c r="AX97" s="228">
        <v>264</v>
      </c>
      <c r="AY97" s="228">
        <v>-163</v>
      </c>
      <c r="AZ97" s="229">
        <v>-0.61609999999999998</v>
      </c>
      <c r="BA97" s="228">
        <v>116</v>
      </c>
      <c r="BB97" s="228">
        <v>256</v>
      </c>
      <c r="BC97" s="228">
        <v>-140</v>
      </c>
      <c r="BD97" s="229">
        <v>-0.54569999999999996</v>
      </c>
      <c r="BE97" s="228">
        <v>1</v>
      </c>
      <c r="BF97" s="228">
        <v>1</v>
      </c>
      <c r="BG97" s="228">
        <v>1</v>
      </c>
      <c r="BH97" s="229">
        <v>0.81820000000000004</v>
      </c>
      <c r="BI97" s="228">
        <v>172</v>
      </c>
      <c r="BJ97" s="228">
        <v>204</v>
      </c>
      <c r="BK97" s="228">
        <v>-32</v>
      </c>
      <c r="BL97" s="229">
        <v>-0.1547</v>
      </c>
      <c r="BM97" s="228">
        <v>78</v>
      </c>
      <c r="BN97" s="228">
        <v>78</v>
      </c>
      <c r="BO97" s="228">
        <v>1</v>
      </c>
      <c r="BP97" s="229">
        <v>8.8000000000000005E-3</v>
      </c>
      <c r="BQ97" s="228">
        <v>470</v>
      </c>
      <c r="BR97" s="228">
        <v>802</v>
      </c>
      <c r="BS97" s="228">
        <v>-333</v>
      </c>
      <c r="BT97" s="229">
        <v>-0.4148</v>
      </c>
      <c r="BU97" s="230">
        <v>469493</v>
      </c>
      <c r="BV97" s="230">
        <v>589128</v>
      </c>
      <c r="BW97" s="230">
        <v>-119635</v>
      </c>
      <c r="BX97" s="229">
        <v>-0.2031</v>
      </c>
      <c r="BY97" s="228">
        <v>835</v>
      </c>
      <c r="BZ97" s="228">
        <v>915</v>
      </c>
      <c r="CA97" s="228">
        <v>-80</v>
      </c>
      <c r="CB97" s="229">
        <v>-8.7300000000000003E-2</v>
      </c>
      <c r="CC97" s="228">
        <v>78</v>
      </c>
      <c r="CD97" s="228">
        <v>127</v>
      </c>
      <c r="CE97" s="228">
        <v>-49</v>
      </c>
      <c r="CF97" s="229">
        <v>-0.38429999999999997</v>
      </c>
      <c r="CG97" s="228">
        <v>828</v>
      </c>
      <c r="CH97" s="228">
        <v>782</v>
      </c>
      <c r="CI97" s="228">
        <v>47</v>
      </c>
      <c r="CJ97" s="229">
        <v>5.9700000000000003E-2</v>
      </c>
      <c r="CK97" s="228">
        <v>7</v>
      </c>
      <c r="CL97" s="228">
        <v>6</v>
      </c>
      <c r="CM97" s="228">
        <v>1</v>
      </c>
      <c r="CN97" s="229">
        <v>8.4900000000000003E-2</v>
      </c>
      <c r="CO97" s="228">
        <v>77</v>
      </c>
      <c r="CP97" s="228">
        <v>459</v>
      </c>
      <c r="CQ97" s="228">
        <v>-383</v>
      </c>
      <c r="CR97" s="229">
        <v>-0.83299999999999996</v>
      </c>
      <c r="CS97" s="228">
        <v>64</v>
      </c>
      <c r="CT97" s="228">
        <v>189</v>
      </c>
      <c r="CU97" s="228">
        <v>-125</v>
      </c>
      <c r="CV97" s="229">
        <v>-0.66069999999999995</v>
      </c>
      <c r="CW97" s="228">
        <v>976</v>
      </c>
      <c r="CX97" s="230">
        <v>1563</v>
      </c>
      <c r="CY97" s="228">
        <v>-587</v>
      </c>
      <c r="CZ97" s="229">
        <v>-0.37580000000000002</v>
      </c>
      <c r="DA97" s="228">
        <v>23.51</v>
      </c>
      <c r="DB97" s="228">
        <v>23.25</v>
      </c>
      <c r="DC97" s="228">
        <v>0.26</v>
      </c>
      <c r="DD97" s="228">
        <v>0.26</v>
      </c>
      <c r="DE97" s="228">
        <v>30.31</v>
      </c>
      <c r="DF97" s="228">
        <v>30.38</v>
      </c>
      <c r="DG97" s="228">
        <v>-6.8</v>
      </c>
      <c r="DH97" s="228">
        <v>-7.0000000000000007E-2</v>
      </c>
      <c r="DI97" s="228">
        <v>23.56</v>
      </c>
      <c r="DJ97" s="228">
        <v>23.16</v>
      </c>
      <c r="DK97" s="228">
        <v>0.4</v>
      </c>
      <c r="DL97" s="228">
        <v>0.4</v>
      </c>
      <c r="DM97" s="228">
        <v>23.36</v>
      </c>
      <c r="DN97" s="228">
        <v>23.48</v>
      </c>
      <c r="DO97" s="228">
        <v>-0.12</v>
      </c>
      <c r="DP97" s="228">
        <v>-0.12</v>
      </c>
      <c r="DQ97" s="228">
        <v>0.84</v>
      </c>
      <c r="DR97" s="228">
        <v>0.41</v>
      </c>
      <c r="DS97" s="228">
        <v>0.43</v>
      </c>
      <c r="DT97" s="229">
        <v>1.0488</v>
      </c>
      <c r="DU97" s="228">
        <v>700</v>
      </c>
      <c r="DV97" s="228">
        <v>620</v>
      </c>
      <c r="DW97" s="228">
        <v>0.45</v>
      </c>
      <c r="DX97" s="228">
        <v>0.38</v>
      </c>
      <c r="DY97" s="228">
        <v>7.0000000000000007E-2</v>
      </c>
      <c r="DZ97" s="229">
        <v>0.1842</v>
      </c>
      <c r="EA97" s="229">
        <v>0.9143</v>
      </c>
      <c r="EB97" s="230">
        <v>12742800</v>
      </c>
      <c r="EC97" s="229">
        <v>4.1999999999999997E-3</v>
      </c>
      <c r="ED97" s="229">
        <v>0.9143</v>
      </c>
      <c r="EE97" s="228">
        <v>3.02</v>
      </c>
      <c r="EF97" s="229">
        <v>4.8999999999999998E-3</v>
      </c>
      <c r="EG97" s="230">
        <v>217879</v>
      </c>
      <c r="EH97" s="230">
        <v>340477</v>
      </c>
      <c r="EI97" s="229">
        <v>-0.36009999999999998</v>
      </c>
      <c r="EJ97" s="229">
        <v>0.46410000000000001</v>
      </c>
      <c r="EK97" s="228">
        <v>183.04</v>
      </c>
      <c r="EL97" s="228">
        <v>79.98</v>
      </c>
      <c r="EM97" s="228">
        <v>218.01</v>
      </c>
      <c r="EN97" s="228">
        <v>0</v>
      </c>
      <c r="EO97" s="228">
        <v>481.02</v>
      </c>
      <c r="EP97" s="228">
        <v>816.13</v>
      </c>
      <c r="EQ97" s="228">
        <v>-335.11</v>
      </c>
      <c r="ER97" s="229">
        <v>-0.41060000000000002</v>
      </c>
      <c r="ES97" s="228">
        <v>81.38</v>
      </c>
      <c r="ET97" s="228">
        <v>63.74</v>
      </c>
      <c r="EU97" s="228">
        <v>835.1</v>
      </c>
      <c r="EV97" s="231">
        <v>78039794</v>
      </c>
      <c r="EW97" s="228">
        <v>980.22</v>
      </c>
      <c r="EX97" s="231">
        <v>1616.04</v>
      </c>
      <c r="EY97" s="228">
        <v>-635.82000000000005</v>
      </c>
      <c r="EZ97" s="229">
        <v>-0.39340000000000003</v>
      </c>
      <c r="FA97" s="229">
        <v>0.20230000000000001</v>
      </c>
      <c r="FB97" s="227" t="s">
        <v>568</v>
      </c>
      <c r="FC97">
        <f t="shared" si="1"/>
        <v>757</v>
      </c>
    </row>
    <row r="98" spans="1:159" ht="17.25" thickBot="1" x14ac:dyDescent="0.3">
      <c r="A98" s="226">
        <v>45869</v>
      </c>
      <c r="B98" s="227" t="s">
        <v>188</v>
      </c>
      <c r="C98" s="227" t="s">
        <v>234</v>
      </c>
      <c r="D98" s="228">
        <v>71475</v>
      </c>
      <c r="E98" s="228">
        <v>0</v>
      </c>
      <c r="F98" s="228">
        <v>6.93</v>
      </c>
      <c r="G98" s="228">
        <v>7.05</v>
      </c>
      <c r="H98" s="228">
        <v>-0.12</v>
      </c>
      <c r="I98" s="229">
        <v>-1.7000000000000001E-2</v>
      </c>
      <c r="J98" s="228">
        <v>6.91</v>
      </c>
      <c r="K98" s="228">
        <v>7</v>
      </c>
      <c r="L98" s="228">
        <v>-0.09</v>
      </c>
      <c r="M98" s="229">
        <v>-1.29E-2</v>
      </c>
      <c r="N98" s="228">
        <v>6.89</v>
      </c>
      <c r="O98" s="228">
        <v>7.01</v>
      </c>
      <c r="P98" s="228">
        <v>-0.12</v>
      </c>
      <c r="Q98" s="229">
        <v>-1.7100000000000001E-2</v>
      </c>
      <c r="R98" s="228">
        <v>6.93</v>
      </c>
      <c r="S98" s="228">
        <v>7.05</v>
      </c>
      <c r="T98" s="228">
        <v>-0.12</v>
      </c>
      <c r="U98" s="229">
        <v>-1.7000000000000001E-2</v>
      </c>
      <c r="V98" s="228">
        <v>6.98</v>
      </c>
      <c r="W98" s="228">
        <v>7.09</v>
      </c>
      <c r="X98" s="228">
        <v>-0.11</v>
      </c>
      <c r="Y98" s="229">
        <v>-1.55E-2</v>
      </c>
      <c r="Z98" s="228">
        <v>0.02</v>
      </c>
      <c r="AA98" s="228">
        <v>0.01</v>
      </c>
      <c r="AB98" s="228">
        <v>0.01</v>
      </c>
      <c r="AC98" s="229">
        <v>2.8999999999999998E-3</v>
      </c>
      <c r="AD98" s="228">
        <v>-0.02</v>
      </c>
      <c r="AE98" s="228">
        <v>0.01</v>
      </c>
      <c r="AF98" s="228">
        <v>-0.03</v>
      </c>
      <c r="AG98" s="229">
        <v>-2.8999999999999998E-3</v>
      </c>
      <c r="AH98" s="228">
        <v>0.02</v>
      </c>
      <c r="AI98" s="228">
        <v>0.05</v>
      </c>
      <c r="AJ98" s="228">
        <v>-0.03</v>
      </c>
      <c r="AK98" s="229">
        <v>2.8999999999999998E-3</v>
      </c>
      <c r="AL98" s="228">
        <v>7.0000000000000007E-2</v>
      </c>
      <c r="AM98" s="228">
        <v>0.09</v>
      </c>
      <c r="AN98" s="228">
        <v>-0.02</v>
      </c>
      <c r="AO98" s="229">
        <v>1.01E-2</v>
      </c>
      <c r="AP98" s="228">
        <v>6.94</v>
      </c>
      <c r="AQ98" s="228">
        <v>6.98</v>
      </c>
      <c r="AR98" s="228">
        <v>0</v>
      </c>
      <c r="AS98" s="230">
        <v>1516</v>
      </c>
      <c r="AT98" s="230">
        <v>2151</v>
      </c>
      <c r="AU98" s="228">
        <v>-634</v>
      </c>
      <c r="AV98" s="229">
        <v>-0.29499999999999998</v>
      </c>
      <c r="AW98" s="228">
        <v>700</v>
      </c>
      <c r="AX98" s="230">
        <v>1029</v>
      </c>
      <c r="AY98" s="228">
        <v>-329</v>
      </c>
      <c r="AZ98" s="229">
        <v>-0.31990000000000002</v>
      </c>
      <c r="BA98" s="228">
        <v>776</v>
      </c>
      <c r="BB98" s="230">
        <v>1096</v>
      </c>
      <c r="BC98" s="228">
        <v>-320</v>
      </c>
      <c r="BD98" s="229">
        <v>-0.29199999999999998</v>
      </c>
      <c r="BE98" s="228">
        <v>41</v>
      </c>
      <c r="BF98" s="228">
        <v>26</v>
      </c>
      <c r="BG98" s="228">
        <v>15</v>
      </c>
      <c r="BH98" s="229">
        <v>0.5595</v>
      </c>
      <c r="BI98" s="228">
        <v>171</v>
      </c>
      <c r="BJ98" s="228">
        <v>337</v>
      </c>
      <c r="BK98" s="228">
        <v>-166</v>
      </c>
      <c r="BL98" s="229">
        <v>-0.49199999999999999</v>
      </c>
      <c r="BM98" s="228">
        <v>296</v>
      </c>
      <c r="BN98" s="228">
        <v>174</v>
      </c>
      <c r="BO98" s="228">
        <v>122</v>
      </c>
      <c r="BP98" s="229">
        <v>0.69789999999999996</v>
      </c>
      <c r="BQ98" s="230">
        <v>1984</v>
      </c>
      <c r="BR98" s="230">
        <v>2662</v>
      </c>
      <c r="BS98" s="228">
        <v>-679</v>
      </c>
      <c r="BT98" s="229">
        <v>-0.25490000000000002</v>
      </c>
      <c r="BU98" s="230">
        <v>398270898</v>
      </c>
      <c r="BV98" s="230">
        <v>344803456</v>
      </c>
      <c r="BW98" s="230">
        <v>53467442</v>
      </c>
      <c r="BX98" s="229">
        <v>0.15509999999999999</v>
      </c>
      <c r="BY98" s="230">
        <v>3693</v>
      </c>
      <c r="BZ98" s="230">
        <v>3808</v>
      </c>
      <c r="CA98" s="228">
        <v>-115</v>
      </c>
      <c r="CB98" s="229">
        <v>-3.0200000000000001E-2</v>
      </c>
      <c r="CC98" s="228">
        <v>95</v>
      </c>
      <c r="CD98" s="228">
        <v>551</v>
      </c>
      <c r="CE98" s="228">
        <v>-455</v>
      </c>
      <c r="CF98" s="229">
        <v>-0.82699999999999996</v>
      </c>
      <c r="CG98" s="230">
        <v>3579</v>
      </c>
      <c r="CH98" s="230">
        <v>3167</v>
      </c>
      <c r="CI98" s="228">
        <v>412</v>
      </c>
      <c r="CJ98" s="229">
        <v>0.13020000000000001</v>
      </c>
      <c r="CK98" s="228">
        <v>114</v>
      </c>
      <c r="CL98" s="228">
        <v>91</v>
      </c>
      <c r="CM98" s="228">
        <v>23</v>
      </c>
      <c r="CN98" s="229">
        <v>0.25679999999999997</v>
      </c>
      <c r="CO98" s="228">
        <v>394</v>
      </c>
      <c r="CP98" s="230">
        <v>1090</v>
      </c>
      <c r="CQ98" s="228">
        <v>-696</v>
      </c>
      <c r="CR98" s="229">
        <v>-0.63829999999999998</v>
      </c>
      <c r="CS98" s="228">
        <v>335</v>
      </c>
      <c r="CT98" s="228">
        <v>630</v>
      </c>
      <c r="CU98" s="228">
        <v>-295</v>
      </c>
      <c r="CV98" s="229">
        <v>-0.46850000000000003</v>
      </c>
      <c r="CW98" s="230">
        <v>4422</v>
      </c>
      <c r="CX98" s="230">
        <v>5528</v>
      </c>
      <c r="CY98" s="230">
        <v>-1106</v>
      </c>
      <c r="CZ98" s="229">
        <v>-0.2001</v>
      </c>
      <c r="DA98" s="228">
        <v>56.94</v>
      </c>
      <c r="DB98" s="228">
        <v>55.11</v>
      </c>
      <c r="DC98" s="228">
        <v>1.83</v>
      </c>
      <c r="DD98" s="228">
        <v>1.83</v>
      </c>
      <c r="DE98" s="228">
        <v>66.709999999999994</v>
      </c>
      <c r="DF98" s="228">
        <v>66.83</v>
      </c>
      <c r="DG98" s="228">
        <v>-9.77</v>
      </c>
      <c r="DH98" s="228">
        <v>-0.12</v>
      </c>
      <c r="DI98" s="228">
        <v>58.26</v>
      </c>
      <c r="DJ98" s="228">
        <v>58.48</v>
      </c>
      <c r="DK98" s="228">
        <v>-0.22</v>
      </c>
      <c r="DL98" s="228">
        <v>-0.22</v>
      </c>
      <c r="DM98" s="228">
        <v>54.41</v>
      </c>
      <c r="DN98" s="228">
        <v>49.16</v>
      </c>
      <c r="DO98" s="228">
        <v>5.25</v>
      </c>
      <c r="DP98" s="228">
        <v>5.25</v>
      </c>
      <c r="DQ98" s="228">
        <v>0.85</v>
      </c>
      <c r="DR98" s="228">
        <v>0.57999999999999996</v>
      </c>
      <c r="DS98" s="228">
        <v>0.27</v>
      </c>
      <c r="DT98" s="229">
        <v>0.46550000000000002</v>
      </c>
      <c r="DU98" s="228">
        <v>8</v>
      </c>
      <c r="DV98" s="228">
        <v>6</v>
      </c>
      <c r="DW98" s="228">
        <v>1.73</v>
      </c>
      <c r="DX98" s="228">
        <v>0.52</v>
      </c>
      <c r="DY98" s="228">
        <v>1.21</v>
      </c>
      <c r="DZ98" s="229">
        <v>2.3269000000000002</v>
      </c>
      <c r="EA98" s="229">
        <v>0.9748</v>
      </c>
      <c r="EB98" s="230">
        <v>4700338950</v>
      </c>
      <c r="EC98" s="229">
        <v>5.7999999999999996E-3</v>
      </c>
      <c r="ED98" s="229">
        <v>0.9748</v>
      </c>
      <c r="EE98" s="228">
        <v>0.04</v>
      </c>
      <c r="EF98" s="229">
        <v>5.7999999999999996E-3</v>
      </c>
      <c r="EG98" s="230">
        <v>93435643</v>
      </c>
      <c r="EH98" s="230">
        <v>94733561</v>
      </c>
      <c r="EI98" s="229">
        <v>-1.37E-2</v>
      </c>
      <c r="EJ98" s="229">
        <v>0.2346</v>
      </c>
      <c r="EK98" s="228">
        <v>187.23</v>
      </c>
      <c r="EL98" s="228">
        <v>329.25</v>
      </c>
      <c r="EM98" s="231">
        <v>1523</v>
      </c>
      <c r="EN98" s="228">
        <v>0</v>
      </c>
      <c r="EO98" s="231">
        <v>2039.48</v>
      </c>
      <c r="EP98" s="231">
        <v>2774.07</v>
      </c>
      <c r="EQ98" s="228">
        <v>-734.6</v>
      </c>
      <c r="ER98" s="229">
        <v>-0.26479999999999998</v>
      </c>
      <c r="ES98" s="228">
        <v>479.82</v>
      </c>
      <c r="ET98" s="228">
        <v>338.53</v>
      </c>
      <c r="EU98" s="231">
        <v>3693.84</v>
      </c>
      <c r="EV98" s="231">
        <v>16128051291</v>
      </c>
      <c r="EW98" s="231">
        <v>4512.1899999999996</v>
      </c>
      <c r="EX98" s="231">
        <v>5813.72</v>
      </c>
      <c r="EY98" s="231">
        <v>-1301.53</v>
      </c>
      <c r="EZ98" s="229">
        <v>-0.22389999999999999</v>
      </c>
      <c r="FA98" s="229">
        <v>0.3957</v>
      </c>
      <c r="FB98" s="227" t="s">
        <v>568</v>
      </c>
      <c r="FC98">
        <f t="shared" si="1"/>
        <v>3598</v>
      </c>
    </row>
    <row r="99" spans="1:159" ht="17.25" thickBot="1" x14ac:dyDescent="0.3">
      <c r="A99" s="226">
        <v>45869</v>
      </c>
      <c r="B99" s="227" t="s">
        <v>172</v>
      </c>
      <c r="C99" s="227" t="s">
        <v>235</v>
      </c>
      <c r="D99" s="228">
        <v>9275</v>
      </c>
      <c r="E99" s="228">
        <v>0</v>
      </c>
      <c r="F99" s="228">
        <v>69.150000000000006</v>
      </c>
      <c r="G99" s="228">
        <v>69.67</v>
      </c>
      <c r="H99" s="228">
        <v>-0.52</v>
      </c>
      <c r="I99" s="229">
        <v>-7.4999999999999997E-3</v>
      </c>
      <c r="J99" s="228">
        <v>68.760000000000005</v>
      </c>
      <c r="K99" s="228">
        <v>69.239999999999995</v>
      </c>
      <c r="L99" s="228">
        <v>-0.48</v>
      </c>
      <c r="M99" s="229">
        <v>-6.8999999999999999E-3</v>
      </c>
      <c r="N99" s="228">
        <v>68.81</v>
      </c>
      <c r="O99" s="228">
        <v>69.31</v>
      </c>
      <c r="P99" s="228">
        <v>-0.5</v>
      </c>
      <c r="Q99" s="229">
        <v>-7.1999999999999998E-3</v>
      </c>
      <c r="R99" s="228">
        <v>69.150000000000006</v>
      </c>
      <c r="S99" s="228">
        <v>69.67</v>
      </c>
      <c r="T99" s="228">
        <v>-0.52</v>
      </c>
      <c r="U99" s="229">
        <v>-7.4999999999999997E-3</v>
      </c>
      <c r="V99" s="228">
        <v>69.58</v>
      </c>
      <c r="W99" s="228">
        <v>70.08</v>
      </c>
      <c r="X99" s="228">
        <v>-0.5</v>
      </c>
      <c r="Y99" s="229">
        <v>-7.1000000000000004E-3</v>
      </c>
      <c r="Z99" s="228">
        <v>0.39</v>
      </c>
      <c r="AA99" s="228">
        <v>7.0000000000000007E-2</v>
      </c>
      <c r="AB99" s="228">
        <v>0.32</v>
      </c>
      <c r="AC99" s="229">
        <v>5.7000000000000002E-3</v>
      </c>
      <c r="AD99" s="228">
        <v>0.05</v>
      </c>
      <c r="AE99" s="228">
        <v>7.0000000000000007E-2</v>
      </c>
      <c r="AF99" s="228">
        <v>-0.02</v>
      </c>
      <c r="AG99" s="229">
        <v>6.9999999999999999E-4</v>
      </c>
      <c r="AH99" s="228">
        <v>0.39</v>
      </c>
      <c r="AI99" s="228">
        <v>0.43</v>
      </c>
      <c r="AJ99" s="228">
        <v>-0.04</v>
      </c>
      <c r="AK99" s="229">
        <v>5.7000000000000002E-3</v>
      </c>
      <c r="AL99" s="228">
        <v>0.82</v>
      </c>
      <c r="AM99" s="228">
        <v>0.84</v>
      </c>
      <c r="AN99" s="228">
        <v>-0.02</v>
      </c>
      <c r="AO99" s="229">
        <v>1.1900000000000001E-2</v>
      </c>
      <c r="AP99" s="228">
        <v>69.03</v>
      </c>
      <c r="AQ99" s="228">
        <v>69.34</v>
      </c>
      <c r="AR99" s="228">
        <v>0</v>
      </c>
      <c r="AS99" s="230">
        <v>1089</v>
      </c>
      <c r="AT99" s="230">
        <v>1177</v>
      </c>
      <c r="AU99" s="228">
        <v>-88</v>
      </c>
      <c r="AV99" s="229">
        <v>-7.51E-2</v>
      </c>
      <c r="AW99" s="228">
        <v>451</v>
      </c>
      <c r="AX99" s="228">
        <v>543</v>
      </c>
      <c r="AY99" s="228">
        <v>-92</v>
      </c>
      <c r="AZ99" s="229">
        <v>-0.16900000000000001</v>
      </c>
      <c r="BA99" s="228">
        <v>614</v>
      </c>
      <c r="BB99" s="228">
        <v>607</v>
      </c>
      <c r="BC99" s="228">
        <v>7</v>
      </c>
      <c r="BD99" s="229">
        <v>1.18E-2</v>
      </c>
      <c r="BE99" s="228">
        <v>23</v>
      </c>
      <c r="BF99" s="228">
        <v>27</v>
      </c>
      <c r="BG99" s="228">
        <v>-4</v>
      </c>
      <c r="BH99" s="229">
        <v>-0.14119999999999999</v>
      </c>
      <c r="BI99" s="228">
        <v>384</v>
      </c>
      <c r="BJ99" s="228">
        <v>520</v>
      </c>
      <c r="BK99" s="228">
        <v>-135</v>
      </c>
      <c r="BL99" s="229">
        <v>-0.26029999999999998</v>
      </c>
      <c r="BM99" s="228">
        <v>405</v>
      </c>
      <c r="BN99" s="228">
        <v>533</v>
      </c>
      <c r="BO99" s="228">
        <v>-128</v>
      </c>
      <c r="BP99" s="229">
        <v>-0.24010000000000001</v>
      </c>
      <c r="BQ99" s="230">
        <v>1878</v>
      </c>
      <c r="BR99" s="230">
        <v>2230</v>
      </c>
      <c r="BS99" s="228">
        <v>-352</v>
      </c>
      <c r="BT99" s="229">
        <v>-0.15770000000000001</v>
      </c>
      <c r="BU99" s="230">
        <v>23917663</v>
      </c>
      <c r="BV99" s="230">
        <v>16747927</v>
      </c>
      <c r="BW99" s="230">
        <v>7169736</v>
      </c>
      <c r="BX99" s="229">
        <v>0.42809999999999998</v>
      </c>
      <c r="BY99" s="230">
        <v>2622</v>
      </c>
      <c r="BZ99" s="230">
        <v>2690</v>
      </c>
      <c r="CA99" s="228">
        <v>-68</v>
      </c>
      <c r="CB99" s="229">
        <v>-2.5399999999999999E-2</v>
      </c>
      <c r="CC99" s="228">
        <v>98</v>
      </c>
      <c r="CD99" s="228">
        <v>398</v>
      </c>
      <c r="CE99" s="228">
        <v>-299</v>
      </c>
      <c r="CF99" s="229">
        <v>-0.75239999999999996</v>
      </c>
      <c r="CG99" s="230">
        <v>2523</v>
      </c>
      <c r="CH99" s="230">
        <v>2204</v>
      </c>
      <c r="CI99" s="228">
        <v>319</v>
      </c>
      <c r="CJ99" s="229">
        <v>0.14480000000000001</v>
      </c>
      <c r="CK99" s="228">
        <v>99</v>
      </c>
      <c r="CL99" s="228">
        <v>89</v>
      </c>
      <c r="CM99" s="228">
        <v>10</v>
      </c>
      <c r="CN99" s="229">
        <v>0.1169</v>
      </c>
      <c r="CO99" s="228">
        <v>416</v>
      </c>
      <c r="CP99" s="230">
        <v>1125</v>
      </c>
      <c r="CQ99" s="228">
        <v>-709</v>
      </c>
      <c r="CR99" s="229">
        <v>-0.63019999999999998</v>
      </c>
      <c r="CS99" s="228">
        <v>308</v>
      </c>
      <c r="CT99" s="228">
        <v>633</v>
      </c>
      <c r="CU99" s="228">
        <v>-325</v>
      </c>
      <c r="CV99" s="229">
        <v>-0.51339999999999997</v>
      </c>
      <c r="CW99" s="230">
        <v>3346</v>
      </c>
      <c r="CX99" s="230">
        <v>4449</v>
      </c>
      <c r="CY99" s="230">
        <v>-1103</v>
      </c>
      <c r="CZ99" s="229">
        <v>-0.24779999999999999</v>
      </c>
      <c r="DA99" s="228">
        <v>26.64</v>
      </c>
      <c r="DB99" s="228">
        <v>27.67</v>
      </c>
      <c r="DC99" s="228">
        <v>-1.03</v>
      </c>
      <c r="DD99" s="228">
        <v>-1.03</v>
      </c>
      <c r="DE99" s="228">
        <v>36.229999999999997</v>
      </c>
      <c r="DF99" s="228">
        <v>36.299999999999997</v>
      </c>
      <c r="DG99" s="228">
        <v>-9.59</v>
      </c>
      <c r="DH99" s="228">
        <v>-7.0000000000000007E-2</v>
      </c>
      <c r="DI99" s="228">
        <v>27.07</v>
      </c>
      <c r="DJ99" s="228">
        <v>28.34</v>
      </c>
      <c r="DK99" s="228">
        <v>-1.27</v>
      </c>
      <c r="DL99" s="228">
        <v>-1.27</v>
      </c>
      <c r="DM99" s="228">
        <v>26.07</v>
      </c>
      <c r="DN99" s="228">
        <v>26.76</v>
      </c>
      <c r="DO99" s="228">
        <v>-0.69</v>
      </c>
      <c r="DP99" s="228">
        <v>-0.69</v>
      </c>
      <c r="DQ99" s="228">
        <v>0.74</v>
      </c>
      <c r="DR99" s="228">
        <v>0.56000000000000005</v>
      </c>
      <c r="DS99" s="228">
        <v>0.18</v>
      </c>
      <c r="DT99" s="229">
        <v>0.32140000000000002</v>
      </c>
      <c r="DU99" s="228">
        <v>80</v>
      </c>
      <c r="DV99" s="228">
        <v>70</v>
      </c>
      <c r="DW99" s="228">
        <v>1.05</v>
      </c>
      <c r="DX99" s="228">
        <v>1.03</v>
      </c>
      <c r="DY99" s="228">
        <v>0.02</v>
      </c>
      <c r="DZ99" s="229">
        <v>1.9400000000000001E-2</v>
      </c>
      <c r="EA99" s="229">
        <v>0.96379999999999999</v>
      </c>
      <c r="EB99" s="230">
        <v>331562700</v>
      </c>
      <c r="EC99" s="229">
        <v>4.8999999999999998E-3</v>
      </c>
      <c r="ED99" s="229">
        <v>0.96379999999999999</v>
      </c>
      <c r="EE99" s="228">
        <v>0.31</v>
      </c>
      <c r="EF99" s="229">
        <v>4.4999999999999997E-3</v>
      </c>
      <c r="EG99" s="230">
        <v>10834742</v>
      </c>
      <c r="EH99" s="230">
        <v>6806660</v>
      </c>
      <c r="EI99" s="229">
        <v>0.59179999999999999</v>
      </c>
      <c r="EJ99" s="229">
        <v>0.45300000000000001</v>
      </c>
      <c r="EK99" s="228">
        <v>406.94</v>
      </c>
      <c r="EL99" s="228">
        <v>424.53</v>
      </c>
      <c r="EM99" s="231">
        <v>1089.97</v>
      </c>
      <c r="EN99" s="228">
        <v>0</v>
      </c>
      <c r="EO99" s="231">
        <v>1921.45</v>
      </c>
      <c r="EP99" s="231">
        <v>2299.91</v>
      </c>
      <c r="EQ99" s="228">
        <v>-378.46</v>
      </c>
      <c r="ER99" s="229">
        <v>-0.1646</v>
      </c>
      <c r="ES99" s="228">
        <v>451.13</v>
      </c>
      <c r="ET99" s="228">
        <v>312</v>
      </c>
      <c r="EU99" s="231">
        <v>2622.78</v>
      </c>
      <c r="EV99" s="231">
        <v>1464421396</v>
      </c>
      <c r="EW99" s="231">
        <v>3385.91</v>
      </c>
      <c r="EX99" s="231">
        <v>4599.82</v>
      </c>
      <c r="EY99" s="231">
        <v>-1213.9100000000001</v>
      </c>
      <c r="EZ99" s="229">
        <v>-0.26390000000000002</v>
      </c>
      <c r="FA99" s="229">
        <v>0.33050000000000002</v>
      </c>
      <c r="FB99" s="227" t="s">
        <v>568</v>
      </c>
      <c r="FC99">
        <f t="shared" si="1"/>
        <v>2524</v>
      </c>
    </row>
    <row r="100" spans="1:159" ht="17.25" thickBot="1" x14ac:dyDescent="0.3">
      <c r="A100" s="226">
        <v>45869</v>
      </c>
      <c r="B100" s="227" t="s">
        <v>161</v>
      </c>
      <c r="C100" s="227" t="s">
        <v>514</v>
      </c>
      <c r="D100" s="228">
        <v>3750</v>
      </c>
      <c r="E100" s="228">
        <v>0</v>
      </c>
      <c r="F100" s="228">
        <v>136.07</v>
      </c>
      <c r="G100" s="228">
        <v>136.59</v>
      </c>
      <c r="H100" s="228">
        <v>-0.52</v>
      </c>
      <c r="I100" s="229">
        <v>-3.8E-3</v>
      </c>
      <c r="J100" s="228">
        <v>135.30000000000001</v>
      </c>
      <c r="K100" s="228">
        <v>136.05000000000001</v>
      </c>
      <c r="L100" s="228">
        <v>-0.75</v>
      </c>
      <c r="M100" s="229">
        <v>-5.4999999999999997E-3</v>
      </c>
      <c r="N100" s="228">
        <v>135.33000000000001</v>
      </c>
      <c r="O100" s="228">
        <v>135.88999999999999</v>
      </c>
      <c r="P100" s="228">
        <v>-0.56000000000000005</v>
      </c>
      <c r="Q100" s="229">
        <v>-4.1000000000000003E-3</v>
      </c>
      <c r="R100" s="228">
        <v>136.07</v>
      </c>
      <c r="S100" s="228">
        <v>136.59</v>
      </c>
      <c r="T100" s="228">
        <v>-0.52</v>
      </c>
      <c r="U100" s="229">
        <v>-3.8E-3</v>
      </c>
      <c r="V100" s="228">
        <v>136.66999999999999</v>
      </c>
      <c r="W100" s="228">
        <v>137.05000000000001</v>
      </c>
      <c r="X100" s="228">
        <v>-0.38</v>
      </c>
      <c r="Y100" s="229">
        <v>-2.8E-3</v>
      </c>
      <c r="Z100" s="228">
        <v>0.77</v>
      </c>
      <c r="AA100" s="228">
        <v>-0.16</v>
      </c>
      <c r="AB100" s="228">
        <v>0.93</v>
      </c>
      <c r="AC100" s="229">
        <v>5.7000000000000002E-3</v>
      </c>
      <c r="AD100" s="228">
        <v>0.03</v>
      </c>
      <c r="AE100" s="228">
        <v>-0.16</v>
      </c>
      <c r="AF100" s="228">
        <v>0.19</v>
      </c>
      <c r="AG100" s="229">
        <v>2.0000000000000001E-4</v>
      </c>
      <c r="AH100" s="228">
        <v>0.77</v>
      </c>
      <c r="AI100" s="228">
        <v>0.54</v>
      </c>
      <c r="AJ100" s="228">
        <v>0.23</v>
      </c>
      <c r="AK100" s="229">
        <v>5.7000000000000002E-3</v>
      </c>
      <c r="AL100" s="228">
        <v>1.37</v>
      </c>
      <c r="AM100" s="228">
        <v>1</v>
      </c>
      <c r="AN100" s="228">
        <v>0.37</v>
      </c>
      <c r="AO100" s="229">
        <v>1.01E-2</v>
      </c>
      <c r="AP100" s="228">
        <v>137.24</v>
      </c>
      <c r="AQ100" s="228">
        <v>137.93</v>
      </c>
      <c r="AR100" s="228">
        <v>0</v>
      </c>
      <c r="AS100" s="228">
        <v>628</v>
      </c>
      <c r="AT100" s="228">
        <v>523</v>
      </c>
      <c r="AU100" s="228">
        <v>105</v>
      </c>
      <c r="AV100" s="229">
        <v>0.20069999999999999</v>
      </c>
      <c r="AW100" s="228">
        <v>257</v>
      </c>
      <c r="AX100" s="228">
        <v>230</v>
      </c>
      <c r="AY100" s="228">
        <v>27</v>
      </c>
      <c r="AZ100" s="229">
        <v>0.1172</v>
      </c>
      <c r="BA100" s="228">
        <v>357</v>
      </c>
      <c r="BB100" s="228">
        <v>282</v>
      </c>
      <c r="BC100" s="228">
        <v>75</v>
      </c>
      <c r="BD100" s="229">
        <v>0.26440000000000002</v>
      </c>
      <c r="BE100" s="228">
        <v>15</v>
      </c>
      <c r="BF100" s="228">
        <v>11</v>
      </c>
      <c r="BG100" s="228">
        <v>3</v>
      </c>
      <c r="BH100" s="229">
        <v>0.30909999999999999</v>
      </c>
      <c r="BI100" s="228">
        <v>766</v>
      </c>
      <c r="BJ100" s="228">
        <v>912</v>
      </c>
      <c r="BK100" s="228">
        <v>-145</v>
      </c>
      <c r="BL100" s="229">
        <v>-0.15939999999999999</v>
      </c>
      <c r="BM100" s="228">
        <v>416</v>
      </c>
      <c r="BN100" s="228">
        <v>547</v>
      </c>
      <c r="BO100" s="228">
        <v>-130</v>
      </c>
      <c r="BP100" s="229">
        <v>-0.23849999999999999</v>
      </c>
      <c r="BQ100" s="230">
        <v>1810</v>
      </c>
      <c r="BR100" s="230">
        <v>1981</v>
      </c>
      <c r="BS100" s="228">
        <v>-171</v>
      </c>
      <c r="BT100" s="229">
        <v>-8.6199999999999999E-2</v>
      </c>
      <c r="BU100" s="230">
        <v>29966669</v>
      </c>
      <c r="BV100" s="230">
        <v>41613821</v>
      </c>
      <c r="BW100" s="230">
        <v>-11647152</v>
      </c>
      <c r="BX100" s="229">
        <v>-0.27989999999999998</v>
      </c>
      <c r="BY100" s="228">
        <v>467</v>
      </c>
      <c r="BZ100" s="228">
        <v>567</v>
      </c>
      <c r="CA100" s="228">
        <v>-100</v>
      </c>
      <c r="CB100" s="229">
        <v>-0.17599999999999999</v>
      </c>
      <c r="CC100" s="228">
        <v>138</v>
      </c>
      <c r="CD100" s="228">
        <v>230</v>
      </c>
      <c r="CE100" s="228">
        <v>-92</v>
      </c>
      <c r="CF100" s="229">
        <v>-0.39910000000000001</v>
      </c>
      <c r="CG100" s="228">
        <v>437</v>
      </c>
      <c r="CH100" s="228">
        <v>311</v>
      </c>
      <c r="CI100" s="228">
        <v>127</v>
      </c>
      <c r="CJ100" s="229">
        <v>0.40760000000000002</v>
      </c>
      <c r="CK100" s="228">
        <v>30</v>
      </c>
      <c r="CL100" s="228">
        <v>26</v>
      </c>
      <c r="CM100" s="228">
        <v>4</v>
      </c>
      <c r="CN100" s="229">
        <v>0.15160000000000001</v>
      </c>
      <c r="CO100" s="228">
        <v>337</v>
      </c>
      <c r="CP100" s="228">
        <v>772</v>
      </c>
      <c r="CQ100" s="228">
        <v>-435</v>
      </c>
      <c r="CR100" s="229">
        <v>-0.56340000000000001</v>
      </c>
      <c r="CS100" s="228">
        <v>273</v>
      </c>
      <c r="CT100" s="228">
        <v>915</v>
      </c>
      <c r="CU100" s="228">
        <v>-642</v>
      </c>
      <c r="CV100" s="229">
        <v>-0.70109999999999995</v>
      </c>
      <c r="CW100" s="230">
        <v>1078</v>
      </c>
      <c r="CX100" s="230">
        <v>2254</v>
      </c>
      <c r="CY100" s="230">
        <v>-1176</v>
      </c>
      <c r="CZ100" s="229">
        <v>-0.52190000000000003</v>
      </c>
      <c r="DA100" s="228">
        <v>51.18</v>
      </c>
      <c r="DB100" s="228">
        <v>50.61</v>
      </c>
      <c r="DC100" s="228">
        <v>0.56999999999999995</v>
      </c>
      <c r="DD100" s="228">
        <v>0.56999999999999995</v>
      </c>
      <c r="DE100" s="228">
        <v>63.88</v>
      </c>
      <c r="DF100" s="228">
        <v>64.03</v>
      </c>
      <c r="DG100" s="228">
        <v>-12.7</v>
      </c>
      <c r="DH100" s="228">
        <v>-0.15</v>
      </c>
      <c r="DI100" s="228">
        <v>51.64</v>
      </c>
      <c r="DJ100" s="228">
        <v>50.55</v>
      </c>
      <c r="DK100" s="228">
        <v>1.0900000000000001</v>
      </c>
      <c r="DL100" s="228">
        <v>1.0900000000000001</v>
      </c>
      <c r="DM100" s="228">
        <v>50.17</v>
      </c>
      <c r="DN100" s="228">
        <v>50.73</v>
      </c>
      <c r="DO100" s="228">
        <v>-0.56000000000000005</v>
      </c>
      <c r="DP100" s="228">
        <v>-0.56000000000000005</v>
      </c>
      <c r="DQ100" s="228">
        <v>0.81</v>
      </c>
      <c r="DR100" s="228">
        <v>1.18</v>
      </c>
      <c r="DS100" s="228">
        <v>-0.37</v>
      </c>
      <c r="DT100" s="229">
        <v>-0.31359999999999999</v>
      </c>
      <c r="DU100" s="228">
        <v>210</v>
      </c>
      <c r="DV100" s="228">
        <v>177.5</v>
      </c>
      <c r="DW100" s="228">
        <v>0.54</v>
      </c>
      <c r="DX100" s="228">
        <v>0.6</v>
      </c>
      <c r="DY100" s="228">
        <v>-0.06</v>
      </c>
      <c r="DZ100" s="229">
        <v>-0.1</v>
      </c>
      <c r="EA100" s="229">
        <v>0.77139999999999997</v>
      </c>
      <c r="EB100" s="230">
        <v>24738750</v>
      </c>
      <c r="EC100" s="229">
        <v>5.4999999999999997E-3</v>
      </c>
      <c r="ED100" s="229">
        <v>0.77139999999999997</v>
      </c>
      <c r="EE100" s="228">
        <v>0.69</v>
      </c>
      <c r="EF100" s="229">
        <v>5.0000000000000001E-3</v>
      </c>
      <c r="EG100" s="230">
        <v>10469073</v>
      </c>
      <c r="EH100" s="230">
        <v>14393561</v>
      </c>
      <c r="EI100" s="229">
        <v>-0.2727</v>
      </c>
      <c r="EJ100" s="229">
        <v>0.34939999999999999</v>
      </c>
      <c r="EK100" s="228">
        <v>853.69</v>
      </c>
      <c r="EL100" s="228">
        <v>484</v>
      </c>
      <c r="EM100" s="228">
        <v>635.38</v>
      </c>
      <c r="EN100" s="228">
        <v>0</v>
      </c>
      <c r="EO100" s="231">
        <v>1973.06</v>
      </c>
      <c r="EP100" s="231">
        <v>2117.09</v>
      </c>
      <c r="EQ100" s="228">
        <v>-144.02000000000001</v>
      </c>
      <c r="ER100" s="229">
        <v>-6.8000000000000005E-2</v>
      </c>
      <c r="ES100" s="228">
        <v>397.39</v>
      </c>
      <c r="ET100" s="228">
        <v>289.77</v>
      </c>
      <c r="EU100" s="228">
        <v>467.33</v>
      </c>
      <c r="EV100" s="231">
        <v>177849950</v>
      </c>
      <c r="EW100" s="231">
        <v>1154.49</v>
      </c>
      <c r="EX100" s="231">
        <v>2703.66</v>
      </c>
      <c r="EY100" s="231">
        <v>-1549.17</v>
      </c>
      <c r="EZ100" s="229">
        <v>-0.57299999999999995</v>
      </c>
      <c r="FA100" s="229">
        <v>0.44540000000000002</v>
      </c>
      <c r="FB100" s="227" t="s">
        <v>568</v>
      </c>
      <c r="FC100">
        <f t="shared" si="1"/>
        <v>329</v>
      </c>
    </row>
    <row r="101" spans="1:159" ht="17.25" thickBot="1" x14ac:dyDescent="0.3">
      <c r="A101" s="226">
        <v>45869</v>
      </c>
      <c r="B101" s="227" t="s">
        <v>193</v>
      </c>
      <c r="C101" s="227" t="s">
        <v>236</v>
      </c>
      <c r="D101" s="228">
        <v>2750</v>
      </c>
      <c r="E101" s="228">
        <v>0</v>
      </c>
      <c r="F101" s="228">
        <v>203.9</v>
      </c>
      <c r="G101" s="228">
        <v>203.05</v>
      </c>
      <c r="H101" s="228">
        <v>0.85</v>
      </c>
      <c r="I101" s="229">
        <v>4.1999999999999997E-3</v>
      </c>
      <c r="J101" s="228">
        <v>205.05</v>
      </c>
      <c r="K101" s="228">
        <v>203.17</v>
      </c>
      <c r="L101" s="228">
        <v>1.88</v>
      </c>
      <c r="M101" s="229">
        <v>9.2999999999999992E-3</v>
      </c>
      <c r="N101" s="228">
        <v>204.73</v>
      </c>
      <c r="O101" s="228">
        <v>203.09</v>
      </c>
      <c r="P101" s="228">
        <v>1.64</v>
      </c>
      <c r="Q101" s="229">
        <v>8.0999999999999996E-3</v>
      </c>
      <c r="R101" s="228">
        <v>203.9</v>
      </c>
      <c r="S101" s="228">
        <v>203.05</v>
      </c>
      <c r="T101" s="228">
        <v>0.85</v>
      </c>
      <c r="U101" s="229">
        <v>4.1999999999999997E-3</v>
      </c>
      <c r="V101" s="228">
        <v>203.94</v>
      </c>
      <c r="W101" s="228">
        <v>202.88</v>
      </c>
      <c r="X101" s="228">
        <v>1.06</v>
      </c>
      <c r="Y101" s="229">
        <v>5.1999999999999998E-3</v>
      </c>
      <c r="Z101" s="228">
        <v>-1.1499999999999999</v>
      </c>
      <c r="AA101" s="228">
        <v>-0.08</v>
      </c>
      <c r="AB101" s="228">
        <v>-1.07</v>
      </c>
      <c r="AC101" s="229">
        <v>-5.5999999999999999E-3</v>
      </c>
      <c r="AD101" s="228">
        <v>-0.32</v>
      </c>
      <c r="AE101" s="228">
        <v>-0.08</v>
      </c>
      <c r="AF101" s="228">
        <v>-0.24</v>
      </c>
      <c r="AG101" s="229">
        <v>-1.6000000000000001E-3</v>
      </c>
      <c r="AH101" s="228">
        <v>-1.1499999999999999</v>
      </c>
      <c r="AI101" s="228">
        <v>-0.12</v>
      </c>
      <c r="AJ101" s="228">
        <v>-1.03</v>
      </c>
      <c r="AK101" s="229">
        <v>-5.5999999999999999E-3</v>
      </c>
      <c r="AL101" s="228">
        <v>-1.1100000000000001</v>
      </c>
      <c r="AM101" s="228">
        <v>-0.28999999999999998</v>
      </c>
      <c r="AN101" s="228">
        <v>-0.82</v>
      </c>
      <c r="AO101" s="229">
        <v>-5.4000000000000003E-3</v>
      </c>
      <c r="AP101" s="228">
        <v>205.29</v>
      </c>
      <c r="AQ101" s="228">
        <v>204.99</v>
      </c>
      <c r="AR101" s="228">
        <v>0</v>
      </c>
      <c r="AS101" s="228">
        <v>513</v>
      </c>
      <c r="AT101" s="228">
        <v>326</v>
      </c>
      <c r="AU101" s="228">
        <v>187</v>
      </c>
      <c r="AV101" s="229">
        <v>0.57189999999999996</v>
      </c>
      <c r="AW101" s="228">
        <v>200</v>
      </c>
      <c r="AX101" s="228">
        <v>155</v>
      </c>
      <c r="AY101" s="228">
        <v>45</v>
      </c>
      <c r="AZ101" s="229">
        <v>0.28949999999999998</v>
      </c>
      <c r="BA101" s="228">
        <v>296</v>
      </c>
      <c r="BB101" s="228">
        <v>167</v>
      </c>
      <c r="BC101" s="228">
        <v>129</v>
      </c>
      <c r="BD101" s="229">
        <v>0.77300000000000002</v>
      </c>
      <c r="BE101" s="228">
        <v>17</v>
      </c>
      <c r="BF101" s="228">
        <v>4</v>
      </c>
      <c r="BG101" s="228">
        <v>13</v>
      </c>
      <c r="BH101" s="229">
        <v>2.9091</v>
      </c>
      <c r="BI101" s="228">
        <v>539</v>
      </c>
      <c r="BJ101" s="228">
        <v>361</v>
      </c>
      <c r="BK101" s="228">
        <v>177</v>
      </c>
      <c r="BL101" s="229">
        <v>0.49080000000000001</v>
      </c>
      <c r="BM101" s="228">
        <v>277</v>
      </c>
      <c r="BN101" s="228">
        <v>257</v>
      </c>
      <c r="BO101" s="228">
        <v>20</v>
      </c>
      <c r="BP101" s="229">
        <v>7.6899999999999996E-2</v>
      </c>
      <c r="BQ101" s="230">
        <v>1329</v>
      </c>
      <c r="BR101" s="228">
        <v>945</v>
      </c>
      <c r="BS101" s="228">
        <v>384</v>
      </c>
      <c r="BT101" s="229">
        <v>0.40610000000000002</v>
      </c>
      <c r="BU101" s="230">
        <v>8402414</v>
      </c>
      <c r="BV101" s="230">
        <v>2773826</v>
      </c>
      <c r="BW101" s="230">
        <v>5628588</v>
      </c>
      <c r="BX101" s="229">
        <v>2.0291999999999999</v>
      </c>
      <c r="BY101" s="228">
        <v>305</v>
      </c>
      <c r="BZ101" s="228">
        <v>420</v>
      </c>
      <c r="CA101" s="228">
        <v>-115</v>
      </c>
      <c r="CB101" s="229">
        <v>-0.27279999999999999</v>
      </c>
      <c r="CC101" s="228">
        <v>24</v>
      </c>
      <c r="CD101" s="228">
        <v>112</v>
      </c>
      <c r="CE101" s="228">
        <v>-87</v>
      </c>
      <c r="CF101" s="229">
        <v>-0.7823</v>
      </c>
      <c r="CG101" s="228">
        <v>277</v>
      </c>
      <c r="CH101" s="228">
        <v>290</v>
      </c>
      <c r="CI101" s="228">
        <v>-13</v>
      </c>
      <c r="CJ101" s="229">
        <v>-4.3299999999999998E-2</v>
      </c>
      <c r="CK101" s="228">
        <v>28</v>
      </c>
      <c r="CL101" s="228">
        <v>19</v>
      </c>
      <c r="CM101" s="228">
        <v>10</v>
      </c>
      <c r="CN101" s="229">
        <v>0.51200000000000001</v>
      </c>
      <c r="CO101" s="228">
        <v>142</v>
      </c>
      <c r="CP101" s="228">
        <v>335</v>
      </c>
      <c r="CQ101" s="228">
        <v>-193</v>
      </c>
      <c r="CR101" s="229">
        <v>-0.57699999999999996</v>
      </c>
      <c r="CS101" s="228">
        <v>88</v>
      </c>
      <c r="CT101" s="228">
        <v>194</v>
      </c>
      <c r="CU101" s="228">
        <v>-107</v>
      </c>
      <c r="CV101" s="229">
        <v>-0.54859999999999998</v>
      </c>
      <c r="CW101" s="228">
        <v>535</v>
      </c>
      <c r="CX101" s="228">
        <v>949</v>
      </c>
      <c r="CY101" s="228">
        <v>-414</v>
      </c>
      <c r="CZ101" s="229">
        <v>-0.43659999999999999</v>
      </c>
      <c r="DA101" s="228">
        <v>32.72</v>
      </c>
      <c r="DB101" s="228">
        <v>35.51</v>
      </c>
      <c r="DC101" s="228">
        <v>-2.79</v>
      </c>
      <c r="DD101" s="228">
        <v>-2.79</v>
      </c>
      <c r="DE101" s="228">
        <v>45.41</v>
      </c>
      <c r="DF101" s="228">
        <v>45.51</v>
      </c>
      <c r="DG101" s="228">
        <v>-12.69</v>
      </c>
      <c r="DH101" s="228">
        <v>-0.1</v>
      </c>
      <c r="DI101" s="228">
        <v>32.630000000000003</v>
      </c>
      <c r="DJ101" s="228">
        <v>35.15</v>
      </c>
      <c r="DK101" s="228">
        <v>-2.52</v>
      </c>
      <c r="DL101" s="228">
        <v>-2.52</v>
      </c>
      <c r="DM101" s="228">
        <v>32.93</v>
      </c>
      <c r="DN101" s="228">
        <v>36.07</v>
      </c>
      <c r="DO101" s="228">
        <v>-3.14</v>
      </c>
      <c r="DP101" s="228">
        <v>-3.14</v>
      </c>
      <c r="DQ101" s="228">
        <v>0.62</v>
      </c>
      <c r="DR101" s="228">
        <v>0.57999999999999996</v>
      </c>
      <c r="DS101" s="228">
        <v>0.04</v>
      </c>
      <c r="DT101" s="229">
        <v>6.9000000000000006E-2</v>
      </c>
      <c r="DU101" s="228">
        <v>220</v>
      </c>
      <c r="DV101" s="228">
        <v>200</v>
      </c>
      <c r="DW101" s="228">
        <v>0.51</v>
      </c>
      <c r="DX101" s="228">
        <v>0.71</v>
      </c>
      <c r="DY101" s="228">
        <v>-0.2</v>
      </c>
      <c r="DZ101" s="229">
        <v>-0.28170000000000001</v>
      </c>
      <c r="EA101" s="229">
        <v>0.92630000000000001</v>
      </c>
      <c r="EB101" s="230">
        <v>15125000</v>
      </c>
      <c r="EC101" s="229">
        <v>-4.1000000000000003E-3</v>
      </c>
      <c r="ED101" s="229">
        <v>0.92630000000000001</v>
      </c>
      <c r="EE101" s="228">
        <v>-0.3</v>
      </c>
      <c r="EF101" s="229">
        <v>-1.5E-3</v>
      </c>
      <c r="EG101" s="230">
        <v>2191346</v>
      </c>
      <c r="EH101" s="230">
        <v>910900</v>
      </c>
      <c r="EI101" s="229">
        <v>1.4056999999999999</v>
      </c>
      <c r="EJ101" s="229">
        <v>0.26079999999999998</v>
      </c>
      <c r="EK101" s="228">
        <v>570.57000000000005</v>
      </c>
      <c r="EL101" s="228">
        <v>279.87</v>
      </c>
      <c r="EM101" s="228">
        <v>515.87</v>
      </c>
      <c r="EN101" s="228">
        <v>0</v>
      </c>
      <c r="EO101" s="231">
        <v>1366.31</v>
      </c>
      <c r="EP101" s="228">
        <v>964.68</v>
      </c>
      <c r="EQ101" s="228">
        <v>401.63</v>
      </c>
      <c r="ER101" s="229">
        <v>0.4163</v>
      </c>
      <c r="ES101" s="228">
        <v>151.69</v>
      </c>
      <c r="ET101" s="228">
        <v>86.13</v>
      </c>
      <c r="EU101" s="228">
        <v>305.38</v>
      </c>
      <c r="EV101" s="231">
        <v>154000160</v>
      </c>
      <c r="EW101" s="228">
        <v>543.19000000000005</v>
      </c>
      <c r="EX101" s="228">
        <v>975.62</v>
      </c>
      <c r="EY101" s="228">
        <v>-432.43</v>
      </c>
      <c r="EZ101" s="229">
        <v>-0.44319999999999998</v>
      </c>
      <c r="FA101" s="229">
        <v>0.17030000000000001</v>
      </c>
      <c r="FB101" s="227" t="s">
        <v>556</v>
      </c>
      <c r="FC101">
        <f t="shared" si="1"/>
        <v>281</v>
      </c>
    </row>
    <row r="102" spans="1:159" ht="17.25" thickBot="1" x14ac:dyDescent="0.3">
      <c r="A102" s="226">
        <v>45869</v>
      </c>
      <c r="B102" s="227" t="s">
        <v>175</v>
      </c>
      <c r="C102" s="227" t="s">
        <v>668</v>
      </c>
      <c r="D102" s="228">
        <v>1650</v>
      </c>
      <c r="E102" s="228">
        <v>0</v>
      </c>
      <c r="F102" s="228">
        <v>478.7</v>
      </c>
      <c r="G102" s="228">
        <v>506.25</v>
      </c>
      <c r="H102" s="228">
        <v>-27.55</v>
      </c>
      <c r="I102" s="229">
        <v>-5.4399999999999997E-2</v>
      </c>
      <c r="J102" s="228">
        <v>477.95</v>
      </c>
      <c r="K102" s="228">
        <v>503.85</v>
      </c>
      <c r="L102" s="228">
        <v>-25.9</v>
      </c>
      <c r="M102" s="229">
        <v>-5.1400000000000001E-2</v>
      </c>
      <c r="N102" s="228">
        <v>477.85</v>
      </c>
      <c r="O102" s="228">
        <v>503.7</v>
      </c>
      <c r="P102" s="228">
        <v>-25.85</v>
      </c>
      <c r="Q102" s="229">
        <v>-5.1299999999999998E-2</v>
      </c>
      <c r="R102" s="228">
        <v>478.7</v>
      </c>
      <c r="S102" s="228">
        <v>506.25</v>
      </c>
      <c r="T102" s="228">
        <v>-27.55</v>
      </c>
      <c r="U102" s="229">
        <v>-5.4399999999999997E-2</v>
      </c>
      <c r="V102" s="228">
        <v>482.75</v>
      </c>
      <c r="W102" s="228">
        <v>508</v>
      </c>
      <c r="X102" s="228">
        <v>-25.25</v>
      </c>
      <c r="Y102" s="229">
        <v>-4.9700000000000001E-2</v>
      </c>
      <c r="Z102" s="228">
        <v>0.75</v>
      </c>
      <c r="AA102" s="228">
        <v>-0.15</v>
      </c>
      <c r="AB102" s="228">
        <v>0.9</v>
      </c>
      <c r="AC102" s="229">
        <v>1.6000000000000001E-3</v>
      </c>
      <c r="AD102" s="228">
        <v>-0.1</v>
      </c>
      <c r="AE102" s="228">
        <v>-0.15</v>
      </c>
      <c r="AF102" s="228">
        <v>0.05</v>
      </c>
      <c r="AG102" s="229">
        <v>-2.0000000000000001E-4</v>
      </c>
      <c r="AH102" s="228">
        <v>0.75</v>
      </c>
      <c r="AI102" s="228">
        <v>2.4</v>
      </c>
      <c r="AJ102" s="228">
        <v>-1.65</v>
      </c>
      <c r="AK102" s="229">
        <v>1.6000000000000001E-3</v>
      </c>
      <c r="AL102" s="228">
        <v>4.8</v>
      </c>
      <c r="AM102" s="228">
        <v>4.1500000000000004</v>
      </c>
      <c r="AN102" s="228">
        <v>0.65</v>
      </c>
      <c r="AO102" s="229">
        <v>0.01</v>
      </c>
      <c r="AP102" s="228">
        <v>486.01</v>
      </c>
      <c r="AQ102" s="228">
        <v>487.54</v>
      </c>
      <c r="AR102" s="228">
        <v>0</v>
      </c>
      <c r="AS102" s="228">
        <v>685</v>
      </c>
      <c r="AT102" s="228">
        <v>485</v>
      </c>
      <c r="AU102" s="228">
        <v>201</v>
      </c>
      <c r="AV102" s="229">
        <v>0.4138</v>
      </c>
      <c r="AW102" s="228">
        <v>244</v>
      </c>
      <c r="AX102" s="228">
        <v>206</v>
      </c>
      <c r="AY102" s="228">
        <v>38</v>
      </c>
      <c r="AZ102" s="229">
        <v>0.18229999999999999</v>
      </c>
      <c r="BA102" s="228">
        <v>439</v>
      </c>
      <c r="BB102" s="228">
        <v>278</v>
      </c>
      <c r="BC102" s="228">
        <v>161</v>
      </c>
      <c r="BD102" s="229">
        <v>0.57889999999999997</v>
      </c>
      <c r="BE102" s="228">
        <v>3</v>
      </c>
      <c r="BF102" s="228">
        <v>1</v>
      </c>
      <c r="BG102" s="228">
        <v>2</v>
      </c>
      <c r="BH102" s="229">
        <v>3.375</v>
      </c>
      <c r="BI102" s="228">
        <v>401</v>
      </c>
      <c r="BJ102" s="228">
        <v>230</v>
      </c>
      <c r="BK102" s="228">
        <v>170</v>
      </c>
      <c r="BL102" s="229">
        <v>0.73899999999999999</v>
      </c>
      <c r="BM102" s="228">
        <v>355</v>
      </c>
      <c r="BN102" s="228">
        <v>165</v>
      </c>
      <c r="BO102" s="228">
        <v>190</v>
      </c>
      <c r="BP102" s="229">
        <v>1.1531</v>
      </c>
      <c r="BQ102" s="230">
        <v>1441</v>
      </c>
      <c r="BR102" s="228">
        <v>880</v>
      </c>
      <c r="BS102" s="228">
        <v>561</v>
      </c>
      <c r="BT102" s="229">
        <v>0.63759999999999994</v>
      </c>
      <c r="BU102" s="230">
        <v>3201592</v>
      </c>
      <c r="BV102" s="230">
        <v>963463</v>
      </c>
      <c r="BW102" s="230">
        <v>2238129</v>
      </c>
      <c r="BX102" s="229">
        <v>2.323</v>
      </c>
      <c r="BY102" s="228">
        <v>637</v>
      </c>
      <c r="BZ102" s="228">
        <v>710</v>
      </c>
      <c r="CA102" s="228">
        <v>-73</v>
      </c>
      <c r="CB102" s="229">
        <v>-0.10249999999999999</v>
      </c>
      <c r="CC102" s="228">
        <v>27</v>
      </c>
      <c r="CD102" s="228">
        <v>151</v>
      </c>
      <c r="CE102" s="228">
        <v>-124</v>
      </c>
      <c r="CF102" s="229">
        <v>-0.82369999999999999</v>
      </c>
      <c r="CG102" s="228">
        <v>634</v>
      </c>
      <c r="CH102" s="228">
        <v>557</v>
      </c>
      <c r="CI102" s="228">
        <v>77</v>
      </c>
      <c r="CJ102" s="229">
        <v>0.13850000000000001</v>
      </c>
      <c r="CK102" s="228">
        <v>4</v>
      </c>
      <c r="CL102" s="228">
        <v>3</v>
      </c>
      <c r="CM102" s="228">
        <v>1</v>
      </c>
      <c r="CN102" s="229">
        <v>0.40629999999999999</v>
      </c>
      <c r="CO102" s="228">
        <v>103</v>
      </c>
      <c r="CP102" s="228">
        <v>190</v>
      </c>
      <c r="CQ102" s="228">
        <v>-87</v>
      </c>
      <c r="CR102" s="229">
        <v>-0.45839999999999997</v>
      </c>
      <c r="CS102" s="228">
        <v>63</v>
      </c>
      <c r="CT102" s="228">
        <v>159</v>
      </c>
      <c r="CU102" s="228">
        <v>-96</v>
      </c>
      <c r="CV102" s="229">
        <v>-0.60580000000000001</v>
      </c>
      <c r="CW102" s="228">
        <v>803</v>
      </c>
      <c r="CX102" s="230">
        <v>1059</v>
      </c>
      <c r="CY102" s="228">
        <v>-256</v>
      </c>
      <c r="CZ102" s="229">
        <v>-0.24179999999999999</v>
      </c>
      <c r="DA102" s="228">
        <v>33.83</v>
      </c>
      <c r="DB102" s="228">
        <v>38.119999999999997</v>
      </c>
      <c r="DC102" s="228">
        <v>-4.29</v>
      </c>
      <c r="DD102" s="228">
        <v>-4.29</v>
      </c>
      <c r="DE102" s="228">
        <v>53.52</v>
      </c>
      <c r="DF102" s="228">
        <v>53.11</v>
      </c>
      <c r="DG102" s="228">
        <v>-19.690000000000001</v>
      </c>
      <c r="DH102" s="228">
        <v>0.41</v>
      </c>
      <c r="DI102" s="228">
        <v>33.31</v>
      </c>
      <c r="DJ102" s="228">
        <v>38</v>
      </c>
      <c r="DK102" s="228">
        <v>-4.6900000000000004</v>
      </c>
      <c r="DL102" s="228">
        <v>-4.6900000000000004</v>
      </c>
      <c r="DM102" s="228">
        <v>34.67</v>
      </c>
      <c r="DN102" s="228">
        <v>38.25</v>
      </c>
      <c r="DO102" s="228">
        <v>-3.58</v>
      </c>
      <c r="DP102" s="228">
        <v>-3.58</v>
      </c>
      <c r="DQ102" s="228">
        <v>0.61</v>
      </c>
      <c r="DR102" s="228">
        <v>0.83</v>
      </c>
      <c r="DS102" s="228">
        <v>-0.22</v>
      </c>
      <c r="DT102" s="229">
        <v>-0.2651</v>
      </c>
      <c r="DU102" s="228">
        <v>500</v>
      </c>
      <c r="DV102" s="228">
        <v>500</v>
      </c>
      <c r="DW102" s="228">
        <v>0.89</v>
      </c>
      <c r="DX102" s="228">
        <v>0.72</v>
      </c>
      <c r="DY102" s="228">
        <v>0.17</v>
      </c>
      <c r="DZ102" s="229">
        <v>0.2361</v>
      </c>
      <c r="EA102" s="229">
        <v>0.95989999999999998</v>
      </c>
      <c r="EB102" s="230">
        <v>11682000</v>
      </c>
      <c r="EC102" s="229">
        <v>1.8E-3</v>
      </c>
      <c r="ED102" s="229">
        <v>0.95989999999999998</v>
      </c>
      <c r="EE102" s="228">
        <v>1.53</v>
      </c>
      <c r="EF102" s="229">
        <v>3.0999999999999999E-3</v>
      </c>
      <c r="EG102" s="230">
        <v>1439662</v>
      </c>
      <c r="EH102" s="230">
        <v>230264</v>
      </c>
      <c r="EI102" s="229">
        <v>5.2522000000000002</v>
      </c>
      <c r="EJ102" s="229">
        <v>0.44969999999999999</v>
      </c>
      <c r="EK102" s="228">
        <v>434.1</v>
      </c>
      <c r="EL102" s="228">
        <v>374.31</v>
      </c>
      <c r="EM102" s="228">
        <v>697.32</v>
      </c>
      <c r="EN102" s="228">
        <v>0</v>
      </c>
      <c r="EO102" s="231">
        <v>1505.73</v>
      </c>
      <c r="EP102" s="228">
        <v>943.33</v>
      </c>
      <c r="EQ102" s="228">
        <v>562.4</v>
      </c>
      <c r="ER102" s="229">
        <v>0.59619999999999995</v>
      </c>
      <c r="ES102" s="228">
        <v>109.92</v>
      </c>
      <c r="ET102" s="228">
        <v>64.08</v>
      </c>
      <c r="EU102" s="228">
        <v>637.36</v>
      </c>
      <c r="EV102" s="231">
        <v>63768380</v>
      </c>
      <c r="EW102" s="228">
        <v>811.37</v>
      </c>
      <c r="EX102" s="231">
        <v>1116.98</v>
      </c>
      <c r="EY102" s="228">
        <v>-305.61</v>
      </c>
      <c r="EZ102" s="229">
        <v>-0.27360000000000001</v>
      </c>
      <c r="FA102" s="229">
        <v>0.26300000000000001</v>
      </c>
      <c r="FB102" s="227" t="s">
        <v>568</v>
      </c>
      <c r="FC102">
        <f t="shared" si="1"/>
        <v>610</v>
      </c>
    </row>
    <row r="103" spans="1:159" ht="17.25" thickBot="1" x14ac:dyDescent="0.3">
      <c r="A103" s="226">
        <v>45869</v>
      </c>
      <c r="B103" s="227" t="s">
        <v>206</v>
      </c>
      <c r="C103" s="227" t="s">
        <v>501</v>
      </c>
      <c r="D103" s="228">
        <v>1000</v>
      </c>
      <c r="E103" s="228">
        <v>0</v>
      </c>
      <c r="F103" s="228">
        <v>743.2</v>
      </c>
      <c r="G103" s="228">
        <v>748.05</v>
      </c>
      <c r="H103" s="228">
        <v>-4.8499999999999996</v>
      </c>
      <c r="I103" s="229">
        <v>-6.4999999999999997E-3</v>
      </c>
      <c r="J103" s="228">
        <v>740.75</v>
      </c>
      <c r="K103" s="228">
        <v>744.9</v>
      </c>
      <c r="L103" s="228">
        <v>-4.1500000000000004</v>
      </c>
      <c r="M103" s="229">
        <v>-5.5999999999999999E-3</v>
      </c>
      <c r="N103" s="228">
        <v>739.1</v>
      </c>
      <c r="O103" s="228">
        <v>744.05</v>
      </c>
      <c r="P103" s="228">
        <v>-4.95</v>
      </c>
      <c r="Q103" s="229">
        <v>-6.7000000000000002E-3</v>
      </c>
      <c r="R103" s="228">
        <v>743.2</v>
      </c>
      <c r="S103" s="228">
        <v>748.05</v>
      </c>
      <c r="T103" s="228">
        <v>-4.8499999999999996</v>
      </c>
      <c r="U103" s="229">
        <v>-6.4999999999999997E-3</v>
      </c>
      <c r="V103" s="228">
        <v>747.9</v>
      </c>
      <c r="W103" s="228">
        <v>752.95</v>
      </c>
      <c r="X103" s="228">
        <v>-5.05</v>
      </c>
      <c r="Y103" s="229">
        <v>-6.7000000000000002E-3</v>
      </c>
      <c r="Z103" s="228">
        <v>2.4500000000000002</v>
      </c>
      <c r="AA103" s="228">
        <v>-0.85</v>
      </c>
      <c r="AB103" s="228">
        <v>3.3</v>
      </c>
      <c r="AC103" s="229">
        <v>3.3E-3</v>
      </c>
      <c r="AD103" s="228">
        <v>-1.65</v>
      </c>
      <c r="AE103" s="228">
        <v>-0.85</v>
      </c>
      <c r="AF103" s="228">
        <v>-0.8</v>
      </c>
      <c r="AG103" s="229">
        <v>-2.2000000000000001E-3</v>
      </c>
      <c r="AH103" s="228">
        <v>2.4500000000000002</v>
      </c>
      <c r="AI103" s="228">
        <v>3.15</v>
      </c>
      <c r="AJ103" s="228">
        <v>-0.7</v>
      </c>
      <c r="AK103" s="229">
        <v>3.3E-3</v>
      </c>
      <c r="AL103" s="228">
        <v>7.15</v>
      </c>
      <c r="AM103" s="228">
        <v>8.0500000000000007</v>
      </c>
      <c r="AN103" s="228">
        <v>-0.9</v>
      </c>
      <c r="AO103" s="229">
        <v>9.7000000000000003E-3</v>
      </c>
      <c r="AP103" s="228">
        <v>739.92</v>
      </c>
      <c r="AQ103" s="228">
        <v>743.63</v>
      </c>
      <c r="AR103" s="228">
        <v>0</v>
      </c>
      <c r="AS103" s="230">
        <v>1079</v>
      </c>
      <c r="AT103" s="228">
        <v>911</v>
      </c>
      <c r="AU103" s="228">
        <v>168</v>
      </c>
      <c r="AV103" s="229">
        <v>0.184</v>
      </c>
      <c r="AW103" s="228">
        <v>482</v>
      </c>
      <c r="AX103" s="228">
        <v>452</v>
      </c>
      <c r="AY103" s="228">
        <v>30</v>
      </c>
      <c r="AZ103" s="229">
        <v>6.5699999999999995E-2</v>
      </c>
      <c r="BA103" s="228">
        <v>581</v>
      </c>
      <c r="BB103" s="228">
        <v>455</v>
      </c>
      <c r="BC103" s="228">
        <v>126</v>
      </c>
      <c r="BD103" s="229">
        <v>0.27779999999999999</v>
      </c>
      <c r="BE103" s="228">
        <v>16</v>
      </c>
      <c r="BF103" s="228">
        <v>4</v>
      </c>
      <c r="BG103" s="228">
        <v>12</v>
      </c>
      <c r="BH103" s="229">
        <v>2.8363999999999998</v>
      </c>
      <c r="BI103" s="228">
        <v>424</v>
      </c>
      <c r="BJ103" s="228">
        <v>612</v>
      </c>
      <c r="BK103" s="228">
        <v>-188</v>
      </c>
      <c r="BL103" s="229">
        <v>-0.30669999999999997</v>
      </c>
      <c r="BM103" s="228">
        <v>317</v>
      </c>
      <c r="BN103" s="228">
        <v>233</v>
      </c>
      <c r="BO103" s="228">
        <v>84</v>
      </c>
      <c r="BP103" s="229">
        <v>0.36030000000000001</v>
      </c>
      <c r="BQ103" s="230">
        <v>1820</v>
      </c>
      <c r="BR103" s="230">
        <v>1756</v>
      </c>
      <c r="BS103" s="228">
        <v>64</v>
      </c>
      <c r="BT103" s="229">
        <v>3.6499999999999998E-2</v>
      </c>
      <c r="BU103" s="230">
        <v>2423645</v>
      </c>
      <c r="BV103" s="230">
        <v>1835881</v>
      </c>
      <c r="BW103" s="230">
        <v>587764</v>
      </c>
      <c r="BX103" s="229">
        <v>0.32019999999999998</v>
      </c>
      <c r="BY103" s="230">
        <v>2068</v>
      </c>
      <c r="BZ103" s="230">
        <v>2125</v>
      </c>
      <c r="CA103" s="228">
        <v>-57</v>
      </c>
      <c r="CB103" s="229">
        <v>-2.6700000000000002E-2</v>
      </c>
      <c r="CC103" s="228">
        <v>61</v>
      </c>
      <c r="CD103" s="228">
        <v>323</v>
      </c>
      <c r="CE103" s="228">
        <v>-262</v>
      </c>
      <c r="CF103" s="229">
        <v>-0.81059999999999999</v>
      </c>
      <c r="CG103" s="230">
        <v>2035</v>
      </c>
      <c r="CH103" s="230">
        <v>1778</v>
      </c>
      <c r="CI103" s="228">
        <v>257</v>
      </c>
      <c r="CJ103" s="229">
        <v>0.14460000000000001</v>
      </c>
      <c r="CK103" s="228">
        <v>33</v>
      </c>
      <c r="CL103" s="228">
        <v>24</v>
      </c>
      <c r="CM103" s="228">
        <v>10</v>
      </c>
      <c r="CN103" s="229">
        <v>0.40439999999999998</v>
      </c>
      <c r="CO103" s="228">
        <v>267</v>
      </c>
      <c r="CP103" s="228">
        <v>637</v>
      </c>
      <c r="CQ103" s="228">
        <v>-370</v>
      </c>
      <c r="CR103" s="229">
        <v>-0.5806</v>
      </c>
      <c r="CS103" s="228">
        <v>210</v>
      </c>
      <c r="CT103" s="228">
        <v>448</v>
      </c>
      <c r="CU103" s="228">
        <v>-238</v>
      </c>
      <c r="CV103" s="229">
        <v>-0.53090000000000004</v>
      </c>
      <c r="CW103" s="230">
        <v>2545</v>
      </c>
      <c r="CX103" s="230">
        <v>3209</v>
      </c>
      <c r="CY103" s="228">
        <v>-664</v>
      </c>
      <c r="CZ103" s="229">
        <v>-0.2069</v>
      </c>
      <c r="DA103" s="228">
        <v>23.59</v>
      </c>
      <c r="DB103" s="228">
        <v>23.89</v>
      </c>
      <c r="DC103" s="228">
        <v>-0.3</v>
      </c>
      <c r="DD103" s="228">
        <v>-0.3</v>
      </c>
      <c r="DE103" s="228">
        <v>38.43</v>
      </c>
      <c r="DF103" s="228">
        <v>38.520000000000003</v>
      </c>
      <c r="DG103" s="228">
        <v>-14.84</v>
      </c>
      <c r="DH103" s="228">
        <v>-0.09</v>
      </c>
      <c r="DI103" s="228">
        <v>23.76</v>
      </c>
      <c r="DJ103" s="228">
        <v>23.88</v>
      </c>
      <c r="DK103" s="228">
        <v>-0.12</v>
      </c>
      <c r="DL103" s="228">
        <v>-0.12</v>
      </c>
      <c r="DM103" s="228">
        <v>23.29</v>
      </c>
      <c r="DN103" s="228">
        <v>23.91</v>
      </c>
      <c r="DO103" s="228">
        <v>-0.62</v>
      </c>
      <c r="DP103" s="228">
        <v>-0.62</v>
      </c>
      <c r="DQ103" s="228">
        <v>0.79</v>
      </c>
      <c r="DR103" s="228">
        <v>0.7</v>
      </c>
      <c r="DS103" s="228">
        <v>0.09</v>
      </c>
      <c r="DT103" s="229">
        <v>0.12859999999999999</v>
      </c>
      <c r="DU103" s="228">
        <v>800</v>
      </c>
      <c r="DV103" s="228">
        <v>750</v>
      </c>
      <c r="DW103" s="228">
        <v>0.75</v>
      </c>
      <c r="DX103" s="228">
        <v>0.38</v>
      </c>
      <c r="DY103" s="228">
        <v>0.37</v>
      </c>
      <c r="DZ103" s="229">
        <v>0.97370000000000001</v>
      </c>
      <c r="EA103" s="229">
        <v>0.97119999999999995</v>
      </c>
      <c r="EB103" s="230">
        <v>24240000</v>
      </c>
      <c r="EC103" s="229">
        <v>5.4999999999999997E-3</v>
      </c>
      <c r="ED103" s="229">
        <v>0.97119999999999995</v>
      </c>
      <c r="EE103" s="228">
        <v>3.71</v>
      </c>
      <c r="EF103" s="229">
        <v>5.0000000000000001E-3</v>
      </c>
      <c r="EG103" s="230">
        <v>1452291</v>
      </c>
      <c r="EH103" s="230">
        <v>1127278</v>
      </c>
      <c r="EI103" s="229">
        <v>0.2883</v>
      </c>
      <c r="EJ103" s="229">
        <v>0.59919999999999995</v>
      </c>
      <c r="EK103" s="228">
        <v>442.48</v>
      </c>
      <c r="EL103" s="228">
        <v>324.11</v>
      </c>
      <c r="EM103" s="231">
        <v>1077.07</v>
      </c>
      <c r="EN103" s="228">
        <v>0</v>
      </c>
      <c r="EO103" s="231">
        <v>1843.66</v>
      </c>
      <c r="EP103" s="231">
        <v>1795.65</v>
      </c>
      <c r="EQ103" s="228">
        <v>48.01</v>
      </c>
      <c r="ER103" s="229">
        <v>2.6700000000000002E-2</v>
      </c>
      <c r="ES103" s="228">
        <v>279.14</v>
      </c>
      <c r="ET103" s="228">
        <v>210.6</v>
      </c>
      <c r="EU103" s="231">
        <v>2068.39</v>
      </c>
      <c r="EV103" s="231">
        <v>176174897</v>
      </c>
      <c r="EW103" s="231">
        <v>2558.12</v>
      </c>
      <c r="EX103" s="231">
        <v>3256.99</v>
      </c>
      <c r="EY103" s="228">
        <v>-698.87</v>
      </c>
      <c r="EZ103" s="229">
        <v>-0.21460000000000001</v>
      </c>
      <c r="FA103" s="229">
        <v>0.19439999999999999</v>
      </c>
      <c r="FB103" s="227" t="s">
        <v>568</v>
      </c>
      <c r="FC103">
        <f t="shared" si="1"/>
        <v>2007</v>
      </c>
    </row>
    <row r="104" spans="1:159" ht="17.25" thickBot="1" x14ac:dyDescent="0.3">
      <c r="A104" s="226">
        <v>45869</v>
      </c>
      <c r="B104" s="227" t="s">
        <v>172</v>
      </c>
      <c r="C104" s="227" t="s">
        <v>579</v>
      </c>
      <c r="D104" s="228">
        <v>1000</v>
      </c>
      <c r="E104" s="228">
        <v>0</v>
      </c>
      <c r="F104" s="228">
        <v>622.6</v>
      </c>
      <c r="G104" s="228">
        <v>618.20000000000005</v>
      </c>
      <c r="H104" s="228">
        <v>4.4000000000000004</v>
      </c>
      <c r="I104" s="229">
        <v>7.1000000000000004E-3</v>
      </c>
      <c r="J104" s="228">
        <v>621.70000000000005</v>
      </c>
      <c r="K104" s="228">
        <v>614.6</v>
      </c>
      <c r="L104" s="228">
        <v>7.1</v>
      </c>
      <c r="M104" s="229">
        <v>1.1599999999999999E-2</v>
      </c>
      <c r="N104" s="228">
        <v>620.35</v>
      </c>
      <c r="O104" s="228">
        <v>615.35</v>
      </c>
      <c r="P104" s="228">
        <v>5</v>
      </c>
      <c r="Q104" s="229">
        <v>8.0999999999999996E-3</v>
      </c>
      <c r="R104" s="228">
        <v>622.6</v>
      </c>
      <c r="S104" s="228">
        <v>618.20000000000005</v>
      </c>
      <c r="T104" s="228">
        <v>4.4000000000000004</v>
      </c>
      <c r="U104" s="229">
        <v>7.1000000000000004E-3</v>
      </c>
      <c r="V104" s="228">
        <v>624.95000000000005</v>
      </c>
      <c r="W104" s="228">
        <v>620.85</v>
      </c>
      <c r="X104" s="228">
        <v>4.0999999999999996</v>
      </c>
      <c r="Y104" s="229">
        <v>6.6E-3</v>
      </c>
      <c r="Z104" s="228">
        <v>0.9</v>
      </c>
      <c r="AA104" s="228">
        <v>0.75</v>
      </c>
      <c r="AB104" s="228">
        <v>0.15</v>
      </c>
      <c r="AC104" s="229">
        <v>1.4E-3</v>
      </c>
      <c r="AD104" s="228">
        <v>-1.35</v>
      </c>
      <c r="AE104" s="228">
        <v>0.75</v>
      </c>
      <c r="AF104" s="228">
        <v>-2.1</v>
      </c>
      <c r="AG104" s="229">
        <v>-2.2000000000000001E-3</v>
      </c>
      <c r="AH104" s="228">
        <v>0.9</v>
      </c>
      <c r="AI104" s="228">
        <v>3.6</v>
      </c>
      <c r="AJ104" s="228">
        <v>-2.7</v>
      </c>
      <c r="AK104" s="229">
        <v>1.4E-3</v>
      </c>
      <c r="AL104" s="228">
        <v>3.25</v>
      </c>
      <c r="AM104" s="228">
        <v>6.25</v>
      </c>
      <c r="AN104" s="228">
        <v>-3</v>
      </c>
      <c r="AO104" s="229">
        <v>5.1999999999999998E-3</v>
      </c>
      <c r="AP104" s="228">
        <v>616.89</v>
      </c>
      <c r="AQ104" s="228">
        <v>619.92999999999995</v>
      </c>
      <c r="AR104" s="228">
        <v>0</v>
      </c>
      <c r="AS104" s="228">
        <v>266</v>
      </c>
      <c r="AT104" s="228">
        <v>341</v>
      </c>
      <c r="AU104" s="228">
        <v>-76</v>
      </c>
      <c r="AV104" s="229">
        <v>-0.2218</v>
      </c>
      <c r="AW104" s="228">
        <v>108</v>
      </c>
      <c r="AX104" s="228">
        <v>146</v>
      </c>
      <c r="AY104" s="228">
        <v>-38</v>
      </c>
      <c r="AZ104" s="229">
        <v>-0.2616</v>
      </c>
      <c r="BA104" s="228">
        <v>155</v>
      </c>
      <c r="BB104" s="228">
        <v>194</v>
      </c>
      <c r="BC104" s="228">
        <v>-39</v>
      </c>
      <c r="BD104" s="229">
        <v>-0.2019</v>
      </c>
      <c r="BE104" s="228">
        <v>3</v>
      </c>
      <c r="BF104" s="228">
        <v>1</v>
      </c>
      <c r="BG104" s="228">
        <v>2</v>
      </c>
      <c r="BH104" s="229">
        <v>1.2273000000000001</v>
      </c>
      <c r="BI104" s="228">
        <v>118</v>
      </c>
      <c r="BJ104" s="228">
        <v>183</v>
      </c>
      <c r="BK104" s="228">
        <v>-65</v>
      </c>
      <c r="BL104" s="229">
        <v>-0.35589999999999999</v>
      </c>
      <c r="BM104" s="228">
        <v>76</v>
      </c>
      <c r="BN104" s="228">
        <v>88</v>
      </c>
      <c r="BO104" s="228">
        <v>-12</v>
      </c>
      <c r="BP104" s="229">
        <v>-0.13370000000000001</v>
      </c>
      <c r="BQ104" s="228">
        <v>459</v>
      </c>
      <c r="BR104" s="228">
        <v>612</v>
      </c>
      <c r="BS104" s="228">
        <v>-152</v>
      </c>
      <c r="BT104" s="229">
        <v>-0.24929999999999999</v>
      </c>
      <c r="BU104" s="230">
        <v>1838026</v>
      </c>
      <c r="BV104" s="230">
        <v>1019041</v>
      </c>
      <c r="BW104" s="230">
        <v>818985</v>
      </c>
      <c r="BX104" s="229">
        <v>0.80369999999999997</v>
      </c>
      <c r="BY104" s="228">
        <v>451</v>
      </c>
      <c r="BZ104" s="228">
        <v>505</v>
      </c>
      <c r="CA104" s="228">
        <v>-55</v>
      </c>
      <c r="CB104" s="229">
        <v>-0.108</v>
      </c>
      <c r="CC104" s="228">
        <v>20</v>
      </c>
      <c r="CD104" s="228">
        <v>84</v>
      </c>
      <c r="CE104" s="228">
        <v>-63</v>
      </c>
      <c r="CF104" s="229">
        <v>-0.75760000000000005</v>
      </c>
      <c r="CG104" s="228">
        <v>444</v>
      </c>
      <c r="CH104" s="228">
        <v>416</v>
      </c>
      <c r="CI104" s="228">
        <v>28</v>
      </c>
      <c r="CJ104" s="229">
        <v>6.6199999999999995E-2</v>
      </c>
      <c r="CK104" s="228">
        <v>7</v>
      </c>
      <c r="CL104" s="228">
        <v>5</v>
      </c>
      <c r="CM104" s="228">
        <v>2</v>
      </c>
      <c r="CN104" s="229">
        <v>0.3291</v>
      </c>
      <c r="CO104" s="228">
        <v>61</v>
      </c>
      <c r="CP104" s="228">
        <v>183</v>
      </c>
      <c r="CQ104" s="228">
        <v>-122</v>
      </c>
      <c r="CR104" s="229">
        <v>-0.66830000000000001</v>
      </c>
      <c r="CS104" s="228">
        <v>46</v>
      </c>
      <c r="CT104" s="228">
        <v>127</v>
      </c>
      <c r="CU104" s="228">
        <v>-81</v>
      </c>
      <c r="CV104" s="229">
        <v>-0.63570000000000004</v>
      </c>
      <c r="CW104" s="228">
        <v>557</v>
      </c>
      <c r="CX104" s="228">
        <v>815</v>
      </c>
      <c r="CY104" s="228">
        <v>-257</v>
      </c>
      <c r="CZ104" s="229">
        <v>-0.31580000000000003</v>
      </c>
      <c r="DA104" s="228">
        <v>28.36</v>
      </c>
      <c r="DB104" s="228">
        <v>29.81</v>
      </c>
      <c r="DC104" s="228">
        <v>-1.45</v>
      </c>
      <c r="DD104" s="228">
        <v>-1.45</v>
      </c>
      <c r="DE104" s="228">
        <v>41.18</v>
      </c>
      <c r="DF104" s="228">
        <v>41.27</v>
      </c>
      <c r="DG104" s="228">
        <v>-12.82</v>
      </c>
      <c r="DH104" s="228">
        <v>-0.09</v>
      </c>
      <c r="DI104" s="228">
        <v>28.55</v>
      </c>
      <c r="DJ104" s="228">
        <v>30.22</v>
      </c>
      <c r="DK104" s="228">
        <v>-1.67</v>
      </c>
      <c r="DL104" s="228">
        <v>-1.67</v>
      </c>
      <c r="DM104" s="228">
        <v>28.11</v>
      </c>
      <c r="DN104" s="228">
        <v>29.27</v>
      </c>
      <c r="DO104" s="228">
        <v>-1.1599999999999999</v>
      </c>
      <c r="DP104" s="228">
        <v>-1.1599999999999999</v>
      </c>
      <c r="DQ104" s="228">
        <v>0.76</v>
      </c>
      <c r="DR104" s="228">
        <v>0.69</v>
      </c>
      <c r="DS104" s="228">
        <v>7.0000000000000007E-2</v>
      </c>
      <c r="DT104" s="229">
        <v>0.1014</v>
      </c>
      <c r="DU104" s="228">
        <v>650</v>
      </c>
      <c r="DV104" s="228">
        <v>600</v>
      </c>
      <c r="DW104" s="228">
        <v>0.64</v>
      </c>
      <c r="DX104" s="228">
        <v>0.48</v>
      </c>
      <c r="DY104" s="228">
        <v>0.16</v>
      </c>
      <c r="DZ104" s="229">
        <v>0.33329999999999999</v>
      </c>
      <c r="EA104" s="229">
        <v>0.95689999999999997</v>
      </c>
      <c r="EB104" s="230">
        <v>6768000</v>
      </c>
      <c r="EC104" s="229">
        <v>3.5999999999999999E-3</v>
      </c>
      <c r="ED104" s="229">
        <v>0.95689999999999997</v>
      </c>
      <c r="EE104" s="228">
        <v>3.04</v>
      </c>
      <c r="EF104" s="229">
        <v>4.8999999999999998E-3</v>
      </c>
      <c r="EG104" s="230">
        <v>1275617</v>
      </c>
      <c r="EH104" s="230">
        <v>518996</v>
      </c>
      <c r="EI104" s="229">
        <v>1.4579</v>
      </c>
      <c r="EJ104" s="229">
        <v>0.69399999999999995</v>
      </c>
      <c r="EK104" s="228">
        <v>122.89</v>
      </c>
      <c r="EL104" s="228">
        <v>75.64</v>
      </c>
      <c r="EM104" s="228">
        <v>264</v>
      </c>
      <c r="EN104" s="228">
        <v>0</v>
      </c>
      <c r="EO104" s="228">
        <v>462.53</v>
      </c>
      <c r="EP104" s="228">
        <v>620.47</v>
      </c>
      <c r="EQ104" s="228">
        <v>-157.94999999999999</v>
      </c>
      <c r="ER104" s="229">
        <v>-0.25459999999999999</v>
      </c>
      <c r="ES104" s="228">
        <v>64.16</v>
      </c>
      <c r="ET104" s="228">
        <v>44.86</v>
      </c>
      <c r="EU104" s="228">
        <v>450.6</v>
      </c>
      <c r="EV104" s="231">
        <v>70482876</v>
      </c>
      <c r="EW104" s="228">
        <v>559.62</v>
      </c>
      <c r="EX104" s="228">
        <v>819.96</v>
      </c>
      <c r="EY104" s="228">
        <v>-260.33999999999997</v>
      </c>
      <c r="EZ104" s="229">
        <v>-0.3175</v>
      </c>
      <c r="FA104" s="229">
        <v>0.127</v>
      </c>
      <c r="FB104" s="227" t="s">
        <v>556</v>
      </c>
      <c r="FC104">
        <f t="shared" si="1"/>
        <v>431</v>
      </c>
    </row>
    <row r="105" spans="1:159" ht="17.25" thickBot="1" x14ac:dyDescent="0.3">
      <c r="A105" s="226">
        <v>45869</v>
      </c>
      <c r="B105" s="227" t="s">
        <v>181</v>
      </c>
      <c r="C105" s="227" t="s">
        <v>570</v>
      </c>
      <c r="D105" s="228">
        <v>1</v>
      </c>
      <c r="E105" s="228">
        <v>0</v>
      </c>
      <c r="F105" s="228">
        <v>0</v>
      </c>
      <c r="G105" s="228">
        <v>0</v>
      </c>
      <c r="H105" s="228">
        <v>0</v>
      </c>
      <c r="I105" s="229">
        <v>0</v>
      </c>
      <c r="J105" s="228">
        <v>11.54</v>
      </c>
      <c r="K105" s="228">
        <v>11.21</v>
      </c>
      <c r="L105" s="228">
        <v>0.33</v>
      </c>
      <c r="M105" s="229">
        <v>2.9700000000000001E-2</v>
      </c>
      <c r="N105" s="228">
        <v>0</v>
      </c>
      <c r="O105" s="228">
        <v>0</v>
      </c>
      <c r="P105" s="228">
        <v>0</v>
      </c>
      <c r="Q105" s="229">
        <v>0</v>
      </c>
      <c r="R105" s="228">
        <v>0</v>
      </c>
      <c r="S105" s="228">
        <v>0</v>
      </c>
      <c r="T105" s="228">
        <v>0</v>
      </c>
      <c r="U105" s="229">
        <v>0</v>
      </c>
      <c r="V105" s="228">
        <v>0</v>
      </c>
      <c r="W105" s="228">
        <v>0</v>
      </c>
      <c r="X105" s="228">
        <v>0</v>
      </c>
      <c r="Y105" s="229">
        <v>0</v>
      </c>
      <c r="Z105" s="228">
        <v>0</v>
      </c>
      <c r="AA105" s="228">
        <v>0</v>
      </c>
      <c r="AB105" s="228">
        <v>0</v>
      </c>
      <c r="AC105" s="229">
        <v>0</v>
      </c>
      <c r="AD105" s="228">
        <v>0</v>
      </c>
      <c r="AE105" s="228">
        <v>0</v>
      </c>
      <c r="AF105" s="228">
        <v>0</v>
      </c>
      <c r="AG105" s="229">
        <v>0</v>
      </c>
      <c r="AH105" s="228">
        <v>0</v>
      </c>
      <c r="AI105" s="228">
        <v>0</v>
      </c>
      <c r="AJ105" s="228">
        <v>0</v>
      </c>
      <c r="AK105" s="229">
        <v>0</v>
      </c>
      <c r="AL105" s="228">
        <v>0</v>
      </c>
      <c r="AM105" s="228">
        <v>0</v>
      </c>
      <c r="AN105" s="228">
        <v>0</v>
      </c>
      <c r="AO105" s="229">
        <v>0</v>
      </c>
      <c r="AP105" s="228">
        <v>0</v>
      </c>
      <c r="AQ105" s="228">
        <v>0</v>
      </c>
      <c r="AR105" s="228">
        <v>0</v>
      </c>
      <c r="AS105" s="228">
        <v>0</v>
      </c>
      <c r="AT105" s="228">
        <v>0</v>
      </c>
      <c r="AU105" s="228">
        <v>0</v>
      </c>
      <c r="AV105" s="229">
        <v>0</v>
      </c>
      <c r="AW105" s="228">
        <v>0</v>
      </c>
      <c r="AX105" s="228">
        <v>0</v>
      </c>
      <c r="AY105" s="228">
        <v>0</v>
      </c>
      <c r="AZ105" s="229">
        <v>0</v>
      </c>
      <c r="BA105" s="228">
        <v>0</v>
      </c>
      <c r="BB105" s="228">
        <v>0</v>
      </c>
      <c r="BC105" s="228">
        <v>0</v>
      </c>
      <c r="BD105" s="229">
        <v>0</v>
      </c>
      <c r="BE105" s="228">
        <v>0</v>
      </c>
      <c r="BF105" s="228">
        <v>0</v>
      </c>
      <c r="BG105" s="228">
        <v>0</v>
      </c>
      <c r="BH105" s="229">
        <v>0</v>
      </c>
      <c r="BI105" s="228">
        <v>0</v>
      </c>
      <c r="BJ105" s="228">
        <v>0</v>
      </c>
      <c r="BK105" s="228">
        <v>0</v>
      </c>
      <c r="BL105" s="229">
        <v>0</v>
      </c>
      <c r="BM105" s="228">
        <v>0</v>
      </c>
      <c r="BN105" s="228">
        <v>0</v>
      </c>
      <c r="BO105" s="228">
        <v>0</v>
      </c>
      <c r="BP105" s="229">
        <v>0</v>
      </c>
      <c r="BQ105" s="228">
        <v>0</v>
      </c>
      <c r="BR105" s="228">
        <v>0</v>
      </c>
      <c r="BS105" s="228">
        <v>0</v>
      </c>
      <c r="BT105" s="229">
        <v>0</v>
      </c>
      <c r="BU105" s="228">
        <v>0</v>
      </c>
      <c r="BV105" s="228">
        <v>0</v>
      </c>
      <c r="BW105" s="228">
        <v>0</v>
      </c>
      <c r="BX105" s="229">
        <v>0</v>
      </c>
      <c r="BY105" s="228">
        <v>0</v>
      </c>
      <c r="BZ105" s="228">
        <v>0</v>
      </c>
      <c r="CA105" s="228">
        <v>0</v>
      </c>
      <c r="CB105" s="229">
        <v>0</v>
      </c>
      <c r="CC105" s="228">
        <v>0</v>
      </c>
      <c r="CD105" s="228">
        <v>0</v>
      </c>
      <c r="CE105" s="228">
        <v>0</v>
      </c>
      <c r="CF105" s="229">
        <v>0</v>
      </c>
      <c r="CG105" s="228">
        <v>0</v>
      </c>
      <c r="CH105" s="228">
        <v>0</v>
      </c>
      <c r="CI105" s="228">
        <v>0</v>
      </c>
      <c r="CJ105" s="229">
        <v>0</v>
      </c>
      <c r="CK105" s="228">
        <v>0</v>
      </c>
      <c r="CL105" s="228">
        <v>0</v>
      </c>
      <c r="CM105" s="228">
        <v>0</v>
      </c>
      <c r="CN105" s="229">
        <v>0</v>
      </c>
      <c r="CO105" s="228">
        <v>0</v>
      </c>
      <c r="CP105" s="228">
        <v>0</v>
      </c>
      <c r="CQ105" s="228">
        <v>0</v>
      </c>
      <c r="CR105" s="229">
        <v>0</v>
      </c>
      <c r="CS105" s="228">
        <v>0</v>
      </c>
      <c r="CT105" s="228">
        <v>0</v>
      </c>
      <c r="CU105" s="228">
        <v>0</v>
      </c>
      <c r="CV105" s="229">
        <v>0</v>
      </c>
      <c r="CW105" s="228">
        <v>0</v>
      </c>
      <c r="CX105" s="228">
        <v>0</v>
      </c>
      <c r="CY105" s="228">
        <v>0</v>
      </c>
      <c r="CZ105" s="229">
        <v>0</v>
      </c>
      <c r="DA105" s="228">
        <v>0</v>
      </c>
      <c r="DB105" s="228">
        <v>0</v>
      </c>
      <c r="DC105" s="228">
        <v>0</v>
      </c>
      <c r="DD105" s="228">
        <v>0</v>
      </c>
      <c r="DE105" s="228">
        <v>0</v>
      </c>
      <c r="DF105" s="228">
        <v>0</v>
      </c>
      <c r="DG105" s="228">
        <v>0</v>
      </c>
      <c r="DH105" s="228">
        <v>0</v>
      </c>
      <c r="DI105" s="228">
        <v>0</v>
      </c>
      <c r="DJ105" s="228">
        <v>0</v>
      </c>
      <c r="DK105" s="228">
        <v>0</v>
      </c>
      <c r="DL105" s="228">
        <v>0</v>
      </c>
      <c r="DM105" s="228">
        <v>0</v>
      </c>
      <c r="DN105" s="228">
        <v>0</v>
      </c>
      <c r="DO105" s="228">
        <v>0</v>
      </c>
      <c r="DP105" s="228">
        <v>0</v>
      </c>
      <c r="DQ105" s="228">
        <v>0</v>
      </c>
      <c r="DR105" s="228">
        <v>0</v>
      </c>
      <c r="DS105" s="228">
        <v>0</v>
      </c>
      <c r="DT105" s="229">
        <v>0</v>
      </c>
      <c r="DU105" s="228">
        <v>0</v>
      </c>
      <c r="DV105" s="228">
        <v>0</v>
      </c>
      <c r="DW105" s="228">
        <v>0</v>
      </c>
      <c r="DX105" s="228">
        <v>0</v>
      </c>
      <c r="DY105" s="228">
        <v>0</v>
      </c>
      <c r="DZ105" s="229">
        <v>0</v>
      </c>
      <c r="EA105" s="229">
        <v>0</v>
      </c>
      <c r="EB105" s="228">
        <v>0</v>
      </c>
      <c r="EC105" s="229">
        <v>0</v>
      </c>
      <c r="ED105" s="229">
        <v>0</v>
      </c>
      <c r="EE105" s="228">
        <v>0</v>
      </c>
      <c r="EF105" s="229">
        <v>0</v>
      </c>
      <c r="EG105" s="228">
        <v>0</v>
      </c>
      <c r="EH105" s="228">
        <v>0</v>
      </c>
      <c r="EI105" s="229">
        <v>0</v>
      </c>
      <c r="EJ105" s="229">
        <v>0</v>
      </c>
      <c r="EK105" s="228">
        <v>0</v>
      </c>
      <c r="EL105" s="228">
        <v>0</v>
      </c>
      <c r="EM105" s="228">
        <v>0</v>
      </c>
      <c r="EN105" s="228">
        <v>0</v>
      </c>
      <c r="EO105" s="228">
        <v>0</v>
      </c>
      <c r="EP105" s="228">
        <v>0</v>
      </c>
      <c r="EQ105" s="228">
        <v>0</v>
      </c>
      <c r="ER105" s="229">
        <v>0</v>
      </c>
      <c r="ES105" s="228">
        <v>0</v>
      </c>
      <c r="ET105" s="228">
        <v>0</v>
      </c>
      <c r="EU105" s="228">
        <v>0</v>
      </c>
      <c r="EV105" s="228">
        <v>0</v>
      </c>
      <c r="EW105" s="228">
        <v>0</v>
      </c>
      <c r="EX105" s="228">
        <v>0</v>
      </c>
      <c r="EY105" s="228">
        <v>0</v>
      </c>
      <c r="EZ105" s="229">
        <v>0</v>
      </c>
      <c r="FA105" s="229">
        <v>0</v>
      </c>
      <c r="FB105" s="227" t="s">
        <v>237</v>
      </c>
      <c r="FC105">
        <f t="shared" si="1"/>
        <v>0</v>
      </c>
    </row>
    <row r="106" spans="1:159" ht="17.25" thickBot="1" x14ac:dyDescent="0.3">
      <c r="A106" s="226">
        <v>45869</v>
      </c>
      <c r="B106" s="227" t="s">
        <v>215</v>
      </c>
      <c r="C106" s="227" t="s">
        <v>238</v>
      </c>
      <c r="D106" s="228">
        <v>150</v>
      </c>
      <c r="E106" s="228">
        <v>0</v>
      </c>
      <c r="F106" s="231">
        <v>5880.5</v>
      </c>
      <c r="G106" s="231">
        <v>5724.5</v>
      </c>
      <c r="H106" s="228">
        <v>156</v>
      </c>
      <c r="I106" s="229">
        <v>2.7300000000000001E-2</v>
      </c>
      <c r="J106" s="231">
        <v>5910.5</v>
      </c>
      <c r="K106" s="231">
        <v>5740</v>
      </c>
      <c r="L106" s="228">
        <v>170.5</v>
      </c>
      <c r="M106" s="229">
        <v>2.9700000000000001E-2</v>
      </c>
      <c r="N106" s="231">
        <v>5897</v>
      </c>
      <c r="O106" s="231">
        <v>5708</v>
      </c>
      <c r="P106" s="228">
        <v>189</v>
      </c>
      <c r="Q106" s="229">
        <v>3.3099999999999997E-2</v>
      </c>
      <c r="R106" s="231">
        <v>5880.5</v>
      </c>
      <c r="S106" s="231">
        <v>5724.5</v>
      </c>
      <c r="T106" s="228">
        <v>156</v>
      </c>
      <c r="U106" s="229">
        <v>2.7300000000000001E-2</v>
      </c>
      <c r="V106" s="231">
        <v>5893</v>
      </c>
      <c r="W106" s="231">
        <v>5752</v>
      </c>
      <c r="X106" s="228">
        <v>141</v>
      </c>
      <c r="Y106" s="229">
        <v>2.4500000000000001E-2</v>
      </c>
      <c r="Z106" s="228">
        <v>-30</v>
      </c>
      <c r="AA106" s="228">
        <v>-32</v>
      </c>
      <c r="AB106" s="228">
        <v>2</v>
      </c>
      <c r="AC106" s="229">
        <v>-5.1000000000000004E-3</v>
      </c>
      <c r="AD106" s="228">
        <v>-13.5</v>
      </c>
      <c r="AE106" s="228">
        <v>-32</v>
      </c>
      <c r="AF106" s="228">
        <v>18.5</v>
      </c>
      <c r="AG106" s="229">
        <v>-2.3E-3</v>
      </c>
      <c r="AH106" s="228">
        <v>-30</v>
      </c>
      <c r="AI106" s="228">
        <v>-15.5</v>
      </c>
      <c r="AJ106" s="228">
        <v>-14.5</v>
      </c>
      <c r="AK106" s="229">
        <v>-5.1000000000000004E-3</v>
      </c>
      <c r="AL106" s="228">
        <v>-17.5</v>
      </c>
      <c r="AM106" s="228">
        <v>12</v>
      </c>
      <c r="AN106" s="228">
        <v>-29.5</v>
      </c>
      <c r="AO106" s="229">
        <v>-3.0000000000000001E-3</v>
      </c>
      <c r="AP106" s="231">
        <v>5812.81</v>
      </c>
      <c r="AQ106" s="231">
        <v>5817.57</v>
      </c>
      <c r="AR106" s="228">
        <v>0</v>
      </c>
      <c r="AS106" s="230">
        <v>3784</v>
      </c>
      <c r="AT106" s="230">
        <v>2942</v>
      </c>
      <c r="AU106" s="228">
        <v>842</v>
      </c>
      <c r="AV106" s="229">
        <v>0.2863</v>
      </c>
      <c r="AW106" s="230">
        <v>1492</v>
      </c>
      <c r="AX106" s="230">
        <v>1423</v>
      </c>
      <c r="AY106" s="228">
        <v>69</v>
      </c>
      <c r="AZ106" s="229">
        <v>4.8300000000000003E-2</v>
      </c>
      <c r="BA106" s="230">
        <v>2248</v>
      </c>
      <c r="BB106" s="230">
        <v>1500</v>
      </c>
      <c r="BC106" s="228">
        <v>748</v>
      </c>
      <c r="BD106" s="229">
        <v>0.49859999999999999</v>
      </c>
      <c r="BE106" s="228">
        <v>44</v>
      </c>
      <c r="BF106" s="228">
        <v>18</v>
      </c>
      <c r="BG106" s="228">
        <v>26</v>
      </c>
      <c r="BH106" s="229">
        <v>1.4146000000000001</v>
      </c>
      <c r="BI106" s="230">
        <v>6442</v>
      </c>
      <c r="BJ106" s="230">
        <v>4580</v>
      </c>
      <c r="BK106" s="230">
        <v>1862</v>
      </c>
      <c r="BL106" s="229">
        <v>0.40649999999999997</v>
      </c>
      <c r="BM106" s="230">
        <v>6541</v>
      </c>
      <c r="BN106" s="230">
        <v>3778</v>
      </c>
      <c r="BO106" s="230">
        <v>2764</v>
      </c>
      <c r="BP106" s="229">
        <v>0.73160000000000003</v>
      </c>
      <c r="BQ106" s="230">
        <v>16767</v>
      </c>
      <c r="BR106" s="230">
        <v>11299</v>
      </c>
      <c r="BS106" s="230">
        <v>5467</v>
      </c>
      <c r="BT106" s="229">
        <v>0.4839</v>
      </c>
      <c r="BU106" s="230">
        <v>2648759</v>
      </c>
      <c r="BV106" s="230">
        <v>1260252</v>
      </c>
      <c r="BW106" s="230">
        <v>1388507</v>
      </c>
      <c r="BX106" s="229">
        <v>1.1017999999999999</v>
      </c>
      <c r="BY106" s="230">
        <v>4208</v>
      </c>
      <c r="BZ106" s="230">
        <v>4967</v>
      </c>
      <c r="CA106" s="228">
        <v>-758</v>
      </c>
      <c r="CB106" s="229">
        <v>-0.1527</v>
      </c>
      <c r="CC106" s="228">
        <v>327</v>
      </c>
      <c r="CD106" s="230">
        <v>1027</v>
      </c>
      <c r="CE106" s="228">
        <v>-699</v>
      </c>
      <c r="CF106" s="229">
        <v>-0.68100000000000005</v>
      </c>
      <c r="CG106" s="230">
        <v>4155</v>
      </c>
      <c r="CH106" s="230">
        <v>3895</v>
      </c>
      <c r="CI106" s="228">
        <v>260</v>
      </c>
      <c r="CJ106" s="229">
        <v>6.6699999999999995E-2</v>
      </c>
      <c r="CK106" s="228">
        <v>53</v>
      </c>
      <c r="CL106" s="228">
        <v>45</v>
      </c>
      <c r="CM106" s="228">
        <v>8</v>
      </c>
      <c r="CN106" s="229">
        <v>0.1847</v>
      </c>
      <c r="CO106" s="228">
        <v>551</v>
      </c>
      <c r="CP106" s="230">
        <v>1781</v>
      </c>
      <c r="CQ106" s="230">
        <v>-1230</v>
      </c>
      <c r="CR106" s="229">
        <v>-0.69059999999999999</v>
      </c>
      <c r="CS106" s="228">
        <v>572</v>
      </c>
      <c r="CT106" s="230">
        <v>1787</v>
      </c>
      <c r="CU106" s="230">
        <v>-1215</v>
      </c>
      <c r="CV106" s="229">
        <v>-0.67989999999999995</v>
      </c>
      <c r="CW106" s="230">
        <v>5331</v>
      </c>
      <c r="CX106" s="230">
        <v>8535</v>
      </c>
      <c r="CY106" s="230">
        <v>-3204</v>
      </c>
      <c r="CZ106" s="229">
        <v>-0.37530000000000002</v>
      </c>
      <c r="DA106" s="228">
        <v>25.43</v>
      </c>
      <c r="DB106" s="228">
        <v>31.79</v>
      </c>
      <c r="DC106" s="228">
        <v>-6.36</v>
      </c>
      <c r="DD106" s="228">
        <v>-6.36</v>
      </c>
      <c r="DE106" s="228">
        <v>34.729999999999997</v>
      </c>
      <c r="DF106" s="228">
        <v>34.590000000000003</v>
      </c>
      <c r="DG106" s="228">
        <v>-9.3000000000000007</v>
      </c>
      <c r="DH106" s="228">
        <v>0.14000000000000001</v>
      </c>
      <c r="DI106" s="228">
        <v>24.13</v>
      </c>
      <c r="DJ106" s="228">
        <v>30.49</v>
      </c>
      <c r="DK106" s="228">
        <v>-6.36</v>
      </c>
      <c r="DL106" s="228">
        <v>-6.36</v>
      </c>
      <c r="DM106" s="228">
        <v>27.07</v>
      </c>
      <c r="DN106" s="228">
        <v>32.979999999999997</v>
      </c>
      <c r="DO106" s="228">
        <v>-5.91</v>
      </c>
      <c r="DP106" s="228">
        <v>-5.91</v>
      </c>
      <c r="DQ106" s="228">
        <v>1.04</v>
      </c>
      <c r="DR106" s="228">
        <v>1</v>
      </c>
      <c r="DS106" s="228">
        <v>0.04</v>
      </c>
      <c r="DT106" s="229">
        <v>0.04</v>
      </c>
      <c r="DU106" s="231">
        <v>6100</v>
      </c>
      <c r="DV106" s="231">
        <v>5700</v>
      </c>
      <c r="DW106" s="228">
        <v>1.02</v>
      </c>
      <c r="DX106" s="228">
        <v>0.82</v>
      </c>
      <c r="DY106" s="228">
        <v>0.2</v>
      </c>
      <c r="DZ106" s="229">
        <v>0.24390000000000001</v>
      </c>
      <c r="EA106" s="229">
        <v>0.92779999999999996</v>
      </c>
      <c r="EB106" s="230">
        <v>6700650</v>
      </c>
      <c r="EC106" s="229">
        <v>-2.8E-3</v>
      </c>
      <c r="ED106" s="229">
        <v>0.92779999999999996</v>
      </c>
      <c r="EE106" s="228">
        <v>4.76</v>
      </c>
      <c r="EF106" s="229">
        <v>8.0000000000000004E-4</v>
      </c>
      <c r="EG106" s="230">
        <v>1412442</v>
      </c>
      <c r="EH106" s="230">
        <v>786346</v>
      </c>
      <c r="EI106" s="229">
        <v>0.79620000000000002</v>
      </c>
      <c r="EJ106" s="229">
        <v>0.53320000000000001</v>
      </c>
      <c r="EK106" s="231">
        <v>6595.32</v>
      </c>
      <c r="EL106" s="231">
        <v>6313.19</v>
      </c>
      <c r="EM106" s="231">
        <v>3742.29</v>
      </c>
      <c r="EN106" s="228">
        <v>0</v>
      </c>
      <c r="EO106" s="231">
        <v>16650.8</v>
      </c>
      <c r="EP106" s="231">
        <v>11159.48</v>
      </c>
      <c r="EQ106" s="231">
        <v>5491.32</v>
      </c>
      <c r="ER106" s="229">
        <v>0.49209999999999998</v>
      </c>
      <c r="ES106" s="228">
        <v>567.29</v>
      </c>
      <c r="ET106" s="228">
        <v>543.49</v>
      </c>
      <c r="EU106" s="231">
        <v>4208.49</v>
      </c>
      <c r="EV106" s="231">
        <v>39206614</v>
      </c>
      <c r="EW106" s="231">
        <v>5319.27</v>
      </c>
      <c r="EX106" s="231">
        <v>8336.65</v>
      </c>
      <c r="EY106" s="231">
        <v>-3017.38</v>
      </c>
      <c r="EZ106" s="229">
        <v>-0.3619</v>
      </c>
      <c r="FA106" s="229">
        <v>0.23119999999999999</v>
      </c>
      <c r="FB106" s="227" t="s">
        <v>556</v>
      </c>
      <c r="FC106">
        <f t="shared" si="1"/>
        <v>3881</v>
      </c>
    </row>
    <row r="107" spans="1:159" ht="17.25" thickBot="1" x14ac:dyDescent="0.3">
      <c r="A107" s="226">
        <v>45869</v>
      </c>
      <c r="B107" s="227" t="s">
        <v>172</v>
      </c>
      <c r="C107" s="227" t="s">
        <v>239</v>
      </c>
      <c r="D107" s="228">
        <v>700</v>
      </c>
      <c r="E107" s="228">
        <v>0</v>
      </c>
      <c r="F107" s="228">
        <v>803.7</v>
      </c>
      <c r="G107" s="228">
        <v>806.75</v>
      </c>
      <c r="H107" s="228">
        <v>-3.05</v>
      </c>
      <c r="I107" s="229">
        <v>-3.8E-3</v>
      </c>
      <c r="J107" s="228">
        <v>798.9</v>
      </c>
      <c r="K107" s="228">
        <v>801.9</v>
      </c>
      <c r="L107" s="228">
        <v>-3</v>
      </c>
      <c r="M107" s="229">
        <v>-3.7000000000000002E-3</v>
      </c>
      <c r="N107" s="228">
        <v>798.7</v>
      </c>
      <c r="O107" s="228">
        <v>802.55</v>
      </c>
      <c r="P107" s="228">
        <v>-3.85</v>
      </c>
      <c r="Q107" s="229">
        <v>-4.7999999999999996E-3</v>
      </c>
      <c r="R107" s="228">
        <v>803.7</v>
      </c>
      <c r="S107" s="228">
        <v>806.75</v>
      </c>
      <c r="T107" s="228">
        <v>-3.05</v>
      </c>
      <c r="U107" s="229">
        <v>-3.8E-3</v>
      </c>
      <c r="V107" s="228">
        <v>808.2</v>
      </c>
      <c r="W107" s="228">
        <v>811.3</v>
      </c>
      <c r="X107" s="228">
        <v>-3.1</v>
      </c>
      <c r="Y107" s="229">
        <v>-3.8E-3</v>
      </c>
      <c r="Z107" s="228">
        <v>4.8</v>
      </c>
      <c r="AA107" s="228">
        <v>0.65</v>
      </c>
      <c r="AB107" s="228">
        <v>4.1500000000000004</v>
      </c>
      <c r="AC107" s="229">
        <v>6.0000000000000001E-3</v>
      </c>
      <c r="AD107" s="228">
        <v>-0.2</v>
      </c>
      <c r="AE107" s="228">
        <v>0.65</v>
      </c>
      <c r="AF107" s="228">
        <v>-0.85</v>
      </c>
      <c r="AG107" s="229">
        <v>-2.9999999999999997E-4</v>
      </c>
      <c r="AH107" s="228">
        <v>4.8</v>
      </c>
      <c r="AI107" s="228">
        <v>4.8499999999999996</v>
      </c>
      <c r="AJ107" s="228">
        <v>-0.05</v>
      </c>
      <c r="AK107" s="229">
        <v>6.0000000000000001E-3</v>
      </c>
      <c r="AL107" s="228">
        <v>9.3000000000000007</v>
      </c>
      <c r="AM107" s="228">
        <v>9.4</v>
      </c>
      <c r="AN107" s="228">
        <v>-0.1</v>
      </c>
      <c r="AO107" s="229">
        <v>1.1599999999999999E-2</v>
      </c>
      <c r="AP107" s="228">
        <v>798.26</v>
      </c>
      <c r="AQ107" s="228">
        <v>803.09</v>
      </c>
      <c r="AR107" s="228">
        <v>0</v>
      </c>
      <c r="AS107" s="230">
        <v>2137</v>
      </c>
      <c r="AT107" s="230">
        <v>1654</v>
      </c>
      <c r="AU107" s="228">
        <v>483</v>
      </c>
      <c r="AV107" s="229">
        <v>0.29199999999999998</v>
      </c>
      <c r="AW107" s="228">
        <v>888</v>
      </c>
      <c r="AX107" s="228">
        <v>747</v>
      </c>
      <c r="AY107" s="228">
        <v>142</v>
      </c>
      <c r="AZ107" s="229">
        <v>0.1895</v>
      </c>
      <c r="BA107" s="230">
        <v>1227</v>
      </c>
      <c r="BB107" s="228">
        <v>892</v>
      </c>
      <c r="BC107" s="228">
        <v>335</v>
      </c>
      <c r="BD107" s="229">
        <v>0.37519999999999998</v>
      </c>
      <c r="BE107" s="228">
        <v>21</v>
      </c>
      <c r="BF107" s="228">
        <v>15</v>
      </c>
      <c r="BG107" s="228">
        <v>7</v>
      </c>
      <c r="BH107" s="229">
        <v>0.43940000000000001</v>
      </c>
      <c r="BI107" s="230">
        <v>1219</v>
      </c>
      <c r="BJ107" s="230">
        <v>1841</v>
      </c>
      <c r="BK107" s="228">
        <v>-623</v>
      </c>
      <c r="BL107" s="229">
        <v>-0.33829999999999999</v>
      </c>
      <c r="BM107" s="228">
        <v>946</v>
      </c>
      <c r="BN107" s="230">
        <v>1471</v>
      </c>
      <c r="BO107" s="228">
        <v>-525</v>
      </c>
      <c r="BP107" s="229">
        <v>-0.35670000000000002</v>
      </c>
      <c r="BQ107" s="230">
        <v>4302</v>
      </c>
      <c r="BR107" s="230">
        <v>4966</v>
      </c>
      <c r="BS107" s="228">
        <v>-665</v>
      </c>
      <c r="BT107" s="229">
        <v>-0.1338</v>
      </c>
      <c r="BU107" s="230">
        <v>4546754</v>
      </c>
      <c r="BV107" s="230">
        <v>3398386</v>
      </c>
      <c r="BW107" s="230">
        <v>1148368</v>
      </c>
      <c r="BX107" s="229">
        <v>0.33789999999999998</v>
      </c>
      <c r="BY107" s="230">
        <v>3925</v>
      </c>
      <c r="BZ107" s="230">
        <v>3944</v>
      </c>
      <c r="CA107" s="228">
        <v>-19</v>
      </c>
      <c r="CB107" s="229">
        <v>-4.7999999999999996E-3</v>
      </c>
      <c r="CC107" s="228">
        <v>212</v>
      </c>
      <c r="CD107" s="228">
        <v>755</v>
      </c>
      <c r="CE107" s="228">
        <v>-542</v>
      </c>
      <c r="CF107" s="229">
        <v>-0.71879999999999999</v>
      </c>
      <c r="CG107" s="230">
        <v>3860</v>
      </c>
      <c r="CH107" s="230">
        <v>3134</v>
      </c>
      <c r="CI107" s="228">
        <v>726</v>
      </c>
      <c r="CJ107" s="229">
        <v>0.23169999999999999</v>
      </c>
      <c r="CK107" s="228">
        <v>65</v>
      </c>
      <c r="CL107" s="228">
        <v>55</v>
      </c>
      <c r="CM107" s="228">
        <v>10</v>
      </c>
      <c r="CN107" s="229">
        <v>0.17280000000000001</v>
      </c>
      <c r="CO107" s="228">
        <v>604</v>
      </c>
      <c r="CP107" s="230">
        <v>1819</v>
      </c>
      <c r="CQ107" s="230">
        <v>-1215</v>
      </c>
      <c r="CR107" s="229">
        <v>-0.66779999999999995</v>
      </c>
      <c r="CS107" s="228">
        <v>521</v>
      </c>
      <c r="CT107" s="228">
        <v>976</v>
      </c>
      <c r="CU107" s="228">
        <v>-455</v>
      </c>
      <c r="CV107" s="229">
        <v>-0.46639999999999998</v>
      </c>
      <c r="CW107" s="230">
        <v>5051</v>
      </c>
      <c r="CX107" s="230">
        <v>6740</v>
      </c>
      <c r="CY107" s="230">
        <v>-1689</v>
      </c>
      <c r="CZ107" s="229">
        <v>-0.25059999999999999</v>
      </c>
      <c r="DA107" s="228">
        <v>30.98</v>
      </c>
      <c r="DB107" s="228">
        <v>32.630000000000003</v>
      </c>
      <c r="DC107" s="228">
        <v>-1.65</v>
      </c>
      <c r="DD107" s="228">
        <v>-1.65</v>
      </c>
      <c r="DE107" s="228">
        <v>51.6</v>
      </c>
      <c r="DF107" s="228">
        <v>51.72</v>
      </c>
      <c r="DG107" s="228">
        <v>-20.62</v>
      </c>
      <c r="DH107" s="228">
        <v>-0.12</v>
      </c>
      <c r="DI107" s="228">
        <v>30.91</v>
      </c>
      <c r="DJ107" s="228">
        <v>32.5</v>
      </c>
      <c r="DK107" s="228">
        <v>-1.59</v>
      </c>
      <c r="DL107" s="228">
        <v>-1.59</v>
      </c>
      <c r="DM107" s="228">
        <v>31.07</v>
      </c>
      <c r="DN107" s="228">
        <v>32.81</v>
      </c>
      <c r="DO107" s="228">
        <v>-1.74</v>
      </c>
      <c r="DP107" s="228">
        <v>-1.74</v>
      </c>
      <c r="DQ107" s="228">
        <v>0.86</v>
      </c>
      <c r="DR107" s="228">
        <v>0.54</v>
      </c>
      <c r="DS107" s="228">
        <v>0.32</v>
      </c>
      <c r="DT107" s="229">
        <v>0.59260000000000002</v>
      </c>
      <c r="DU107" s="228">
        <v>900</v>
      </c>
      <c r="DV107" s="228">
        <v>800</v>
      </c>
      <c r="DW107" s="228">
        <v>0.78</v>
      </c>
      <c r="DX107" s="228">
        <v>0.8</v>
      </c>
      <c r="DY107" s="228">
        <v>-0.02</v>
      </c>
      <c r="DZ107" s="229">
        <v>-2.5000000000000001E-2</v>
      </c>
      <c r="EA107" s="229">
        <v>0.94869999999999999</v>
      </c>
      <c r="EB107" s="230">
        <v>39686500</v>
      </c>
      <c r="EC107" s="229">
        <v>6.3E-3</v>
      </c>
      <c r="ED107" s="229">
        <v>0.94869999999999999</v>
      </c>
      <c r="EE107" s="228">
        <v>4.83</v>
      </c>
      <c r="EF107" s="229">
        <v>6.1000000000000004E-3</v>
      </c>
      <c r="EG107" s="230">
        <v>2408125</v>
      </c>
      <c r="EH107" s="230">
        <v>1276443</v>
      </c>
      <c r="EI107" s="229">
        <v>0.88660000000000005</v>
      </c>
      <c r="EJ107" s="229">
        <v>0.52959999999999996</v>
      </c>
      <c r="EK107" s="231">
        <v>1283.96</v>
      </c>
      <c r="EL107" s="228">
        <v>954.65</v>
      </c>
      <c r="EM107" s="231">
        <v>2130.13</v>
      </c>
      <c r="EN107" s="228">
        <v>0</v>
      </c>
      <c r="EO107" s="231">
        <v>4368.7299999999996</v>
      </c>
      <c r="EP107" s="231">
        <v>5095.46</v>
      </c>
      <c r="EQ107" s="228">
        <v>-726.73</v>
      </c>
      <c r="ER107" s="229">
        <v>-0.1426</v>
      </c>
      <c r="ES107" s="228">
        <v>649.73</v>
      </c>
      <c r="ET107" s="228">
        <v>519.92999999999995</v>
      </c>
      <c r="EU107" s="231">
        <v>3925.72</v>
      </c>
      <c r="EV107" s="231">
        <v>125014099</v>
      </c>
      <c r="EW107" s="231">
        <v>5095.3900000000003</v>
      </c>
      <c r="EX107" s="231">
        <v>6931.04</v>
      </c>
      <c r="EY107" s="231">
        <v>-1835.65</v>
      </c>
      <c r="EZ107" s="229">
        <v>-0.26479999999999998</v>
      </c>
      <c r="FA107" s="229">
        <v>0.50270000000000004</v>
      </c>
      <c r="FB107" s="227" t="s">
        <v>568</v>
      </c>
      <c r="FC107">
        <f t="shared" si="1"/>
        <v>3713</v>
      </c>
    </row>
    <row r="108" spans="1:159" ht="17.25" thickBot="1" x14ac:dyDescent="0.3">
      <c r="A108" s="226">
        <v>45869</v>
      </c>
      <c r="B108" s="227" t="s">
        <v>188</v>
      </c>
      <c r="C108" s="227" t="s">
        <v>473</v>
      </c>
      <c r="D108" s="228">
        <v>1700</v>
      </c>
      <c r="E108" s="228">
        <v>0</v>
      </c>
      <c r="F108" s="228">
        <v>364.2</v>
      </c>
      <c r="G108" s="228">
        <v>386.15</v>
      </c>
      <c r="H108" s="228">
        <v>-21.95</v>
      </c>
      <c r="I108" s="229">
        <v>-5.6800000000000003E-2</v>
      </c>
      <c r="J108" s="228">
        <v>363</v>
      </c>
      <c r="K108" s="228">
        <v>383.8</v>
      </c>
      <c r="L108" s="228">
        <v>-20.8</v>
      </c>
      <c r="M108" s="229">
        <v>-5.4199999999999998E-2</v>
      </c>
      <c r="N108" s="228">
        <v>362.75</v>
      </c>
      <c r="O108" s="228">
        <v>384.4</v>
      </c>
      <c r="P108" s="228">
        <v>-21.65</v>
      </c>
      <c r="Q108" s="229">
        <v>-5.6300000000000003E-2</v>
      </c>
      <c r="R108" s="228">
        <v>364.2</v>
      </c>
      <c r="S108" s="228">
        <v>386.15</v>
      </c>
      <c r="T108" s="228">
        <v>-21.95</v>
      </c>
      <c r="U108" s="229">
        <v>-5.6800000000000003E-2</v>
      </c>
      <c r="V108" s="228">
        <v>366.4</v>
      </c>
      <c r="W108" s="228">
        <v>388.1</v>
      </c>
      <c r="X108" s="228">
        <v>-21.7</v>
      </c>
      <c r="Y108" s="229">
        <v>-5.5899999999999998E-2</v>
      </c>
      <c r="Z108" s="228">
        <v>1.2</v>
      </c>
      <c r="AA108" s="228">
        <v>0.6</v>
      </c>
      <c r="AB108" s="228">
        <v>0.6</v>
      </c>
      <c r="AC108" s="229">
        <v>3.3E-3</v>
      </c>
      <c r="AD108" s="228">
        <v>-0.25</v>
      </c>
      <c r="AE108" s="228">
        <v>0.6</v>
      </c>
      <c r="AF108" s="228">
        <v>-0.85</v>
      </c>
      <c r="AG108" s="229">
        <v>-6.9999999999999999E-4</v>
      </c>
      <c r="AH108" s="228">
        <v>1.2</v>
      </c>
      <c r="AI108" s="228">
        <v>2.35</v>
      </c>
      <c r="AJ108" s="228">
        <v>-1.1499999999999999</v>
      </c>
      <c r="AK108" s="229">
        <v>3.3E-3</v>
      </c>
      <c r="AL108" s="228">
        <v>3.4</v>
      </c>
      <c r="AM108" s="228">
        <v>4.3</v>
      </c>
      <c r="AN108" s="228">
        <v>-0.9</v>
      </c>
      <c r="AO108" s="229">
        <v>9.4000000000000004E-3</v>
      </c>
      <c r="AP108" s="228">
        <v>367.07</v>
      </c>
      <c r="AQ108" s="228">
        <v>368.53</v>
      </c>
      <c r="AR108" s="228">
        <v>0</v>
      </c>
      <c r="AS108" s="230">
        <v>1774</v>
      </c>
      <c r="AT108" s="228">
        <v>894</v>
      </c>
      <c r="AU108" s="228">
        <v>879</v>
      </c>
      <c r="AV108" s="229">
        <v>0.98350000000000004</v>
      </c>
      <c r="AW108" s="228">
        <v>674</v>
      </c>
      <c r="AX108" s="228">
        <v>440</v>
      </c>
      <c r="AY108" s="228">
        <v>234</v>
      </c>
      <c r="AZ108" s="229">
        <v>0.53180000000000005</v>
      </c>
      <c r="BA108" s="230">
        <v>1080</v>
      </c>
      <c r="BB108" s="228">
        <v>449</v>
      </c>
      <c r="BC108" s="228">
        <v>631</v>
      </c>
      <c r="BD108" s="229">
        <v>1.4054</v>
      </c>
      <c r="BE108" s="228">
        <v>20</v>
      </c>
      <c r="BF108" s="228">
        <v>5</v>
      </c>
      <c r="BG108" s="228">
        <v>14</v>
      </c>
      <c r="BH108" s="229">
        <v>2.75</v>
      </c>
      <c r="BI108" s="230">
        <v>1439</v>
      </c>
      <c r="BJ108" s="228">
        <v>590</v>
      </c>
      <c r="BK108" s="228">
        <v>848</v>
      </c>
      <c r="BL108" s="229">
        <v>1.4378</v>
      </c>
      <c r="BM108" s="230">
        <v>1179</v>
      </c>
      <c r="BN108" s="228">
        <v>370</v>
      </c>
      <c r="BO108" s="228">
        <v>809</v>
      </c>
      <c r="BP108" s="229">
        <v>2.1894999999999998</v>
      </c>
      <c r="BQ108" s="230">
        <v>4391</v>
      </c>
      <c r="BR108" s="230">
        <v>1854</v>
      </c>
      <c r="BS108" s="230">
        <v>2537</v>
      </c>
      <c r="BT108" s="229">
        <v>1.3685</v>
      </c>
      <c r="BU108" s="230">
        <v>12821496</v>
      </c>
      <c r="BV108" s="230">
        <v>2475266</v>
      </c>
      <c r="BW108" s="230">
        <v>10346230</v>
      </c>
      <c r="BX108" s="229">
        <v>4.1798000000000002</v>
      </c>
      <c r="BY108" s="230">
        <v>2303</v>
      </c>
      <c r="BZ108" s="230">
        <v>2287</v>
      </c>
      <c r="CA108" s="228">
        <v>16</v>
      </c>
      <c r="CB108" s="229">
        <v>7.1000000000000004E-3</v>
      </c>
      <c r="CC108" s="228">
        <v>145</v>
      </c>
      <c r="CD108" s="228">
        <v>534</v>
      </c>
      <c r="CE108" s="228">
        <v>-389</v>
      </c>
      <c r="CF108" s="229">
        <v>-0.72889999999999999</v>
      </c>
      <c r="CG108" s="230">
        <v>2279</v>
      </c>
      <c r="CH108" s="230">
        <v>1739</v>
      </c>
      <c r="CI108" s="228">
        <v>541</v>
      </c>
      <c r="CJ108" s="229">
        <v>0.31109999999999999</v>
      </c>
      <c r="CK108" s="228">
        <v>24</v>
      </c>
      <c r="CL108" s="228">
        <v>14</v>
      </c>
      <c r="CM108" s="228">
        <v>10</v>
      </c>
      <c r="CN108" s="229">
        <v>0.69599999999999995</v>
      </c>
      <c r="CO108" s="228">
        <v>382</v>
      </c>
      <c r="CP108" s="228">
        <v>593</v>
      </c>
      <c r="CQ108" s="228">
        <v>-210</v>
      </c>
      <c r="CR108" s="229">
        <v>-0.35510000000000003</v>
      </c>
      <c r="CS108" s="228">
        <v>281</v>
      </c>
      <c r="CT108" s="228">
        <v>399</v>
      </c>
      <c r="CU108" s="228">
        <v>-118</v>
      </c>
      <c r="CV108" s="229">
        <v>-0.29570000000000002</v>
      </c>
      <c r="CW108" s="230">
        <v>2967</v>
      </c>
      <c r="CX108" s="230">
        <v>3279</v>
      </c>
      <c r="CY108" s="228">
        <v>-312</v>
      </c>
      <c r="CZ108" s="229">
        <v>-9.5200000000000007E-2</v>
      </c>
      <c r="DA108" s="228">
        <v>29.69</v>
      </c>
      <c r="DB108" s="228">
        <v>28.87</v>
      </c>
      <c r="DC108" s="228">
        <v>0.82</v>
      </c>
      <c r="DD108" s="228">
        <v>0.82</v>
      </c>
      <c r="DE108" s="228">
        <v>42.01</v>
      </c>
      <c r="DF108" s="228">
        <v>41.44</v>
      </c>
      <c r="DG108" s="228">
        <v>-12.32</v>
      </c>
      <c r="DH108" s="228">
        <v>0.56999999999999995</v>
      </c>
      <c r="DI108" s="228">
        <v>30.25</v>
      </c>
      <c r="DJ108" s="228">
        <v>28.46</v>
      </c>
      <c r="DK108" s="228">
        <v>1.79</v>
      </c>
      <c r="DL108" s="228">
        <v>1.79</v>
      </c>
      <c r="DM108" s="228">
        <v>28.87</v>
      </c>
      <c r="DN108" s="228">
        <v>29.63</v>
      </c>
      <c r="DO108" s="228">
        <v>-0.76</v>
      </c>
      <c r="DP108" s="228">
        <v>-0.76</v>
      </c>
      <c r="DQ108" s="228">
        <v>0.74</v>
      </c>
      <c r="DR108" s="228">
        <v>0.67</v>
      </c>
      <c r="DS108" s="228">
        <v>7.0000000000000007E-2</v>
      </c>
      <c r="DT108" s="229">
        <v>0.1045</v>
      </c>
      <c r="DU108" s="228">
        <v>400</v>
      </c>
      <c r="DV108" s="228">
        <v>400</v>
      </c>
      <c r="DW108" s="228">
        <v>0.82</v>
      </c>
      <c r="DX108" s="228">
        <v>0.63</v>
      </c>
      <c r="DY108" s="228">
        <v>0.19</v>
      </c>
      <c r="DZ108" s="229">
        <v>0.30159999999999998</v>
      </c>
      <c r="EA108" s="229">
        <v>0.94079999999999997</v>
      </c>
      <c r="EB108" s="230">
        <v>48123600</v>
      </c>
      <c r="EC108" s="229">
        <v>4.0000000000000001E-3</v>
      </c>
      <c r="ED108" s="229">
        <v>0.94079999999999997</v>
      </c>
      <c r="EE108" s="228">
        <v>1.46</v>
      </c>
      <c r="EF108" s="229">
        <v>4.0000000000000001E-3</v>
      </c>
      <c r="EG108" s="230">
        <v>5140853</v>
      </c>
      <c r="EH108" s="230">
        <v>1581885</v>
      </c>
      <c r="EI108" s="229">
        <v>2.2498</v>
      </c>
      <c r="EJ108" s="229">
        <v>0.40100000000000002</v>
      </c>
      <c r="EK108" s="231">
        <v>1560.4</v>
      </c>
      <c r="EL108" s="231">
        <v>1219.1600000000001</v>
      </c>
      <c r="EM108" s="231">
        <v>1792.05</v>
      </c>
      <c r="EN108" s="228">
        <v>0</v>
      </c>
      <c r="EO108" s="231">
        <v>4571.62</v>
      </c>
      <c r="EP108" s="231">
        <v>2009.24</v>
      </c>
      <c r="EQ108" s="231">
        <v>2562.38</v>
      </c>
      <c r="ER108" s="229">
        <v>1.2753000000000001</v>
      </c>
      <c r="ES108" s="228">
        <v>417.81</v>
      </c>
      <c r="ET108" s="228">
        <v>286.17</v>
      </c>
      <c r="EU108" s="231">
        <v>2303.4699999999998</v>
      </c>
      <c r="EV108" s="231">
        <v>263606423</v>
      </c>
      <c r="EW108" s="231">
        <v>3007.45</v>
      </c>
      <c r="EX108" s="231">
        <v>3522.66</v>
      </c>
      <c r="EY108" s="228">
        <v>-515.21</v>
      </c>
      <c r="EZ108" s="229">
        <v>-0.14630000000000001</v>
      </c>
      <c r="FA108" s="229">
        <v>0.309</v>
      </c>
      <c r="FB108" s="227" t="s">
        <v>567</v>
      </c>
      <c r="FC108">
        <f t="shared" si="1"/>
        <v>2158</v>
      </c>
    </row>
    <row r="109" spans="1:159" ht="17.25" thickBot="1" x14ac:dyDescent="0.3">
      <c r="A109" s="226">
        <v>45869</v>
      </c>
      <c r="B109" s="227" t="s">
        <v>221</v>
      </c>
      <c r="C109" s="227" t="s">
        <v>240</v>
      </c>
      <c r="D109" s="228">
        <v>400</v>
      </c>
      <c r="E109" s="228">
        <v>0</v>
      </c>
      <c r="F109" s="231">
        <v>1515</v>
      </c>
      <c r="G109" s="231">
        <v>1525</v>
      </c>
      <c r="H109" s="228">
        <v>-10</v>
      </c>
      <c r="I109" s="229">
        <v>-6.6E-3</v>
      </c>
      <c r="J109" s="231">
        <v>1509</v>
      </c>
      <c r="K109" s="231">
        <v>1519</v>
      </c>
      <c r="L109" s="228">
        <v>-10</v>
      </c>
      <c r="M109" s="229">
        <v>-6.6E-3</v>
      </c>
      <c r="N109" s="231">
        <v>1510</v>
      </c>
      <c r="O109" s="231">
        <v>1520.2</v>
      </c>
      <c r="P109" s="228">
        <v>-10.199999999999999</v>
      </c>
      <c r="Q109" s="229">
        <v>-6.7000000000000002E-3</v>
      </c>
      <c r="R109" s="231">
        <v>1515</v>
      </c>
      <c r="S109" s="231">
        <v>1525</v>
      </c>
      <c r="T109" s="228">
        <v>-10</v>
      </c>
      <c r="U109" s="229">
        <v>-6.6E-3</v>
      </c>
      <c r="V109" s="231">
        <v>1523.4</v>
      </c>
      <c r="W109" s="231">
        <v>1533.4</v>
      </c>
      <c r="X109" s="228">
        <v>-10</v>
      </c>
      <c r="Y109" s="229">
        <v>-6.4999999999999997E-3</v>
      </c>
      <c r="Z109" s="228">
        <v>6</v>
      </c>
      <c r="AA109" s="228">
        <v>1.2</v>
      </c>
      <c r="AB109" s="228">
        <v>4.8</v>
      </c>
      <c r="AC109" s="229">
        <v>4.0000000000000001E-3</v>
      </c>
      <c r="AD109" s="228">
        <v>1</v>
      </c>
      <c r="AE109" s="228">
        <v>1.2</v>
      </c>
      <c r="AF109" s="228">
        <v>-0.2</v>
      </c>
      <c r="AG109" s="229">
        <v>6.9999999999999999E-4</v>
      </c>
      <c r="AH109" s="228">
        <v>6</v>
      </c>
      <c r="AI109" s="228">
        <v>6</v>
      </c>
      <c r="AJ109" s="228">
        <v>0</v>
      </c>
      <c r="AK109" s="229">
        <v>4.0000000000000001E-3</v>
      </c>
      <c r="AL109" s="228">
        <v>14.4</v>
      </c>
      <c r="AM109" s="228">
        <v>14.4</v>
      </c>
      <c r="AN109" s="228">
        <v>0</v>
      </c>
      <c r="AO109" s="229">
        <v>9.4999999999999998E-3</v>
      </c>
      <c r="AP109" s="231">
        <v>1508.1</v>
      </c>
      <c r="AQ109" s="231">
        <v>1516.39</v>
      </c>
      <c r="AR109" s="228">
        <v>0</v>
      </c>
      <c r="AS109" s="230">
        <v>5223</v>
      </c>
      <c r="AT109" s="230">
        <v>4508</v>
      </c>
      <c r="AU109" s="228">
        <v>715</v>
      </c>
      <c r="AV109" s="229">
        <v>0.15870000000000001</v>
      </c>
      <c r="AW109" s="230">
        <v>1908</v>
      </c>
      <c r="AX109" s="230">
        <v>2206</v>
      </c>
      <c r="AY109" s="228">
        <v>-298</v>
      </c>
      <c r="AZ109" s="229">
        <v>-0.13500000000000001</v>
      </c>
      <c r="BA109" s="230">
        <v>3212</v>
      </c>
      <c r="BB109" s="230">
        <v>2263</v>
      </c>
      <c r="BC109" s="228">
        <v>949</v>
      </c>
      <c r="BD109" s="229">
        <v>0.41949999999999998</v>
      </c>
      <c r="BE109" s="228">
        <v>103</v>
      </c>
      <c r="BF109" s="228">
        <v>39</v>
      </c>
      <c r="BG109" s="228">
        <v>64</v>
      </c>
      <c r="BH109" s="229">
        <v>1.63</v>
      </c>
      <c r="BI109" s="230">
        <v>3533</v>
      </c>
      <c r="BJ109" s="230">
        <v>3245</v>
      </c>
      <c r="BK109" s="228">
        <v>287</v>
      </c>
      <c r="BL109" s="229">
        <v>8.8599999999999998E-2</v>
      </c>
      <c r="BM109" s="230">
        <v>1996</v>
      </c>
      <c r="BN109" s="230">
        <v>1663</v>
      </c>
      <c r="BO109" s="228">
        <v>334</v>
      </c>
      <c r="BP109" s="229">
        <v>0.20080000000000001</v>
      </c>
      <c r="BQ109" s="230">
        <v>10752</v>
      </c>
      <c r="BR109" s="230">
        <v>9415</v>
      </c>
      <c r="BS109" s="230">
        <v>1337</v>
      </c>
      <c r="BT109" s="229">
        <v>0.14199999999999999</v>
      </c>
      <c r="BU109" s="230">
        <v>7679028</v>
      </c>
      <c r="BV109" s="230">
        <v>5878968</v>
      </c>
      <c r="BW109" s="230">
        <v>1800060</v>
      </c>
      <c r="BX109" s="229">
        <v>0.30620000000000003</v>
      </c>
      <c r="BY109" s="230">
        <v>10308</v>
      </c>
      <c r="BZ109" s="230">
        <v>11224</v>
      </c>
      <c r="CA109" s="228">
        <v>-915</v>
      </c>
      <c r="CB109" s="229">
        <v>-8.1500000000000003E-2</v>
      </c>
      <c r="CC109" s="230">
        <v>1068</v>
      </c>
      <c r="CD109" s="230">
        <v>2339</v>
      </c>
      <c r="CE109" s="230">
        <v>-1271</v>
      </c>
      <c r="CF109" s="229">
        <v>-0.54330000000000001</v>
      </c>
      <c r="CG109" s="230">
        <v>9760</v>
      </c>
      <c r="CH109" s="230">
        <v>8327</v>
      </c>
      <c r="CI109" s="230">
        <v>1433</v>
      </c>
      <c r="CJ109" s="229">
        <v>0.1721</v>
      </c>
      <c r="CK109" s="228">
        <v>549</v>
      </c>
      <c r="CL109" s="228">
        <v>558</v>
      </c>
      <c r="CM109" s="228">
        <v>-9</v>
      </c>
      <c r="CN109" s="229">
        <v>-1.6899999999999998E-2</v>
      </c>
      <c r="CO109" s="230">
        <v>1659</v>
      </c>
      <c r="CP109" s="230">
        <v>4358</v>
      </c>
      <c r="CQ109" s="230">
        <v>-2699</v>
      </c>
      <c r="CR109" s="229">
        <v>-0.61929999999999996</v>
      </c>
      <c r="CS109" s="230">
        <v>1034</v>
      </c>
      <c r="CT109" s="230">
        <v>2151</v>
      </c>
      <c r="CU109" s="230">
        <v>-1118</v>
      </c>
      <c r="CV109" s="229">
        <v>-0.51949999999999996</v>
      </c>
      <c r="CW109" s="230">
        <v>13001</v>
      </c>
      <c r="CX109" s="230">
        <v>17733</v>
      </c>
      <c r="CY109" s="230">
        <v>-4732</v>
      </c>
      <c r="CZ109" s="229">
        <v>-0.26679999999999998</v>
      </c>
      <c r="DA109" s="228">
        <v>22.7</v>
      </c>
      <c r="DB109" s="228">
        <v>23.02</v>
      </c>
      <c r="DC109" s="228">
        <v>-0.32</v>
      </c>
      <c r="DD109" s="228">
        <v>-0.32</v>
      </c>
      <c r="DE109" s="228">
        <v>29.38</v>
      </c>
      <c r="DF109" s="228">
        <v>29.44</v>
      </c>
      <c r="DG109" s="228">
        <v>-6.68</v>
      </c>
      <c r="DH109" s="228">
        <v>-0.06</v>
      </c>
      <c r="DI109" s="228">
        <v>22.56</v>
      </c>
      <c r="DJ109" s="228">
        <v>23.03</v>
      </c>
      <c r="DK109" s="228">
        <v>-0.47</v>
      </c>
      <c r="DL109" s="228">
        <v>-0.47</v>
      </c>
      <c r="DM109" s="228">
        <v>22.97</v>
      </c>
      <c r="DN109" s="228">
        <v>23</v>
      </c>
      <c r="DO109" s="228">
        <v>-0.03</v>
      </c>
      <c r="DP109" s="228">
        <v>-0.03</v>
      </c>
      <c r="DQ109" s="228">
        <v>0.62</v>
      </c>
      <c r="DR109" s="228">
        <v>0.49</v>
      </c>
      <c r="DS109" s="228">
        <v>0.13</v>
      </c>
      <c r="DT109" s="229">
        <v>0.26529999999999998</v>
      </c>
      <c r="DU109" s="231">
        <v>1700</v>
      </c>
      <c r="DV109" s="231">
        <v>1500</v>
      </c>
      <c r="DW109" s="228">
        <v>0.56999999999999995</v>
      </c>
      <c r="DX109" s="228">
        <v>0.51</v>
      </c>
      <c r="DY109" s="228">
        <v>0.06</v>
      </c>
      <c r="DZ109" s="229">
        <v>0.1176</v>
      </c>
      <c r="EA109" s="229">
        <v>0.90610000000000002</v>
      </c>
      <c r="EB109" s="230">
        <v>58644800</v>
      </c>
      <c r="EC109" s="229">
        <v>3.3E-3</v>
      </c>
      <c r="ED109" s="229">
        <v>0.90610000000000002</v>
      </c>
      <c r="EE109" s="228">
        <v>8.2899999999999991</v>
      </c>
      <c r="EF109" s="229">
        <v>5.4999999999999997E-3</v>
      </c>
      <c r="EG109" s="230">
        <v>4601616</v>
      </c>
      <c r="EH109" s="230">
        <v>4342489</v>
      </c>
      <c r="EI109" s="229">
        <v>5.9700000000000003E-2</v>
      </c>
      <c r="EJ109" s="229">
        <v>0.59919999999999995</v>
      </c>
      <c r="EK109" s="231">
        <v>3695.75</v>
      </c>
      <c r="EL109" s="231">
        <v>1992.65</v>
      </c>
      <c r="EM109" s="231">
        <v>5217.7299999999996</v>
      </c>
      <c r="EN109" s="228">
        <v>0</v>
      </c>
      <c r="EO109" s="231">
        <v>10906.14</v>
      </c>
      <c r="EP109" s="231">
        <v>9560.6</v>
      </c>
      <c r="EQ109" s="231">
        <v>1345.54</v>
      </c>
      <c r="ER109" s="229">
        <v>0.14069999999999999</v>
      </c>
      <c r="ES109" s="231">
        <v>1766.87</v>
      </c>
      <c r="ET109" s="231">
        <v>1025.0999999999999</v>
      </c>
      <c r="EU109" s="231">
        <v>10311.530000000001</v>
      </c>
      <c r="EV109" s="231">
        <v>632343512</v>
      </c>
      <c r="EW109" s="231">
        <v>13103.5</v>
      </c>
      <c r="EX109" s="231">
        <v>18168.57</v>
      </c>
      <c r="EY109" s="231">
        <v>-5065.07</v>
      </c>
      <c r="EZ109" s="229">
        <v>-0.27879999999999999</v>
      </c>
      <c r="FA109" s="229">
        <v>0.13569999999999999</v>
      </c>
      <c r="FB109" s="227" t="s">
        <v>568</v>
      </c>
      <c r="FC109">
        <f t="shared" si="1"/>
        <v>9240</v>
      </c>
    </row>
    <row r="110" spans="1:159" ht="17.25" thickBot="1" x14ac:dyDescent="0.3">
      <c r="A110" s="226">
        <v>45869</v>
      </c>
      <c r="B110" s="227" t="s">
        <v>161</v>
      </c>
      <c r="C110" s="227" t="s">
        <v>671</v>
      </c>
      <c r="D110" s="228">
        <v>3272</v>
      </c>
      <c r="E110" s="228">
        <v>0</v>
      </c>
      <c r="F110" s="228">
        <v>151.53</v>
      </c>
      <c r="G110" s="228">
        <v>156.83000000000001</v>
      </c>
      <c r="H110" s="228">
        <v>-5.3</v>
      </c>
      <c r="I110" s="229">
        <v>-3.3799999999999997E-2</v>
      </c>
      <c r="J110" s="228">
        <v>150.74</v>
      </c>
      <c r="K110" s="228">
        <v>156.15</v>
      </c>
      <c r="L110" s="228">
        <v>-5.41</v>
      </c>
      <c r="M110" s="229">
        <v>-3.4599999999999999E-2</v>
      </c>
      <c r="N110" s="228">
        <v>150.66</v>
      </c>
      <c r="O110" s="228">
        <v>156.07</v>
      </c>
      <c r="P110" s="228">
        <v>-5.41</v>
      </c>
      <c r="Q110" s="229">
        <v>-3.4700000000000002E-2</v>
      </c>
      <c r="R110" s="228">
        <v>151.53</v>
      </c>
      <c r="S110" s="228">
        <v>156.83000000000001</v>
      </c>
      <c r="T110" s="228">
        <v>-5.3</v>
      </c>
      <c r="U110" s="229">
        <v>-3.3799999999999997E-2</v>
      </c>
      <c r="V110" s="228">
        <v>152.08000000000001</v>
      </c>
      <c r="W110" s="228">
        <v>157.83000000000001</v>
      </c>
      <c r="X110" s="228">
        <v>-5.75</v>
      </c>
      <c r="Y110" s="229">
        <v>-3.6400000000000002E-2</v>
      </c>
      <c r="Z110" s="228">
        <v>0.79</v>
      </c>
      <c r="AA110" s="228">
        <v>-0.08</v>
      </c>
      <c r="AB110" s="228">
        <v>0.87</v>
      </c>
      <c r="AC110" s="229">
        <v>5.1999999999999998E-3</v>
      </c>
      <c r="AD110" s="228">
        <v>-0.08</v>
      </c>
      <c r="AE110" s="228">
        <v>-0.08</v>
      </c>
      <c r="AF110" s="228">
        <v>0</v>
      </c>
      <c r="AG110" s="229">
        <v>-5.0000000000000001E-4</v>
      </c>
      <c r="AH110" s="228">
        <v>0.79</v>
      </c>
      <c r="AI110" s="228">
        <v>0.68</v>
      </c>
      <c r="AJ110" s="228">
        <v>0.11</v>
      </c>
      <c r="AK110" s="229">
        <v>5.1999999999999998E-3</v>
      </c>
      <c r="AL110" s="228">
        <v>1.34</v>
      </c>
      <c r="AM110" s="228">
        <v>1.68</v>
      </c>
      <c r="AN110" s="228">
        <v>-0.34</v>
      </c>
      <c r="AO110" s="229">
        <v>8.8999999999999999E-3</v>
      </c>
      <c r="AP110" s="228">
        <v>152.44</v>
      </c>
      <c r="AQ110" s="228">
        <v>153.19</v>
      </c>
      <c r="AR110" s="228">
        <v>0</v>
      </c>
      <c r="AS110" s="228">
        <v>492</v>
      </c>
      <c r="AT110" s="228">
        <v>273</v>
      </c>
      <c r="AU110" s="228">
        <v>218</v>
      </c>
      <c r="AV110" s="229">
        <v>0.79949999999999999</v>
      </c>
      <c r="AW110" s="228">
        <v>237</v>
      </c>
      <c r="AX110" s="228">
        <v>129</v>
      </c>
      <c r="AY110" s="228">
        <v>109</v>
      </c>
      <c r="AZ110" s="229">
        <v>0.84550000000000003</v>
      </c>
      <c r="BA110" s="228">
        <v>249</v>
      </c>
      <c r="BB110" s="228">
        <v>143</v>
      </c>
      <c r="BC110" s="228">
        <v>106</v>
      </c>
      <c r="BD110" s="229">
        <v>0.74160000000000004</v>
      </c>
      <c r="BE110" s="228">
        <v>6</v>
      </c>
      <c r="BF110" s="228">
        <v>2</v>
      </c>
      <c r="BG110" s="228">
        <v>4</v>
      </c>
      <c r="BH110" s="229">
        <v>2.0811000000000002</v>
      </c>
      <c r="BI110" s="228">
        <v>71</v>
      </c>
      <c r="BJ110" s="228">
        <v>43</v>
      </c>
      <c r="BK110" s="228">
        <v>28</v>
      </c>
      <c r="BL110" s="229">
        <v>0.64129999999999998</v>
      </c>
      <c r="BM110" s="228">
        <v>67</v>
      </c>
      <c r="BN110" s="228">
        <v>39</v>
      </c>
      <c r="BO110" s="228">
        <v>28</v>
      </c>
      <c r="BP110" s="229">
        <v>0.70530000000000004</v>
      </c>
      <c r="BQ110" s="228">
        <v>629</v>
      </c>
      <c r="BR110" s="228">
        <v>356</v>
      </c>
      <c r="BS110" s="228">
        <v>274</v>
      </c>
      <c r="BT110" s="229">
        <v>0.76990000000000003</v>
      </c>
      <c r="BU110" s="230">
        <v>5800422</v>
      </c>
      <c r="BV110" s="230">
        <v>5529073</v>
      </c>
      <c r="BW110" s="230">
        <v>271349</v>
      </c>
      <c r="BX110" s="229">
        <v>4.9099999999999998E-2</v>
      </c>
      <c r="BY110" s="228">
        <v>422</v>
      </c>
      <c r="BZ110" s="228">
        <v>598</v>
      </c>
      <c r="CA110" s="228">
        <v>-176</v>
      </c>
      <c r="CB110" s="229">
        <v>-0.29380000000000001</v>
      </c>
      <c r="CC110" s="228">
        <v>138</v>
      </c>
      <c r="CD110" s="228">
        <v>272</v>
      </c>
      <c r="CE110" s="228">
        <v>-134</v>
      </c>
      <c r="CF110" s="229">
        <v>-0.49199999999999999</v>
      </c>
      <c r="CG110" s="228">
        <v>409</v>
      </c>
      <c r="CH110" s="228">
        <v>316</v>
      </c>
      <c r="CI110" s="228">
        <v>93</v>
      </c>
      <c r="CJ110" s="229">
        <v>0.29420000000000002</v>
      </c>
      <c r="CK110" s="228">
        <v>13</v>
      </c>
      <c r="CL110" s="228">
        <v>10</v>
      </c>
      <c r="CM110" s="228">
        <v>3</v>
      </c>
      <c r="CN110" s="229">
        <v>0.27589999999999998</v>
      </c>
      <c r="CO110" s="228">
        <v>67</v>
      </c>
      <c r="CP110" s="228">
        <v>260</v>
      </c>
      <c r="CQ110" s="228">
        <v>-193</v>
      </c>
      <c r="CR110" s="229">
        <v>-0.74160000000000004</v>
      </c>
      <c r="CS110" s="228">
        <v>39</v>
      </c>
      <c r="CT110" s="228">
        <v>124</v>
      </c>
      <c r="CU110" s="228">
        <v>-85</v>
      </c>
      <c r="CV110" s="229">
        <v>-0.68730000000000002</v>
      </c>
      <c r="CW110" s="228">
        <v>528</v>
      </c>
      <c r="CX110" s="228">
        <v>982</v>
      </c>
      <c r="CY110" s="228">
        <v>-454</v>
      </c>
      <c r="CZ110" s="229">
        <v>-0.46210000000000001</v>
      </c>
      <c r="DA110" s="228">
        <v>38.15</v>
      </c>
      <c r="DB110" s="228">
        <v>41.08</v>
      </c>
      <c r="DC110" s="228">
        <v>-2.93</v>
      </c>
      <c r="DD110" s="228">
        <v>-2.93</v>
      </c>
      <c r="DE110" s="228">
        <v>62.18</v>
      </c>
      <c r="DF110" s="228">
        <v>62.15</v>
      </c>
      <c r="DG110" s="228">
        <v>-24.03</v>
      </c>
      <c r="DH110" s="228">
        <v>0.03</v>
      </c>
      <c r="DI110" s="228">
        <v>37.54</v>
      </c>
      <c r="DJ110" s="228">
        <v>37.18</v>
      </c>
      <c r="DK110" s="228">
        <v>0.36</v>
      </c>
      <c r="DL110" s="228">
        <v>0.36</v>
      </c>
      <c r="DM110" s="228">
        <v>39.24</v>
      </c>
      <c r="DN110" s="228">
        <v>45.6</v>
      </c>
      <c r="DO110" s="228">
        <v>-6.36</v>
      </c>
      <c r="DP110" s="228">
        <v>-6.36</v>
      </c>
      <c r="DQ110" s="228">
        <v>0.56999999999999995</v>
      </c>
      <c r="DR110" s="228">
        <v>0.47</v>
      </c>
      <c r="DS110" s="228">
        <v>0.1</v>
      </c>
      <c r="DT110" s="229">
        <v>0.21279999999999999</v>
      </c>
      <c r="DU110" s="228">
        <v>177.45</v>
      </c>
      <c r="DV110" s="228">
        <v>172.5</v>
      </c>
      <c r="DW110" s="228">
        <v>0.95</v>
      </c>
      <c r="DX110" s="228">
        <v>0.92</v>
      </c>
      <c r="DY110" s="228">
        <v>0.03</v>
      </c>
      <c r="DZ110" s="229">
        <v>3.2599999999999997E-2</v>
      </c>
      <c r="EA110" s="229">
        <v>0.75370000000000004</v>
      </c>
      <c r="EB110" s="230">
        <v>21536304</v>
      </c>
      <c r="EC110" s="229">
        <v>5.7999999999999996E-3</v>
      </c>
      <c r="ED110" s="229">
        <v>0.75370000000000004</v>
      </c>
      <c r="EE110" s="228">
        <v>0.75</v>
      </c>
      <c r="EF110" s="229">
        <v>4.8999999999999998E-3</v>
      </c>
      <c r="EG110" s="230">
        <v>2238394</v>
      </c>
      <c r="EH110" s="230">
        <v>1967000</v>
      </c>
      <c r="EI110" s="229">
        <v>0.13800000000000001</v>
      </c>
      <c r="EJ110" s="229">
        <v>0.38590000000000002</v>
      </c>
      <c r="EK110" s="228">
        <v>76.59</v>
      </c>
      <c r="EL110" s="228">
        <v>74.3</v>
      </c>
      <c r="EM110" s="228">
        <v>495.92</v>
      </c>
      <c r="EN110" s="228">
        <v>0</v>
      </c>
      <c r="EO110" s="228">
        <v>646.80999999999995</v>
      </c>
      <c r="EP110" s="228">
        <v>376.48</v>
      </c>
      <c r="EQ110" s="228">
        <v>270.33</v>
      </c>
      <c r="ER110" s="229">
        <v>0.71809999999999996</v>
      </c>
      <c r="ES110" s="228">
        <v>76.760000000000005</v>
      </c>
      <c r="ET110" s="228">
        <v>40.450000000000003</v>
      </c>
      <c r="EU110" s="228">
        <v>422.23</v>
      </c>
      <c r="EV110" s="231">
        <v>136849838</v>
      </c>
      <c r="EW110" s="228">
        <v>539.42999999999995</v>
      </c>
      <c r="EX110" s="231">
        <v>1059.51</v>
      </c>
      <c r="EY110" s="228">
        <v>-520.08000000000004</v>
      </c>
      <c r="EZ110" s="229">
        <v>-0.4909</v>
      </c>
      <c r="FA110" s="229">
        <v>0.25469999999999998</v>
      </c>
      <c r="FB110" s="227" t="s">
        <v>568</v>
      </c>
      <c r="FC110">
        <f t="shared" si="1"/>
        <v>284</v>
      </c>
    </row>
    <row r="111" spans="1:159" ht="17.25" thickBot="1" x14ac:dyDescent="0.3">
      <c r="A111" s="226">
        <v>45869</v>
      </c>
      <c r="B111" s="227" t="s">
        <v>193</v>
      </c>
      <c r="C111" s="227" t="s">
        <v>241</v>
      </c>
      <c r="D111" s="228">
        <v>4875</v>
      </c>
      <c r="E111" s="228">
        <v>0</v>
      </c>
      <c r="F111" s="228">
        <v>146.04</v>
      </c>
      <c r="G111" s="228">
        <v>149.51</v>
      </c>
      <c r="H111" s="228">
        <v>-3.47</v>
      </c>
      <c r="I111" s="229">
        <v>-2.3199999999999998E-2</v>
      </c>
      <c r="J111" s="228">
        <v>145.62</v>
      </c>
      <c r="K111" s="228">
        <v>149.04</v>
      </c>
      <c r="L111" s="228">
        <v>-3.42</v>
      </c>
      <c r="M111" s="229">
        <v>-2.29E-2</v>
      </c>
      <c r="N111" s="228">
        <v>145.56</v>
      </c>
      <c r="O111" s="228">
        <v>149.1</v>
      </c>
      <c r="P111" s="228">
        <v>-3.54</v>
      </c>
      <c r="Q111" s="229">
        <v>-2.3699999999999999E-2</v>
      </c>
      <c r="R111" s="228">
        <v>146.04</v>
      </c>
      <c r="S111" s="228">
        <v>149.51</v>
      </c>
      <c r="T111" s="228">
        <v>-3.47</v>
      </c>
      <c r="U111" s="229">
        <v>-2.3199999999999998E-2</v>
      </c>
      <c r="V111" s="228">
        <v>146.78</v>
      </c>
      <c r="W111" s="228">
        <v>150.41</v>
      </c>
      <c r="X111" s="228">
        <v>-3.63</v>
      </c>
      <c r="Y111" s="229">
        <v>-2.41E-2</v>
      </c>
      <c r="Z111" s="228">
        <v>0.42</v>
      </c>
      <c r="AA111" s="228">
        <v>0.06</v>
      </c>
      <c r="AB111" s="228">
        <v>0.36</v>
      </c>
      <c r="AC111" s="229">
        <v>2.8999999999999998E-3</v>
      </c>
      <c r="AD111" s="228">
        <v>-0.06</v>
      </c>
      <c r="AE111" s="228">
        <v>0.06</v>
      </c>
      <c r="AF111" s="228">
        <v>-0.12</v>
      </c>
      <c r="AG111" s="229">
        <v>-4.0000000000000002E-4</v>
      </c>
      <c r="AH111" s="228">
        <v>0.42</v>
      </c>
      <c r="AI111" s="228">
        <v>0.47</v>
      </c>
      <c r="AJ111" s="228">
        <v>-0.05</v>
      </c>
      <c r="AK111" s="229">
        <v>2.8999999999999998E-3</v>
      </c>
      <c r="AL111" s="228">
        <v>1.1599999999999999</v>
      </c>
      <c r="AM111" s="228">
        <v>1.37</v>
      </c>
      <c r="AN111" s="228">
        <v>-0.21</v>
      </c>
      <c r="AO111" s="229">
        <v>8.0000000000000002E-3</v>
      </c>
      <c r="AP111" s="228">
        <v>145.6</v>
      </c>
      <c r="AQ111" s="228">
        <v>145.87</v>
      </c>
      <c r="AR111" s="228">
        <v>0</v>
      </c>
      <c r="AS111" s="228">
        <v>897</v>
      </c>
      <c r="AT111" s="228">
        <v>949</v>
      </c>
      <c r="AU111" s="228">
        <v>-52</v>
      </c>
      <c r="AV111" s="229">
        <v>-5.4600000000000003E-2</v>
      </c>
      <c r="AW111" s="228">
        <v>388</v>
      </c>
      <c r="AX111" s="228">
        <v>473</v>
      </c>
      <c r="AY111" s="228">
        <v>-84</v>
      </c>
      <c r="AZ111" s="229">
        <v>-0.1787</v>
      </c>
      <c r="BA111" s="228">
        <v>481</v>
      </c>
      <c r="BB111" s="228">
        <v>459</v>
      </c>
      <c r="BC111" s="228">
        <v>22</v>
      </c>
      <c r="BD111" s="229">
        <v>4.7600000000000003E-2</v>
      </c>
      <c r="BE111" s="228">
        <v>27</v>
      </c>
      <c r="BF111" s="228">
        <v>17</v>
      </c>
      <c r="BG111" s="228">
        <v>11</v>
      </c>
      <c r="BH111" s="229">
        <v>0.6552</v>
      </c>
      <c r="BI111" s="228">
        <v>939</v>
      </c>
      <c r="BJ111" s="230">
        <v>1763</v>
      </c>
      <c r="BK111" s="228">
        <v>-824</v>
      </c>
      <c r="BL111" s="229">
        <v>-0.46739999999999998</v>
      </c>
      <c r="BM111" s="230">
        <v>1123</v>
      </c>
      <c r="BN111" s="228">
        <v>566</v>
      </c>
      <c r="BO111" s="228">
        <v>556</v>
      </c>
      <c r="BP111" s="229">
        <v>0.98250000000000004</v>
      </c>
      <c r="BQ111" s="230">
        <v>2958</v>
      </c>
      <c r="BR111" s="230">
        <v>3278</v>
      </c>
      <c r="BS111" s="228">
        <v>-319</v>
      </c>
      <c r="BT111" s="229">
        <v>-9.74E-2</v>
      </c>
      <c r="BU111" s="230">
        <v>12837427</v>
      </c>
      <c r="BV111" s="230">
        <v>9674723</v>
      </c>
      <c r="BW111" s="230">
        <v>3162704</v>
      </c>
      <c r="BX111" s="229">
        <v>0.32690000000000002</v>
      </c>
      <c r="BY111" s="230">
        <v>1010</v>
      </c>
      <c r="BZ111" s="230">
        <v>1429</v>
      </c>
      <c r="CA111" s="228">
        <v>-419</v>
      </c>
      <c r="CB111" s="229">
        <v>-0.29339999999999999</v>
      </c>
      <c r="CC111" s="228">
        <v>405</v>
      </c>
      <c r="CD111" s="228">
        <v>499</v>
      </c>
      <c r="CE111" s="228">
        <v>-94</v>
      </c>
      <c r="CF111" s="229">
        <v>-0.1888</v>
      </c>
      <c r="CG111" s="228">
        <v>980</v>
      </c>
      <c r="CH111" s="228">
        <v>903</v>
      </c>
      <c r="CI111" s="228">
        <v>77</v>
      </c>
      <c r="CJ111" s="229">
        <v>8.4699999999999998E-2</v>
      </c>
      <c r="CK111" s="228">
        <v>30</v>
      </c>
      <c r="CL111" s="228">
        <v>27</v>
      </c>
      <c r="CM111" s="228">
        <v>3</v>
      </c>
      <c r="CN111" s="229">
        <v>0.11609999999999999</v>
      </c>
      <c r="CO111" s="228">
        <v>483</v>
      </c>
      <c r="CP111" s="230">
        <v>1029</v>
      </c>
      <c r="CQ111" s="228">
        <v>-546</v>
      </c>
      <c r="CR111" s="229">
        <v>-0.53059999999999996</v>
      </c>
      <c r="CS111" s="228">
        <v>373</v>
      </c>
      <c r="CT111" s="228">
        <v>660</v>
      </c>
      <c r="CU111" s="228">
        <v>-287</v>
      </c>
      <c r="CV111" s="229">
        <v>-0.43440000000000001</v>
      </c>
      <c r="CW111" s="230">
        <v>1866</v>
      </c>
      <c r="CX111" s="230">
        <v>3118</v>
      </c>
      <c r="CY111" s="230">
        <v>-1252</v>
      </c>
      <c r="CZ111" s="229">
        <v>-0.40150000000000002</v>
      </c>
      <c r="DA111" s="228">
        <v>27</v>
      </c>
      <c r="DB111" s="228">
        <v>26.95</v>
      </c>
      <c r="DC111" s="228">
        <v>0.05</v>
      </c>
      <c r="DD111" s="228">
        <v>0.05</v>
      </c>
      <c r="DE111" s="228">
        <v>34.6</v>
      </c>
      <c r="DF111" s="228">
        <v>34.54</v>
      </c>
      <c r="DG111" s="228">
        <v>-7.6</v>
      </c>
      <c r="DH111" s="228">
        <v>0.06</v>
      </c>
      <c r="DI111" s="228">
        <v>27.44</v>
      </c>
      <c r="DJ111" s="228">
        <v>27.48</v>
      </c>
      <c r="DK111" s="228">
        <v>-0.04</v>
      </c>
      <c r="DL111" s="228">
        <v>-0.04</v>
      </c>
      <c r="DM111" s="228">
        <v>26.67</v>
      </c>
      <c r="DN111" s="228">
        <v>25.67</v>
      </c>
      <c r="DO111" s="228">
        <v>1</v>
      </c>
      <c r="DP111" s="228">
        <v>1</v>
      </c>
      <c r="DQ111" s="228">
        <v>0.77</v>
      </c>
      <c r="DR111" s="228">
        <v>0.64</v>
      </c>
      <c r="DS111" s="228">
        <v>0.13</v>
      </c>
      <c r="DT111" s="229">
        <v>0.2031</v>
      </c>
      <c r="DU111" s="228">
        <v>150</v>
      </c>
      <c r="DV111" s="228">
        <v>140</v>
      </c>
      <c r="DW111" s="228">
        <v>1.2</v>
      </c>
      <c r="DX111" s="228">
        <v>0.32</v>
      </c>
      <c r="DY111" s="228">
        <v>0.88</v>
      </c>
      <c r="DZ111" s="229">
        <v>2.75</v>
      </c>
      <c r="EA111" s="229">
        <v>0.71389999999999998</v>
      </c>
      <c r="EB111" s="230">
        <v>63706500</v>
      </c>
      <c r="EC111" s="229">
        <v>3.3E-3</v>
      </c>
      <c r="ED111" s="229">
        <v>0.71389999999999998</v>
      </c>
      <c r="EE111" s="228">
        <v>0.27</v>
      </c>
      <c r="EF111" s="229">
        <v>1.9E-3</v>
      </c>
      <c r="EG111" s="230">
        <v>3928199</v>
      </c>
      <c r="EH111" s="230">
        <v>3907902</v>
      </c>
      <c r="EI111" s="229">
        <v>5.1999999999999998E-3</v>
      </c>
      <c r="EJ111" s="229">
        <v>0.30599999999999999</v>
      </c>
      <c r="EK111" s="228">
        <v>988.24</v>
      </c>
      <c r="EL111" s="231">
        <v>1125.79</v>
      </c>
      <c r="EM111" s="228">
        <v>895.09</v>
      </c>
      <c r="EN111" s="228">
        <v>0</v>
      </c>
      <c r="EO111" s="231">
        <v>3009.11</v>
      </c>
      <c r="EP111" s="231">
        <v>3405.99</v>
      </c>
      <c r="EQ111" s="228">
        <v>-396.87</v>
      </c>
      <c r="ER111" s="229">
        <v>-0.11650000000000001</v>
      </c>
      <c r="ES111" s="228">
        <v>517.76</v>
      </c>
      <c r="ET111" s="228">
        <v>371.26</v>
      </c>
      <c r="EU111" s="231">
        <v>1010.19</v>
      </c>
      <c r="EV111" s="231">
        <v>1369807723</v>
      </c>
      <c r="EW111" s="231">
        <v>1899.2</v>
      </c>
      <c r="EX111" s="231">
        <v>3210.32</v>
      </c>
      <c r="EY111" s="231">
        <v>-1311.12</v>
      </c>
      <c r="EZ111" s="229">
        <v>-0.40839999999999999</v>
      </c>
      <c r="FA111" s="229">
        <v>9.3299999999999994E-2</v>
      </c>
      <c r="FB111" s="227" t="s">
        <v>568</v>
      </c>
      <c r="FC111">
        <f t="shared" si="1"/>
        <v>605</v>
      </c>
    </row>
    <row r="112" spans="1:159" ht="17.25" thickBot="1" x14ac:dyDescent="0.3">
      <c r="A112" s="226">
        <v>45869</v>
      </c>
      <c r="B112" s="227" t="s">
        <v>215</v>
      </c>
      <c r="C112" s="227" t="s">
        <v>595</v>
      </c>
      <c r="D112" s="228">
        <v>11675</v>
      </c>
      <c r="E112" s="228">
        <v>0</v>
      </c>
      <c r="F112" s="228">
        <v>45.27</v>
      </c>
      <c r="G112" s="228">
        <v>46.22</v>
      </c>
      <c r="H112" s="228">
        <v>-0.95</v>
      </c>
      <c r="I112" s="229">
        <v>-2.06E-2</v>
      </c>
      <c r="J112" s="228">
        <v>45.07</v>
      </c>
      <c r="K112" s="228">
        <v>46.04</v>
      </c>
      <c r="L112" s="228">
        <v>-0.97</v>
      </c>
      <c r="M112" s="229">
        <v>-2.1100000000000001E-2</v>
      </c>
      <c r="N112" s="228">
        <v>45.03</v>
      </c>
      <c r="O112" s="228">
        <v>45.99</v>
      </c>
      <c r="P112" s="228">
        <v>-0.96</v>
      </c>
      <c r="Q112" s="229">
        <v>-2.0899999999999998E-2</v>
      </c>
      <c r="R112" s="228">
        <v>45.27</v>
      </c>
      <c r="S112" s="228">
        <v>46.22</v>
      </c>
      <c r="T112" s="228">
        <v>-0.95</v>
      </c>
      <c r="U112" s="229">
        <v>-2.06E-2</v>
      </c>
      <c r="V112" s="228">
        <v>0</v>
      </c>
      <c r="W112" s="228">
        <v>0</v>
      </c>
      <c r="X112" s="228">
        <v>0</v>
      </c>
      <c r="Y112" s="229">
        <v>0</v>
      </c>
      <c r="Z112" s="228">
        <v>0.2</v>
      </c>
      <c r="AA112" s="228">
        <v>-0.05</v>
      </c>
      <c r="AB112" s="228">
        <v>0.25</v>
      </c>
      <c r="AC112" s="229">
        <v>4.4000000000000003E-3</v>
      </c>
      <c r="AD112" s="228">
        <v>-0.04</v>
      </c>
      <c r="AE112" s="228">
        <v>-0.05</v>
      </c>
      <c r="AF112" s="228">
        <v>0.01</v>
      </c>
      <c r="AG112" s="229">
        <v>-8.9999999999999998E-4</v>
      </c>
      <c r="AH112" s="228">
        <v>0.2</v>
      </c>
      <c r="AI112" s="228">
        <v>0.18</v>
      </c>
      <c r="AJ112" s="228">
        <v>0.02</v>
      </c>
      <c r="AK112" s="229">
        <v>4.4000000000000003E-3</v>
      </c>
      <c r="AL112" s="228">
        <v>0</v>
      </c>
      <c r="AM112" s="228">
        <v>0</v>
      </c>
      <c r="AN112" s="228">
        <v>0</v>
      </c>
      <c r="AO112" s="229">
        <v>0</v>
      </c>
      <c r="AP112" s="228">
        <v>45.3</v>
      </c>
      <c r="AQ112" s="228">
        <v>45.53</v>
      </c>
      <c r="AR112" s="228">
        <v>0</v>
      </c>
      <c r="AS112" s="228">
        <v>296</v>
      </c>
      <c r="AT112" s="228">
        <v>206</v>
      </c>
      <c r="AU112" s="228">
        <v>90</v>
      </c>
      <c r="AV112" s="229">
        <v>0.43569999999999998</v>
      </c>
      <c r="AW112" s="228">
        <v>144</v>
      </c>
      <c r="AX112" s="228">
        <v>100</v>
      </c>
      <c r="AY112" s="228">
        <v>44</v>
      </c>
      <c r="AZ112" s="229">
        <v>0.43730000000000002</v>
      </c>
      <c r="BA112" s="228">
        <v>152</v>
      </c>
      <c r="BB112" s="228">
        <v>106</v>
      </c>
      <c r="BC112" s="228">
        <v>46</v>
      </c>
      <c r="BD112" s="229">
        <v>0.43409999999999999</v>
      </c>
      <c r="BE112" s="228">
        <v>0</v>
      </c>
      <c r="BF112" s="228">
        <v>0</v>
      </c>
      <c r="BG112" s="228">
        <v>0</v>
      </c>
      <c r="BH112" s="229">
        <v>0</v>
      </c>
      <c r="BI112" s="228">
        <v>58</v>
      </c>
      <c r="BJ112" s="228">
        <v>33</v>
      </c>
      <c r="BK112" s="228">
        <v>25</v>
      </c>
      <c r="BL112" s="229">
        <v>0.76049999999999995</v>
      </c>
      <c r="BM112" s="228">
        <v>42</v>
      </c>
      <c r="BN112" s="228">
        <v>13</v>
      </c>
      <c r="BO112" s="228">
        <v>29</v>
      </c>
      <c r="BP112" s="229">
        <v>2.1680000000000001</v>
      </c>
      <c r="BQ112" s="228">
        <v>395</v>
      </c>
      <c r="BR112" s="228">
        <v>252</v>
      </c>
      <c r="BS112" s="228">
        <v>143</v>
      </c>
      <c r="BT112" s="229">
        <v>0.56889999999999996</v>
      </c>
      <c r="BU112" s="230">
        <v>8125502</v>
      </c>
      <c r="BV112" s="230">
        <v>6282345</v>
      </c>
      <c r="BW112" s="230">
        <v>1843157</v>
      </c>
      <c r="BX112" s="229">
        <v>0.29339999999999999</v>
      </c>
      <c r="BY112" s="228">
        <v>373</v>
      </c>
      <c r="BZ112" s="228">
        <v>413</v>
      </c>
      <c r="CA112" s="228">
        <v>-40</v>
      </c>
      <c r="CB112" s="229">
        <v>-9.6600000000000005E-2</v>
      </c>
      <c r="CC112" s="228">
        <v>26</v>
      </c>
      <c r="CD112" s="228">
        <v>113</v>
      </c>
      <c r="CE112" s="228">
        <v>-87</v>
      </c>
      <c r="CF112" s="229">
        <v>-0.77380000000000004</v>
      </c>
      <c r="CG112" s="228">
        <v>373</v>
      </c>
      <c r="CH112" s="228">
        <v>300</v>
      </c>
      <c r="CI112" s="228">
        <v>73</v>
      </c>
      <c r="CJ112" s="229">
        <v>0.24299999999999999</v>
      </c>
      <c r="CK112" s="228">
        <v>0</v>
      </c>
      <c r="CL112" s="228">
        <v>0</v>
      </c>
      <c r="CM112" s="228">
        <v>0</v>
      </c>
      <c r="CN112" s="229">
        <v>0</v>
      </c>
      <c r="CO112" s="228">
        <v>51</v>
      </c>
      <c r="CP112" s="228">
        <v>186</v>
      </c>
      <c r="CQ112" s="228">
        <v>-135</v>
      </c>
      <c r="CR112" s="229">
        <v>-0.72629999999999995</v>
      </c>
      <c r="CS112" s="228">
        <v>29</v>
      </c>
      <c r="CT112" s="228">
        <v>67</v>
      </c>
      <c r="CU112" s="228">
        <v>-38</v>
      </c>
      <c r="CV112" s="229">
        <v>-0.57050000000000001</v>
      </c>
      <c r="CW112" s="228">
        <v>453</v>
      </c>
      <c r="CX112" s="228">
        <v>666</v>
      </c>
      <c r="CY112" s="228">
        <v>-214</v>
      </c>
      <c r="CZ112" s="229">
        <v>-0.32040000000000002</v>
      </c>
      <c r="DA112" s="228">
        <v>35.520000000000003</v>
      </c>
      <c r="DB112" s="228">
        <v>35.67</v>
      </c>
      <c r="DC112" s="228">
        <v>-0.15</v>
      </c>
      <c r="DD112" s="228">
        <v>-0.15</v>
      </c>
      <c r="DE112" s="228">
        <v>49.66</v>
      </c>
      <c r="DF112" s="228">
        <v>49.7</v>
      </c>
      <c r="DG112" s="228">
        <v>-14.14</v>
      </c>
      <c r="DH112" s="228">
        <v>-0.04</v>
      </c>
      <c r="DI112" s="228">
        <v>36.99</v>
      </c>
      <c r="DJ112" s="228">
        <v>36.24</v>
      </c>
      <c r="DK112" s="228">
        <v>0.75</v>
      </c>
      <c r="DL112" s="228">
        <v>0.75</v>
      </c>
      <c r="DM112" s="228">
        <v>33.21</v>
      </c>
      <c r="DN112" s="228">
        <v>33.380000000000003</v>
      </c>
      <c r="DO112" s="228">
        <v>-0.17</v>
      </c>
      <c r="DP112" s="228">
        <v>-0.17</v>
      </c>
      <c r="DQ112" s="228">
        <v>0.56000000000000005</v>
      </c>
      <c r="DR112" s="228">
        <v>0.36</v>
      </c>
      <c r="DS112" s="228">
        <v>0.2</v>
      </c>
      <c r="DT112" s="229">
        <v>0.55559999999999998</v>
      </c>
      <c r="DU112" s="228">
        <v>50</v>
      </c>
      <c r="DV112" s="228">
        <v>50</v>
      </c>
      <c r="DW112" s="228">
        <v>0.72</v>
      </c>
      <c r="DX112" s="228">
        <v>0.4</v>
      </c>
      <c r="DY112" s="228">
        <v>0.32</v>
      </c>
      <c r="DZ112" s="229">
        <v>0.8</v>
      </c>
      <c r="EA112" s="229">
        <v>0.93600000000000005</v>
      </c>
      <c r="EB112" s="230">
        <v>66314000</v>
      </c>
      <c r="EC112" s="229">
        <v>5.3E-3</v>
      </c>
      <c r="ED112" s="229">
        <v>0.93600000000000005</v>
      </c>
      <c r="EE112" s="228">
        <v>0.23</v>
      </c>
      <c r="EF112" s="229">
        <v>5.1000000000000004E-3</v>
      </c>
      <c r="EG112" s="230">
        <v>3477174</v>
      </c>
      <c r="EH112" s="230">
        <v>2539953</v>
      </c>
      <c r="EI112" s="229">
        <v>0.36899999999999999</v>
      </c>
      <c r="EJ112" s="229">
        <v>0.4279</v>
      </c>
      <c r="EK112" s="228">
        <v>63.08</v>
      </c>
      <c r="EL112" s="228">
        <v>45.77</v>
      </c>
      <c r="EM112" s="228">
        <v>296.54000000000002</v>
      </c>
      <c r="EN112" s="228">
        <v>0</v>
      </c>
      <c r="EO112" s="228">
        <v>405.38</v>
      </c>
      <c r="EP112" s="228">
        <v>260.57</v>
      </c>
      <c r="EQ112" s="228">
        <v>144.82</v>
      </c>
      <c r="ER112" s="229">
        <v>0.55579999999999996</v>
      </c>
      <c r="ES112" s="228">
        <v>55.98</v>
      </c>
      <c r="ET112" s="228">
        <v>29.26</v>
      </c>
      <c r="EU112" s="228">
        <v>373.14</v>
      </c>
      <c r="EV112" s="231">
        <v>840388804</v>
      </c>
      <c r="EW112" s="228">
        <v>458.38</v>
      </c>
      <c r="EX112" s="228">
        <v>703.21</v>
      </c>
      <c r="EY112" s="228">
        <v>-244.83</v>
      </c>
      <c r="EZ112" s="229">
        <v>-0.34820000000000001</v>
      </c>
      <c r="FA112" s="229">
        <v>0.1191</v>
      </c>
      <c r="FB112" s="227" t="s">
        <v>568</v>
      </c>
      <c r="FC112">
        <f t="shared" si="1"/>
        <v>347</v>
      </c>
    </row>
    <row r="113" spans="1:159" ht="17.25" thickBot="1" x14ac:dyDescent="0.3">
      <c r="A113" s="226">
        <v>45869</v>
      </c>
      <c r="B113" s="227" t="s">
        <v>215</v>
      </c>
      <c r="C113" s="227" t="s">
        <v>490</v>
      </c>
      <c r="D113" s="228">
        <v>875</v>
      </c>
      <c r="E113" s="228">
        <v>0</v>
      </c>
      <c r="F113" s="228">
        <v>728.3</v>
      </c>
      <c r="G113" s="228">
        <v>739.4</v>
      </c>
      <c r="H113" s="228">
        <v>-11.1</v>
      </c>
      <c r="I113" s="229">
        <v>-1.4999999999999999E-2</v>
      </c>
      <c r="J113" s="228">
        <v>726.05</v>
      </c>
      <c r="K113" s="228">
        <v>736.15</v>
      </c>
      <c r="L113" s="228">
        <v>-10.1</v>
      </c>
      <c r="M113" s="229">
        <v>-1.37E-2</v>
      </c>
      <c r="N113" s="228">
        <v>724.65</v>
      </c>
      <c r="O113" s="228">
        <v>736.35</v>
      </c>
      <c r="P113" s="228">
        <v>-11.7</v>
      </c>
      <c r="Q113" s="229">
        <v>-1.5900000000000001E-2</v>
      </c>
      <c r="R113" s="228">
        <v>728.3</v>
      </c>
      <c r="S113" s="228">
        <v>739.4</v>
      </c>
      <c r="T113" s="228">
        <v>-11.1</v>
      </c>
      <c r="U113" s="229">
        <v>-1.4999999999999999E-2</v>
      </c>
      <c r="V113" s="228">
        <v>731.65</v>
      </c>
      <c r="W113" s="228">
        <v>743.55</v>
      </c>
      <c r="X113" s="228">
        <v>-11.9</v>
      </c>
      <c r="Y113" s="229">
        <v>-1.6E-2</v>
      </c>
      <c r="Z113" s="228">
        <v>2.25</v>
      </c>
      <c r="AA113" s="228">
        <v>0.2</v>
      </c>
      <c r="AB113" s="228">
        <v>2.0499999999999998</v>
      </c>
      <c r="AC113" s="229">
        <v>3.0999999999999999E-3</v>
      </c>
      <c r="AD113" s="228">
        <v>-1.4</v>
      </c>
      <c r="AE113" s="228">
        <v>0.2</v>
      </c>
      <c r="AF113" s="228">
        <v>-1.6</v>
      </c>
      <c r="AG113" s="229">
        <v>-1.9E-3</v>
      </c>
      <c r="AH113" s="228">
        <v>2.25</v>
      </c>
      <c r="AI113" s="228">
        <v>3.25</v>
      </c>
      <c r="AJ113" s="228">
        <v>-1</v>
      </c>
      <c r="AK113" s="229">
        <v>3.0999999999999999E-3</v>
      </c>
      <c r="AL113" s="228">
        <v>5.6</v>
      </c>
      <c r="AM113" s="228">
        <v>7.4</v>
      </c>
      <c r="AN113" s="228">
        <v>-1.8</v>
      </c>
      <c r="AO113" s="229">
        <v>7.7000000000000002E-3</v>
      </c>
      <c r="AP113" s="228">
        <v>727.36</v>
      </c>
      <c r="AQ113" s="228">
        <v>730.61</v>
      </c>
      <c r="AR113" s="228">
        <v>0</v>
      </c>
      <c r="AS113" s="228">
        <v>698</v>
      </c>
      <c r="AT113" s="228">
        <v>633</v>
      </c>
      <c r="AU113" s="228">
        <v>65</v>
      </c>
      <c r="AV113" s="229">
        <v>0.1032</v>
      </c>
      <c r="AW113" s="228">
        <v>320</v>
      </c>
      <c r="AX113" s="228">
        <v>320</v>
      </c>
      <c r="AY113" s="228">
        <v>0</v>
      </c>
      <c r="AZ113" s="229">
        <v>-1.1999999999999999E-3</v>
      </c>
      <c r="BA113" s="228">
        <v>353</v>
      </c>
      <c r="BB113" s="228">
        <v>292</v>
      </c>
      <c r="BC113" s="228">
        <v>61</v>
      </c>
      <c r="BD113" s="229">
        <v>0.20760000000000001</v>
      </c>
      <c r="BE113" s="228">
        <v>26</v>
      </c>
      <c r="BF113" s="228">
        <v>21</v>
      </c>
      <c r="BG113" s="228">
        <v>5</v>
      </c>
      <c r="BH113" s="229">
        <v>0.24690000000000001</v>
      </c>
      <c r="BI113" s="228">
        <v>453</v>
      </c>
      <c r="BJ113" s="228">
        <v>437</v>
      </c>
      <c r="BK113" s="228">
        <v>15</v>
      </c>
      <c r="BL113" s="229">
        <v>3.5400000000000001E-2</v>
      </c>
      <c r="BM113" s="228">
        <v>308</v>
      </c>
      <c r="BN113" s="228">
        <v>193</v>
      </c>
      <c r="BO113" s="228">
        <v>115</v>
      </c>
      <c r="BP113" s="229">
        <v>0.59819999999999995</v>
      </c>
      <c r="BQ113" s="230">
        <v>1459</v>
      </c>
      <c r="BR113" s="230">
        <v>1263</v>
      </c>
      <c r="BS113" s="228">
        <v>196</v>
      </c>
      <c r="BT113" s="229">
        <v>0.15529999999999999</v>
      </c>
      <c r="BU113" s="230">
        <v>795995</v>
      </c>
      <c r="BV113" s="230">
        <v>856327</v>
      </c>
      <c r="BW113" s="230">
        <v>-60332</v>
      </c>
      <c r="BX113" s="229">
        <v>-7.0499999999999993E-2</v>
      </c>
      <c r="BY113" s="230">
        <v>1032</v>
      </c>
      <c r="BZ113" s="230">
        <v>1113</v>
      </c>
      <c r="CA113" s="228">
        <v>-81</v>
      </c>
      <c r="CB113" s="229">
        <v>-7.2999999999999995E-2</v>
      </c>
      <c r="CC113" s="228">
        <v>86</v>
      </c>
      <c r="CD113" s="228">
        <v>275</v>
      </c>
      <c r="CE113" s="228">
        <v>-188</v>
      </c>
      <c r="CF113" s="229">
        <v>-0.68520000000000003</v>
      </c>
      <c r="CG113" s="228">
        <v>978</v>
      </c>
      <c r="CH113" s="228">
        <v>798</v>
      </c>
      <c r="CI113" s="228">
        <v>180</v>
      </c>
      <c r="CJ113" s="229">
        <v>0.2261</v>
      </c>
      <c r="CK113" s="228">
        <v>54</v>
      </c>
      <c r="CL113" s="228">
        <v>41</v>
      </c>
      <c r="CM113" s="228">
        <v>13</v>
      </c>
      <c r="CN113" s="229">
        <v>0.31730000000000003</v>
      </c>
      <c r="CO113" s="228">
        <v>290</v>
      </c>
      <c r="CP113" s="228">
        <v>657</v>
      </c>
      <c r="CQ113" s="228">
        <v>-367</v>
      </c>
      <c r="CR113" s="229">
        <v>-0.55840000000000001</v>
      </c>
      <c r="CS113" s="228">
        <v>249</v>
      </c>
      <c r="CT113" s="228">
        <v>412</v>
      </c>
      <c r="CU113" s="228">
        <v>-163</v>
      </c>
      <c r="CV113" s="229">
        <v>-0.39639999999999997</v>
      </c>
      <c r="CW113" s="230">
        <v>1571</v>
      </c>
      <c r="CX113" s="230">
        <v>2182</v>
      </c>
      <c r="CY113" s="228">
        <v>-612</v>
      </c>
      <c r="CZ113" s="229">
        <v>-0.2802</v>
      </c>
      <c r="DA113" s="228">
        <v>25.79</v>
      </c>
      <c r="DB113" s="228">
        <v>24.62</v>
      </c>
      <c r="DC113" s="228">
        <v>1.17</v>
      </c>
      <c r="DD113" s="228">
        <v>1.17</v>
      </c>
      <c r="DE113" s="228">
        <v>34.17</v>
      </c>
      <c r="DF113" s="228">
        <v>34.19</v>
      </c>
      <c r="DG113" s="228">
        <v>-8.3800000000000008</v>
      </c>
      <c r="DH113" s="228">
        <v>-0.02</v>
      </c>
      <c r="DI113" s="228">
        <v>25.89</v>
      </c>
      <c r="DJ113" s="228">
        <v>24.59</v>
      </c>
      <c r="DK113" s="228">
        <v>1.3</v>
      </c>
      <c r="DL113" s="228">
        <v>1.3</v>
      </c>
      <c r="DM113" s="228">
        <v>25.63</v>
      </c>
      <c r="DN113" s="228">
        <v>24.67</v>
      </c>
      <c r="DO113" s="228">
        <v>0.96</v>
      </c>
      <c r="DP113" s="228">
        <v>0.96</v>
      </c>
      <c r="DQ113" s="228">
        <v>0.86</v>
      </c>
      <c r="DR113" s="228">
        <v>0.63</v>
      </c>
      <c r="DS113" s="228">
        <v>0.23</v>
      </c>
      <c r="DT113" s="229">
        <v>0.36509999999999998</v>
      </c>
      <c r="DU113" s="228">
        <v>800</v>
      </c>
      <c r="DV113" s="228">
        <v>800</v>
      </c>
      <c r="DW113" s="228">
        <v>0.68</v>
      </c>
      <c r="DX113" s="228">
        <v>0.44</v>
      </c>
      <c r="DY113" s="228">
        <v>0.24</v>
      </c>
      <c r="DZ113" s="229">
        <v>0.54549999999999998</v>
      </c>
      <c r="EA113" s="229">
        <v>0.92269999999999996</v>
      </c>
      <c r="EB113" s="230">
        <v>11515000</v>
      </c>
      <c r="EC113" s="229">
        <v>5.0000000000000001E-3</v>
      </c>
      <c r="ED113" s="229">
        <v>0.92269999999999996</v>
      </c>
      <c r="EE113" s="228">
        <v>3.25</v>
      </c>
      <c r="EF113" s="229">
        <v>4.4999999999999997E-3</v>
      </c>
      <c r="EG113" s="230">
        <v>309087</v>
      </c>
      <c r="EH113" s="230">
        <v>391269</v>
      </c>
      <c r="EI113" s="229">
        <v>-0.21</v>
      </c>
      <c r="EJ113" s="229">
        <v>0.38829999999999998</v>
      </c>
      <c r="EK113" s="228">
        <v>479.81</v>
      </c>
      <c r="EL113" s="228">
        <v>319.60000000000002</v>
      </c>
      <c r="EM113" s="228">
        <v>699.08</v>
      </c>
      <c r="EN113" s="228">
        <v>0</v>
      </c>
      <c r="EO113" s="231">
        <v>1498.49</v>
      </c>
      <c r="EP113" s="231">
        <v>1311.41</v>
      </c>
      <c r="EQ113" s="228">
        <v>187.08</v>
      </c>
      <c r="ER113" s="229">
        <v>0.14269999999999999</v>
      </c>
      <c r="ES113" s="228">
        <v>317.32</v>
      </c>
      <c r="ET113" s="228">
        <v>253.74</v>
      </c>
      <c r="EU113" s="231">
        <v>1032.23</v>
      </c>
      <c r="EV113" s="231">
        <v>60165566</v>
      </c>
      <c r="EW113" s="231">
        <v>1603.28</v>
      </c>
      <c r="EX113" s="231">
        <v>2274.2800000000002</v>
      </c>
      <c r="EY113" s="228">
        <v>-671</v>
      </c>
      <c r="EZ113" s="229">
        <v>-0.29499999999999998</v>
      </c>
      <c r="FA113" s="229">
        <v>0.35849999999999999</v>
      </c>
      <c r="FB113" s="227" t="s">
        <v>568</v>
      </c>
      <c r="FC113">
        <f t="shared" si="1"/>
        <v>946</v>
      </c>
    </row>
    <row r="114" spans="1:159" ht="17.25" thickBot="1" x14ac:dyDescent="0.3">
      <c r="A114" s="226">
        <v>45869</v>
      </c>
      <c r="B114" s="227" t="s">
        <v>175</v>
      </c>
      <c r="C114" s="227" t="s">
        <v>666</v>
      </c>
      <c r="D114" s="228">
        <v>3450</v>
      </c>
      <c r="E114" s="228">
        <v>0</v>
      </c>
      <c r="F114" s="228">
        <v>147.66999999999999</v>
      </c>
      <c r="G114" s="228">
        <v>148.47999999999999</v>
      </c>
      <c r="H114" s="228">
        <v>-0.81</v>
      </c>
      <c r="I114" s="229">
        <v>-5.4999999999999997E-3</v>
      </c>
      <c r="J114" s="228">
        <v>147.38</v>
      </c>
      <c r="K114" s="228">
        <v>150.22</v>
      </c>
      <c r="L114" s="228">
        <v>-2.84</v>
      </c>
      <c r="M114" s="229">
        <v>-1.89E-2</v>
      </c>
      <c r="N114" s="228">
        <v>147.16</v>
      </c>
      <c r="O114" s="228">
        <v>150.57</v>
      </c>
      <c r="P114" s="228">
        <v>-3.41</v>
      </c>
      <c r="Q114" s="229">
        <v>-2.2599999999999999E-2</v>
      </c>
      <c r="R114" s="228">
        <v>147.66999999999999</v>
      </c>
      <c r="S114" s="228">
        <v>148.47999999999999</v>
      </c>
      <c r="T114" s="228">
        <v>-0.81</v>
      </c>
      <c r="U114" s="229">
        <v>-5.4999999999999997E-3</v>
      </c>
      <c r="V114" s="228">
        <v>147.25</v>
      </c>
      <c r="W114" s="228">
        <v>148.01</v>
      </c>
      <c r="X114" s="228">
        <v>-0.76</v>
      </c>
      <c r="Y114" s="229">
        <v>-5.1000000000000004E-3</v>
      </c>
      <c r="Z114" s="228">
        <v>0.28999999999999998</v>
      </c>
      <c r="AA114" s="228">
        <v>0.35</v>
      </c>
      <c r="AB114" s="228">
        <v>-0.06</v>
      </c>
      <c r="AC114" s="229">
        <v>2E-3</v>
      </c>
      <c r="AD114" s="228">
        <v>-0.22</v>
      </c>
      <c r="AE114" s="228">
        <v>0.35</v>
      </c>
      <c r="AF114" s="228">
        <v>-0.56999999999999995</v>
      </c>
      <c r="AG114" s="229">
        <v>-1.5E-3</v>
      </c>
      <c r="AH114" s="228">
        <v>0.28999999999999998</v>
      </c>
      <c r="AI114" s="228">
        <v>-1.74</v>
      </c>
      <c r="AJ114" s="228">
        <v>2.0299999999999998</v>
      </c>
      <c r="AK114" s="229">
        <v>2E-3</v>
      </c>
      <c r="AL114" s="228">
        <v>-0.13</v>
      </c>
      <c r="AM114" s="228">
        <v>-2.21</v>
      </c>
      <c r="AN114" s="228">
        <v>2.08</v>
      </c>
      <c r="AO114" s="229">
        <v>-8.9999999999999998E-4</v>
      </c>
      <c r="AP114" s="228">
        <v>148.84</v>
      </c>
      <c r="AQ114" s="228">
        <v>147.72999999999999</v>
      </c>
      <c r="AR114" s="228">
        <v>0</v>
      </c>
      <c r="AS114" s="228">
        <v>444</v>
      </c>
      <c r="AT114" s="228">
        <v>475</v>
      </c>
      <c r="AU114" s="228">
        <v>-31</v>
      </c>
      <c r="AV114" s="229">
        <v>-6.5199999999999994E-2</v>
      </c>
      <c r="AW114" s="228">
        <v>210</v>
      </c>
      <c r="AX114" s="228">
        <v>208</v>
      </c>
      <c r="AY114" s="228">
        <v>2</v>
      </c>
      <c r="AZ114" s="229">
        <v>8.8000000000000005E-3</v>
      </c>
      <c r="BA114" s="228">
        <v>219</v>
      </c>
      <c r="BB114" s="228">
        <v>246</v>
      </c>
      <c r="BC114" s="228">
        <v>-27</v>
      </c>
      <c r="BD114" s="229">
        <v>-0.111</v>
      </c>
      <c r="BE114" s="228">
        <v>15</v>
      </c>
      <c r="BF114" s="228">
        <v>20</v>
      </c>
      <c r="BG114" s="228">
        <v>-5</v>
      </c>
      <c r="BH114" s="229">
        <v>-0.26429999999999998</v>
      </c>
      <c r="BI114" s="228">
        <v>372</v>
      </c>
      <c r="BJ114" s="228">
        <v>268</v>
      </c>
      <c r="BK114" s="228">
        <v>103</v>
      </c>
      <c r="BL114" s="229">
        <v>0.3856</v>
      </c>
      <c r="BM114" s="228">
        <v>138</v>
      </c>
      <c r="BN114" s="228">
        <v>101</v>
      </c>
      <c r="BO114" s="228">
        <v>36</v>
      </c>
      <c r="BP114" s="229">
        <v>0.35899999999999999</v>
      </c>
      <c r="BQ114" s="228">
        <v>953</v>
      </c>
      <c r="BR114" s="228">
        <v>844</v>
      </c>
      <c r="BS114" s="228">
        <v>109</v>
      </c>
      <c r="BT114" s="229">
        <v>0.129</v>
      </c>
      <c r="BU114" s="230">
        <v>7619533</v>
      </c>
      <c r="BV114" s="230">
        <v>5836700</v>
      </c>
      <c r="BW114" s="230">
        <v>1782833</v>
      </c>
      <c r="BX114" s="229">
        <v>0.30549999999999999</v>
      </c>
      <c r="BY114" s="228">
        <v>548</v>
      </c>
      <c r="BZ114" s="228">
        <v>661</v>
      </c>
      <c r="CA114" s="228">
        <v>-113</v>
      </c>
      <c r="CB114" s="229">
        <v>-0.17100000000000001</v>
      </c>
      <c r="CC114" s="228">
        <v>49</v>
      </c>
      <c r="CD114" s="228">
        <v>140</v>
      </c>
      <c r="CE114" s="228">
        <v>-92</v>
      </c>
      <c r="CF114" s="229">
        <v>-0.65249999999999997</v>
      </c>
      <c r="CG114" s="228">
        <v>503</v>
      </c>
      <c r="CH114" s="228">
        <v>480</v>
      </c>
      <c r="CI114" s="228">
        <v>23</v>
      </c>
      <c r="CJ114" s="229">
        <v>4.6899999999999997E-2</v>
      </c>
      <c r="CK114" s="228">
        <v>45</v>
      </c>
      <c r="CL114" s="228">
        <v>40</v>
      </c>
      <c r="CM114" s="228">
        <v>5</v>
      </c>
      <c r="CN114" s="229">
        <v>0.12130000000000001</v>
      </c>
      <c r="CO114" s="228">
        <v>197</v>
      </c>
      <c r="CP114" s="228">
        <v>482</v>
      </c>
      <c r="CQ114" s="228">
        <v>-284</v>
      </c>
      <c r="CR114" s="229">
        <v>-0.59</v>
      </c>
      <c r="CS114" s="228">
        <v>140</v>
      </c>
      <c r="CT114" s="228">
        <v>227</v>
      </c>
      <c r="CU114" s="228">
        <v>-87</v>
      </c>
      <c r="CV114" s="229">
        <v>-0.38169999999999998</v>
      </c>
      <c r="CW114" s="228">
        <v>886</v>
      </c>
      <c r="CX114" s="230">
        <v>1369</v>
      </c>
      <c r="CY114" s="228">
        <v>-484</v>
      </c>
      <c r="CZ114" s="229">
        <v>-0.3533</v>
      </c>
      <c r="DA114" s="228">
        <v>37.840000000000003</v>
      </c>
      <c r="DB114" s="228">
        <v>37.229999999999997</v>
      </c>
      <c r="DC114" s="228">
        <v>0.61</v>
      </c>
      <c r="DD114" s="228">
        <v>0.61</v>
      </c>
      <c r="DE114" s="228">
        <v>57.07</v>
      </c>
      <c r="DF114" s="228">
        <v>57.2</v>
      </c>
      <c r="DG114" s="228">
        <v>-19.23</v>
      </c>
      <c r="DH114" s="228">
        <v>-0.13</v>
      </c>
      <c r="DI114" s="228">
        <v>38.049999999999997</v>
      </c>
      <c r="DJ114" s="228">
        <v>37.69</v>
      </c>
      <c r="DK114" s="228">
        <v>0.36</v>
      </c>
      <c r="DL114" s="228">
        <v>0.36</v>
      </c>
      <c r="DM114" s="228">
        <v>37.17</v>
      </c>
      <c r="DN114" s="228">
        <v>35.99</v>
      </c>
      <c r="DO114" s="228">
        <v>1.18</v>
      </c>
      <c r="DP114" s="228">
        <v>1.18</v>
      </c>
      <c r="DQ114" s="228">
        <v>0.71</v>
      </c>
      <c r="DR114" s="228">
        <v>0.47</v>
      </c>
      <c r="DS114" s="228">
        <v>0.24</v>
      </c>
      <c r="DT114" s="229">
        <v>0.51060000000000005</v>
      </c>
      <c r="DU114" s="228">
        <v>170</v>
      </c>
      <c r="DV114" s="228">
        <v>140</v>
      </c>
      <c r="DW114" s="228">
        <v>0.37</v>
      </c>
      <c r="DX114" s="228">
        <v>0.38</v>
      </c>
      <c r="DY114" s="228">
        <v>-0.01</v>
      </c>
      <c r="DZ114" s="229">
        <v>-2.63E-2</v>
      </c>
      <c r="EA114" s="229">
        <v>0.91830000000000001</v>
      </c>
      <c r="EB114" s="230">
        <v>35234850</v>
      </c>
      <c r="EC114" s="229">
        <v>3.5000000000000001E-3</v>
      </c>
      <c r="ED114" s="229">
        <v>0.91830000000000001</v>
      </c>
      <c r="EE114" s="228">
        <v>-1.1100000000000001</v>
      </c>
      <c r="EF114" s="229">
        <v>-7.4999999999999997E-3</v>
      </c>
      <c r="EG114" s="230">
        <v>2177840</v>
      </c>
      <c r="EH114" s="230">
        <v>1795735</v>
      </c>
      <c r="EI114" s="229">
        <v>0.21279999999999999</v>
      </c>
      <c r="EJ114" s="229">
        <v>0.2858</v>
      </c>
      <c r="EK114" s="228">
        <v>406.64</v>
      </c>
      <c r="EL114" s="228">
        <v>145.37</v>
      </c>
      <c r="EM114" s="228">
        <v>445.35</v>
      </c>
      <c r="EN114" s="228">
        <v>0</v>
      </c>
      <c r="EO114" s="228">
        <v>997.35</v>
      </c>
      <c r="EP114" s="228">
        <v>887</v>
      </c>
      <c r="EQ114" s="228">
        <v>110.36</v>
      </c>
      <c r="ER114" s="229">
        <v>0.1244</v>
      </c>
      <c r="ES114" s="228">
        <v>218.57</v>
      </c>
      <c r="ET114" s="228">
        <v>142.02000000000001</v>
      </c>
      <c r="EU114" s="228">
        <v>547.54</v>
      </c>
      <c r="EV114" s="231">
        <v>158681547</v>
      </c>
      <c r="EW114" s="228">
        <v>908.13</v>
      </c>
      <c r="EX114" s="231">
        <v>1461.27</v>
      </c>
      <c r="EY114" s="228">
        <v>-553.14</v>
      </c>
      <c r="EZ114" s="229">
        <v>-0.3785</v>
      </c>
      <c r="FA114" s="229">
        <v>0.37790000000000001</v>
      </c>
      <c r="FB114" s="227" t="s">
        <v>568</v>
      </c>
      <c r="FC114">
        <f t="shared" si="1"/>
        <v>499</v>
      </c>
    </row>
    <row r="115" spans="1:159" ht="17.25" thickBot="1" x14ac:dyDescent="0.3">
      <c r="A115" s="226">
        <v>45869</v>
      </c>
      <c r="B115" s="227" t="s">
        <v>215</v>
      </c>
      <c r="C115" s="227" t="s">
        <v>593</v>
      </c>
      <c r="D115" s="228">
        <v>4250</v>
      </c>
      <c r="E115" s="228">
        <v>0</v>
      </c>
      <c r="F115" s="228">
        <v>128.44</v>
      </c>
      <c r="G115" s="228">
        <v>130.86000000000001</v>
      </c>
      <c r="H115" s="228">
        <v>-2.42</v>
      </c>
      <c r="I115" s="229">
        <v>-1.8499999999999999E-2</v>
      </c>
      <c r="J115" s="228">
        <v>128.34</v>
      </c>
      <c r="K115" s="228">
        <v>131.4</v>
      </c>
      <c r="L115" s="228">
        <v>-3.06</v>
      </c>
      <c r="M115" s="229">
        <v>-2.3300000000000001E-2</v>
      </c>
      <c r="N115" s="228">
        <v>128</v>
      </c>
      <c r="O115" s="228">
        <v>131.79</v>
      </c>
      <c r="P115" s="228">
        <v>-3.79</v>
      </c>
      <c r="Q115" s="229">
        <v>-2.8799999999999999E-2</v>
      </c>
      <c r="R115" s="228">
        <v>128.44</v>
      </c>
      <c r="S115" s="228">
        <v>130.86000000000001</v>
      </c>
      <c r="T115" s="228">
        <v>-2.42</v>
      </c>
      <c r="U115" s="229">
        <v>-1.8499999999999999E-2</v>
      </c>
      <c r="V115" s="228">
        <v>128.46</v>
      </c>
      <c r="W115" s="228">
        <v>130.58000000000001</v>
      </c>
      <c r="X115" s="228">
        <v>-2.12</v>
      </c>
      <c r="Y115" s="229">
        <v>-1.6199999999999999E-2</v>
      </c>
      <c r="Z115" s="228">
        <v>0.1</v>
      </c>
      <c r="AA115" s="228">
        <v>0.39</v>
      </c>
      <c r="AB115" s="228">
        <v>-0.28999999999999998</v>
      </c>
      <c r="AC115" s="229">
        <v>8.0000000000000004E-4</v>
      </c>
      <c r="AD115" s="228">
        <v>-0.34</v>
      </c>
      <c r="AE115" s="228">
        <v>0.39</v>
      </c>
      <c r="AF115" s="228">
        <v>-0.73</v>
      </c>
      <c r="AG115" s="229">
        <v>-2.5999999999999999E-3</v>
      </c>
      <c r="AH115" s="228">
        <v>0.1</v>
      </c>
      <c r="AI115" s="228">
        <v>-0.54</v>
      </c>
      <c r="AJ115" s="228">
        <v>0.64</v>
      </c>
      <c r="AK115" s="229">
        <v>8.0000000000000004E-4</v>
      </c>
      <c r="AL115" s="228">
        <v>0.12</v>
      </c>
      <c r="AM115" s="228">
        <v>-0.82</v>
      </c>
      <c r="AN115" s="228">
        <v>0.94</v>
      </c>
      <c r="AO115" s="229">
        <v>8.9999999999999998E-4</v>
      </c>
      <c r="AP115" s="228">
        <v>128.97999999999999</v>
      </c>
      <c r="AQ115" s="228">
        <v>128.91999999999999</v>
      </c>
      <c r="AR115" s="228">
        <v>0</v>
      </c>
      <c r="AS115" s="228">
        <v>461</v>
      </c>
      <c r="AT115" s="228">
        <v>498</v>
      </c>
      <c r="AU115" s="228">
        <v>-36</v>
      </c>
      <c r="AV115" s="229">
        <v>-7.3099999999999998E-2</v>
      </c>
      <c r="AW115" s="228">
        <v>234</v>
      </c>
      <c r="AX115" s="228">
        <v>250</v>
      </c>
      <c r="AY115" s="228">
        <v>-16</v>
      </c>
      <c r="AZ115" s="229">
        <v>-6.3799999999999996E-2</v>
      </c>
      <c r="BA115" s="228">
        <v>211</v>
      </c>
      <c r="BB115" s="228">
        <v>235</v>
      </c>
      <c r="BC115" s="228">
        <v>-24</v>
      </c>
      <c r="BD115" s="229">
        <v>-0.1002</v>
      </c>
      <c r="BE115" s="228">
        <v>16</v>
      </c>
      <c r="BF115" s="228">
        <v>13</v>
      </c>
      <c r="BG115" s="228">
        <v>3</v>
      </c>
      <c r="BH115" s="229">
        <v>0.2324</v>
      </c>
      <c r="BI115" s="228">
        <v>415</v>
      </c>
      <c r="BJ115" s="228">
        <v>695</v>
      </c>
      <c r="BK115" s="228">
        <v>-280</v>
      </c>
      <c r="BL115" s="229">
        <v>-0.40260000000000001</v>
      </c>
      <c r="BM115" s="228">
        <v>174</v>
      </c>
      <c r="BN115" s="228">
        <v>220</v>
      </c>
      <c r="BO115" s="228">
        <v>-46</v>
      </c>
      <c r="BP115" s="229">
        <v>-0.20949999999999999</v>
      </c>
      <c r="BQ115" s="230">
        <v>1050</v>
      </c>
      <c r="BR115" s="230">
        <v>1412</v>
      </c>
      <c r="BS115" s="228">
        <v>-362</v>
      </c>
      <c r="BT115" s="229">
        <v>-0.25640000000000002</v>
      </c>
      <c r="BU115" s="230">
        <v>13061305</v>
      </c>
      <c r="BV115" s="230">
        <v>8655448</v>
      </c>
      <c r="BW115" s="230">
        <v>4405857</v>
      </c>
      <c r="BX115" s="229">
        <v>0.50900000000000001</v>
      </c>
      <c r="BY115" s="228">
        <v>536</v>
      </c>
      <c r="BZ115" s="228">
        <v>661</v>
      </c>
      <c r="CA115" s="228">
        <v>-126</v>
      </c>
      <c r="CB115" s="229">
        <v>-0.19020000000000001</v>
      </c>
      <c r="CC115" s="228">
        <v>67</v>
      </c>
      <c r="CD115" s="228">
        <v>145</v>
      </c>
      <c r="CE115" s="228">
        <v>-78</v>
      </c>
      <c r="CF115" s="229">
        <v>-0.54010000000000002</v>
      </c>
      <c r="CG115" s="228">
        <v>497</v>
      </c>
      <c r="CH115" s="228">
        <v>486</v>
      </c>
      <c r="CI115" s="228">
        <v>11</v>
      </c>
      <c r="CJ115" s="229">
        <v>2.3E-2</v>
      </c>
      <c r="CK115" s="228">
        <v>39</v>
      </c>
      <c r="CL115" s="228">
        <v>31</v>
      </c>
      <c r="CM115" s="228">
        <v>8</v>
      </c>
      <c r="CN115" s="229">
        <v>0.25269999999999998</v>
      </c>
      <c r="CO115" s="228">
        <v>267</v>
      </c>
      <c r="CP115" s="228">
        <v>630</v>
      </c>
      <c r="CQ115" s="228">
        <v>-363</v>
      </c>
      <c r="CR115" s="229">
        <v>-0.57569999999999999</v>
      </c>
      <c r="CS115" s="228">
        <v>122</v>
      </c>
      <c r="CT115" s="228">
        <v>271</v>
      </c>
      <c r="CU115" s="228">
        <v>-149</v>
      </c>
      <c r="CV115" s="229">
        <v>-0.54879999999999995</v>
      </c>
      <c r="CW115" s="228">
        <v>925</v>
      </c>
      <c r="CX115" s="230">
        <v>1563</v>
      </c>
      <c r="CY115" s="228">
        <v>-637</v>
      </c>
      <c r="CZ115" s="229">
        <v>-0.40789999999999998</v>
      </c>
      <c r="DA115" s="228">
        <v>35.42</v>
      </c>
      <c r="DB115" s="228">
        <v>35.24</v>
      </c>
      <c r="DC115" s="228">
        <v>0.18</v>
      </c>
      <c r="DD115" s="228">
        <v>0.18</v>
      </c>
      <c r="DE115" s="228">
        <v>52.51</v>
      </c>
      <c r="DF115" s="228">
        <v>52.58</v>
      </c>
      <c r="DG115" s="228">
        <v>-17.09</v>
      </c>
      <c r="DH115" s="228">
        <v>-7.0000000000000007E-2</v>
      </c>
      <c r="DI115" s="228">
        <v>36.03</v>
      </c>
      <c r="DJ115" s="228">
        <v>35.659999999999997</v>
      </c>
      <c r="DK115" s="228">
        <v>0.37</v>
      </c>
      <c r="DL115" s="228">
        <v>0.37</v>
      </c>
      <c r="DM115" s="228">
        <v>33.72</v>
      </c>
      <c r="DN115" s="228">
        <v>33.89</v>
      </c>
      <c r="DO115" s="228">
        <v>-0.17</v>
      </c>
      <c r="DP115" s="228">
        <v>-0.17</v>
      </c>
      <c r="DQ115" s="228">
        <v>0.46</v>
      </c>
      <c r="DR115" s="228">
        <v>0.43</v>
      </c>
      <c r="DS115" s="228">
        <v>0.03</v>
      </c>
      <c r="DT115" s="229">
        <v>6.9800000000000001E-2</v>
      </c>
      <c r="DU115" s="228">
        <v>150</v>
      </c>
      <c r="DV115" s="228">
        <v>140</v>
      </c>
      <c r="DW115" s="228">
        <v>0.42</v>
      </c>
      <c r="DX115" s="228">
        <v>0.32</v>
      </c>
      <c r="DY115" s="228">
        <v>0.1</v>
      </c>
      <c r="DZ115" s="229">
        <v>0.3125</v>
      </c>
      <c r="EA115" s="229">
        <v>0.88939999999999997</v>
      </c>
      <c r="EB115" s="230">
        <v>40222000</v>
      </c>
      <c r="EC115" s="229">
        <v>3.3999999999999998E-3</v>
      </c>
      <c r="ED115" s="229">
        <v>0.88939999999999997</v>
      </c>
      <c r="EE115" s="228">
        <v>-0.06</v>
      </c>
      <c r="EF115" s="229">
        <v>-5.0000000000000001E-4</v>
      </c>
      <c r="EG115" s="230">
        <v>4781237</v>
      </c>
      <c r="EH115" s="230">
        <v>2256456</v>
      </c>
      <c r="EI115" s="229">
        <v>1.1189</v>
      </c>
      <c r="EJ115" s="229">
        <v>0.36609999999999998</v>
      </c>
      <c r="EK115" s="228">
        <v>451.57</v>
      </c>
      <c r="EL115" s="228">
        <v>182.35</v>
      </c>
      <c r="EM115" s="228">
        <v>463.3</v>
      </c>
      <c r="EN115" s="228">
        <v>0</v>
      </c>
      <c r="EO115" s="231">
        <v>1097.22</v>
      </c>
      <c r="EP115" s="231">
        <v>1504.06</v>
      </c>
      <c r="EQ115" s="228">
        <v>-406.84</v>
      </c>
      <c r="ER115" s="229">
        <v>-0.27050000000000002</v>
      </c>
      <c r="ES115" s="228">
        <v>296.64</v>
      </c>
      <c r="ET115" s="228">
        <v>124.57</v>
      </c>
      <c r="EU115" s="228">
        <v>535.61</v>
      </c>
      <c r="EV115" s="231">
        <v>356413800</v>
      </c>
      <c r="EW115" s="228">
        <v>956.82</v>
      </c>
      <c r="EX115" s="231">
        <v>1658.71</v>
      </c>
      <c r="EY115" s="228">
        <v>-701.89</v>
      </c>
      <c r="EZ115" s="229">
        <v>-0.42320000000000002</v>
      </c>
      <c r="FA115" s="229">
        <v>0.2021</v>
      </c>
      <c r="FB115" s="227" t="s">
        <v>568</v>
      </c>
      <c r="FC115">
        <f t="shared" si="1"/>
        <v>469</v>
      </c>
    </row>
    <row r="116" spans="1:159" ht="17.25" thickBot="1" x14ac:dyDescent="0.3">
      <c r="A116" s="226">
        <v>45869</v>
      </c>
      <c r="B116" s="227" t="s">
        <v>168</v>
      </c>
      <c r="C116" s="227" t="s">
        <v>242</v>
      </c>
      <c r="D116" s="228">
        <v>1600</v>
      </c>
      <c r="E116" s="228">
        <v>0</v>
      </c>
      <c r="F116" s="228">
        <v>413.15</v>
      </c>
      <c r="G116" s="228">
        <v>410.1</v>
      </c>
      <c r="H116" s="228">
        <v>3.05</v>
      </c>
      <c r="I116" s="229">
        <v>7.4000000000000003E-3</v>
      </c>
      <c r="J116" s="228">
        <v>411.95</v>
      </c>
      <c r="K116" s="228">
        <v>407.6</v>
      </c>
      <c r="L116" s="228">
        <v>4.3499999999999996</v>
      </c>
      <c r="M116" s="229">
        <v>1.0699999999999999E-2</v>
      </c>
      <c r="N116" s="228">
        <v>410.9</v>
      </c>
      <c r="O116" s="228">
        <v>407.95</v>
      </c>
      <c r="P116" s="228">
        <v>2.95</v>
      </c>
      <c r="Q116" s="229">
        <v>7.1999999999999998E-3</v>
      </c>
      <c r="R116" s="228">
        <v>413.15</v>
      </c>
      <c r="S116" s="228">
        <v>410.1</v>
      </c>
      <c r="T116" s="228">
        <v>3.05</v>
      </c>
      <c r="U116" s="229">
        <v>7.4000000000000003E-3</v>
      </c>
      <c r="V116" s="228">
        <v>415.95</v>
      </c>
      <c r="W116" s="228">
        <v>412.75</v>
      </c>
      <c r="X116" s="228">
        <v>3.2</v>
      </c>
      <c r="Y116" s="229">
        <v>7.7999999999999996E-3</v>
      </c>
      <c r="Z116" s="228">
        <v>1.2</v>
      </c>
      <c r="AA116" s="228">
        <v>0.35</v>
      </c>
      <c r="AB116" s="228">
        <v>0.85</v>
      </c>
      <c r="AC116" s="229">
        <v>2.8999999999999998E-3</v>
      </c>
      <c r="AD116" s="228">
        <v>-1.05</v>
      </c>
      <c r="AE116" s="228">
        <v>0.35</v>
      </c>
      <c r="AF116" s="228">
        <v>-1.4</v>
      </c>
      <c r="AG116" s="229">
        <v>-2.5000000000000001E-3</v>
      </c>
      <c r="AH116" s="228">
        <v>1.2</v>
      </c>
      <c r="AI116" s="228">
        <v>2.5</v>
      </c>
      <c r="AJ116" s="228">
        <v>-1.3</v>
      </c>
      <c r="AK116" s="229">
        <v>2.8999999999999998E-3</v>
      </c>
      <c r="AL116" s="228">
        <v>4</v>
      </c>
      <c r="AM116" s="228">
        <v>5.15</v>
      </c>
      <c r="AN116" s="228">
        <v>-1.1499999999999999</v>
      </c>
      <c r="AO116" s="229">
        <v>9.7000000000000003E-3</v>
      </c>
      <c r="AP116" s="228">
        <v>410.73</v>
      </c>
      <c r="AQ116" s="228">
        <v>412.63</v>
      </c>
      <c r="AR116" s="228">
        <v>0</v>
      </c>
      <c r="AS116" s="230">
        <v>2885</v>
      </c>
      <c r="AT116" s="230">
        <v>1974</v>
      </c>
      <c r="AU116" s="228">
        <v>912</v>
      </c>
      <c r="AV116" s="229">
        <v>0.46189999999999998</v>
      </c>
      <c r="AW116" s="230">
        <v>1198</v>
      </c>
      <c r="AX116" s="228">
        <v>932</v>
      </c>
      <c r="AY116" s="228">
        <v>266</v>
      </c>
      <c r="AZ116" s="229">
        <v>0.28589999999999999</v>
      </c>
      <c r="BA116" s="230">
        <v>1650</v>
      </c>
      <c r="BB116" s="230">
        <v>1025</v>
      </c>
      <c r="BC116" s="228">
        <v>625</v>
      </c>
      <c r="BD116" s="229">
        <v>0.60929999999999995</v>
      </c>
      <c r="BE116" s="228">
        <v>38</v>
      </c>
      <c r="BF116" s="228">
        <v>17</v>
      </c>
      <c r="BG116" s="228">
        <v>21</v>
      </c>
      <c r="BH116" s="229">
        <v>1.214</v>
      </c>
      <c r="BI116" s="230">
        <v>3324</v>
      </c>
      <c r="BJ116" s="230">
        <v>1388</v>
      </c>
      <c r="BK116" s="230">
        <v>1936</v>
      </c>
      <c r="BL116" s="229">
        <v>1.3955</v>
      </c>
      <c r="BM116" s="230">
        <v>1619</v>
      </c>
      <c r="BN116" s="228">
        <v>930</v>
      </c>
      <c r="BO116" s="228">
        <v>689</v>
      </c>
      <c r="BP116" s="229">
        <v>0.74080000000000001</v>
      </c>
      <c r="BQ116" s="230">
        <v>7828</v>
      </c>
      <c r="BR116" s="230">
        <v>4291</v>
      </c>
      <c r="BS116" s="230">
        <v>3537</v>
      </c>
      <c r="BT116" s="229">
        <v>0.82420000000000004</v>
      </c>
      <c r="BU116" s="230">
        <v>19984704</v>
      </c>
      <c r="BV116" s="230">
        <v>11283228</v>
      </c>
      <c r="BW116" s="230">
        <v>8701476</v>
      </c>
      <c r="BX116" s="229">
        <v>0.7712</v>
      </c>
      <c r="BY116" s="230">
        <v>4261</v>
      </c>
      <c r="BZ116" s="230">
        <v>4436</v>
      </c>
      <c r="CA116" s="228">
        <v>-175</v>
      </c>
      <c r="CB116" s="229">
        <v>-3.95E-2</v>
      </c>
      <c r="CC116" s="228">
        <v>190</v>
      </c>
      <c r="CD116" s="228">
        <v>945</v>
      </c>
      <c r="CE116" s="228">
        <v>-755</v>
      </c>
      <c r="CF116" s="229">
        <v>-0.79890000000000005</v>
      </c>
      <c r="CG116" s="230">
        <v>4036</v>
      </c>
      <c r="CH116" s="230">
        <v>3278</v>
      </c>
      <c r="CI116" s="228">
        <v>758</v>
      </c>
      <c r="CJ116" s="229">
        <v>0.2311</v>
      </c>
      <c r="CK116" s="228">
        <v>224</v>
      </c>
      <c r="CL116" s="228">
        <v>212</v>
      </c>
      <c r="CM116" s="228">
        <v>12</v>
      </c>
      <c r="CN116" s="229">
        <v>5.8999999999999997E-2</v>
      </c>
      <c r="CO116" s="230">
        <v>1017</v>
      </c>
      <c r="CP116" s="230">
        <v>2261</v>
      </c>
      <c r="CQ116" s="230">
        <v>-1244</v>
      </c>
      <c r="CR116" s="229">
        <v>-0.55030000000000001</v>
      </c>
      <c r="CS116" s="228">
        <v>928</v>
      </c>
      <c r="CT116" s="230">
        <v>1319</v>
      </c>
      <c r="CU116" s="228">
        <v>-391</v>
      </c>
      <c r="CV116" s="229">
        <v>-0.29630000000000001</v>
      </c>
      <c r="CW116" s="230">
        <v>6206</v>
      </c>
      <c r="CX116" s="230">
        <v>8016</v>
      </c>
      <c r="CY116" s="230">
        <v>-1810</v>
      </c>
      <c r="CZ116" s="229">
        <v>-0.2258</v>
      </c>
      <c r="DA116" s="228">
        <v>18.71</v>
      </c>
      <c r="DB116" s="228">
        <v>18.34</v>
      </c>
      <c r="DC116" s="228">
        <v>0.37</v>
      </c>
      <c r="DD116" s="228">
        <v>0.37</v>
      </c>
      <c r="DE116" s="228">
        <v>20.58</v>
      </c>
      <c r="DF116" s="228">
        <v>20.58</v>
      </c>
      <c r="DG116" s="228">
        <v>-1.87</v>
      </c>
      <c r="DH116" s="228">
        <v>0</v>
      </c>
      <c r="DI116" s="228">
        <v>19.02</v>
      </c>
      <c r="DJ116" s="228">
        <v>18.62</v>
      </c>
      <c r="DK116" s="228">
        <v>0.4</v>
      </c>
      <c r="DL116" s="228">
        <v>0.4</v>
      </c>
      <c r="DM116" s="228">
        <v>18.05</v>
      </c>
      <c r="DN116" s="228">
        <v>17.989999999999998</v>
      </c>
      <c r="DO116" s="228">
        <v>0.06</v>
      </c>
      <c r="DP116" s="228">
        <v>0.06</v>
      </c>
      <c r="DQ116" s="228">
        <v>0.91</v>
      </c>
      <c r="DR116" s="228">
        <v>0.57999999999999996</v>
      </c>
      <c r="DS116" s="228">
        <v>0.33</v>
      </c>
      <c r="DT116" s="229">
        <v>0.56899999999999995</v>
      </c>
      <c r="DU116" s="228">
        <v>420</v>
      </c>
      <c r="DV116" s="228">
        <v>410</v>
      </c>
      <c r="DW116" s="228">
        <v>0.49</v>
      </c>
      <c r="DX116" s="228">
        <v>0.67</v>
      </c>
      <c r="DY116" s="228">
        <v>-0.18</v>
      </c>
      <c r="DZ116" s="229">
        <v>-0.26869999999999999</v>
      </c>
      <c r="EA116" s="229">
        <v>0.95730000000000004</v>
      </c>
      <c r="EB116" s="230">
        <v>84480000</v>
      </c>
      <c r="EC116" s="229">
        <v>5.4999999999999997E-3</v>
      </c>
      <c r="ED116" s="229">
        <v>0.95730000000000004</v>
      </c>
      <c r="EE116" s="228">
        <v>1.9</v>
      </c>
      <c r="EF116" s="229">
        <v>4.5999999999999999E-3</v>
      </c>
      <c r="EG116" s="230">
        <v>13474223</v>
      </c>
      <c r="EH116" s="230">
        <v>7896286</v>
      </c>
      <c r="EI116" s="229">
        <v>0.70640000000000003</v>
      </c>
      <c r="EJ116" s="229">
        <v>0.67420000000000002</v>
      </c>
      <c r="EK116" s="231">
        <v>3440.54</v>
      </c>
      <c r="EL116" s="231">
        <v>1623.7</v>
      </c>
      <c r="EM116" s="231">
        <v>2876.43</v>
      </c>
      <c r="EN116" s="228">
        <v>0</v>
      </c>
      <c r="EO116" s="231">
        <v>7940.67</v>
      </c>
      <c r="EP116" s="231">
        <v>4294.93</v>
      </c>
      <c r="EQ116" s="231">
        <v>3645.74</v>
      </c>
      <c r="ER116" s="229">
        <v>0.8488</v>
      </c>
      <c r="ES116" s="231">
        <v>1047.3</v>
      </c>
      <c r="ET116" s="228">
        <v>919.44</v>
      </c>
      <c r="EU116" s="231">
        <v>4262.0600000000004</v>
      </c>
      <c r="EV116" s="231">
        <v>2502122210</v>
      </c>
      <c r="EW116" s="231">
        <v>6228.79</v>
      </c>
      <c r="EX116" s="231">
        <v>8051.41</v>
      </c>
      <c r="EY116" s="231">
        <v>-1822.62</v>
      </c>
      <c r="EZ116" s="229">
        <v>-0.22639999999999999</v>
      </c>
      <c r="FA116" s="229">
        <v>0.06</v>
      </c>
      <c r="FB116" s="227" t="s">
        <v>556</v>
      </c>
      <c r="FC116">
        <f t="shared" si="1"/>
        <v>4071</v>
      </c>
    </row>
    <row r="117" spans="1:159" ht="17.25" thickBot="1" x14ac:dyDescent="0.3">
      <c r="A117" s="226">
        <v>45869</v>
      </c>
      <c r="B117" s="227" t="s">
        <v>227</v>
      </c>
      <c r="C117" s="227" t="s">
        <v>243</v>
      </c>
      <c r="D117" s="228">
        <v>625</v>
      </c>
      <c r="E117" s="228">
        <v>0</v>
      </c>
      <c r="F117" s="228">
        <v>965.75</v>
      </c>
      <c r="G117" s="228">
        <v>987.35</v>
      </c>
      <c r="H117" s="228">
        <v>-21.6</v>
      </c>
      <c r="I117" s="229">
        <v>-2.1899999999999999E-2</v>
      </c>
      <c r="J117" s="228">
        <v>965</v>
      </c>
      <c r="K117" s="228">
        <v>982.85</v>
      </c>
      <c r="L117" s="228">
        <v>-17.850000000000001</v>
      </c>
      <c r="M117" s="229">
        <v>-1.8200000000000001E-2</v>
      </c>
      <c r="N117" s="228">
        <v>964.85</v>
      </c>
      <c r="O117" s="228">
        <v>984.05</v>
      </c>
      <c r="P117" s="228">
        <v>-19.2</v>
      </c>
      <c r="Q117" s="229">
        <v>-1.95E-2</v>
      </c>
      <c r="R117" s="228">
        <v>965.75</v>
      </c>
      <c r="S117" s="228">
        <v>987.35</v>
      </c>
      <c r="T117" s="228">
        <v>-21.6</v>
      </c>
      <c r="U117" s="229">
        <v>-2.1899999999999999E-2</v>
      </c>
      <c r="V117" s="228">
        <v>970.45</v>
      </c>
      <c r="W117" s="228">
        <v>992.3</v>
      </c>
      <c r="X117" s="228">
        <v>-21.85</v>
      </c>
      <c r="Y117" s="229">
        <v>-2.1999999999999999E-2</v>
      </c>
      <c r="Z117" s="228">
        <v>0.75</v>
      </c>
      <c r="AA117" s="228">
        <v>1.2</v>
      </c>
      <c r="AB117" s="228">
        <v>-0.45</v>
      </c>
      <c r="AC117" s="229">
        <v>8.0000000000000004E-4</v>
      </c>
      <c r="AD117" s="228">
        <v>-0.15</v>
      </c>
      <c r="AE117" s="228">
        <v>1.2</v>
      </c>
      <c r="AF117" s="228">
        <v>-1.35</v>
      </c>
      <c r="AG117" s="229">
        <v>-2.0000000000000001E-4</v>
      </c>
      <c r="AH117" s="228">
        <v>0.75</v>
      </c>
      <c r="AI117" s="228">
        <v>4.5</v>
      </c>
      <c r="AJ117" s="228">
        <v>-3.75</v>
      </c>
      <c r="AK117" s="229">
        <v>8.0000000000000004E-4</v>
      </c>
      <c r="AL117" s="228">
        <v>5.45</v>
      </c>
      <c r="AM117" s="228">
        <v>9.4499999999999993</v>
      </c>
      <c r="AN117" s="228">
        <v>-4</v>
      </c>
      <c r="AO117" s="229">
        <v>5.5999999999999999E-3</v>
      </c>
      <c r="AP117" s="228">
        <v>967.94</v>
      </c>
      <c r="AQ117" s="228">
        <v>969.32</v>
      </c>
      <c r="AR117" s="228">
        <v>0</v>
      </c>
      <c r="AS117" s="228">
        <v>721</v>
      </c>
      <c r="AT117" s="228">
        <v>644</v>
      </c>
      <c r="AU117" s="228">
        <v>77</v>
      </c>
      <c r="AV117" s="229">
        <v>0.1188</v>
      </c>
      <c r="AW117" s="228">
        <v>255</v>
      </c>
      <c r="AX117" s="228">
        <v>319</v>
      </c>
      <c r="AY117" s="228">
        <v>-64</v>
      </c>
      <c r="AZ117" s="229">
        <v>-0.20039999999999999</v>
      </c>
      <c r="BA117" s="228">
        <v>459</v>
      </c>
      <c r="BB117" s="228">
        <v>323</v>
      </c>
      <c r="BC117" s="228">
        <v>136</v>
      </c>
      <c r="BD117" s="229">
        <v>0.41970000000000002</v>
      </c>
      <c r="BE117" s="228">
        <v>7</v>
      </c>
      <c r="BF117" s="228">
        <v>2</v>
      </c>
      <c r="BG117" s="228">
        <v>5</v>
      </c>
      <c r="BH117" s="229">
        <v>2.1316000000000002</v>
      </c>
      <c r="BI117" s="228">
        <v>371</v>
      </c>
      <c r="BJ117" s="228">
        <v>319</v>
      </c>
      <c r="BK117" s="228">
        <v>52</v>
      </c>
      <c r="BL117" s="229">
        <v>0.16289999999999999</v>
      </c>
      <c r="BM117" s="228">
        <v>341</v>
      </c>
      <c r="BN117" s="228">
        <v>246</v>
      </c>
      <c r="BO117" s="228">
        <v>95</v>
      </c>
      <c r="BP117" s="229">
        <v>0.3856</v>
      </c>
      <c r="BQ117" s="230">
        <v>1432</v>
      </c>
      <c r="BR117" s="230">
        <v>1209</v>
      </c>
      <c r="BS117" s="228">
        <v>223</v>
      </c>
      <c r="BT117" s="229">
        <v>0.1847</v>
      </c>
      <c r="BU117" s="230">
        <v>2149423</v>
      </c>
      <c r="BV117" s="230">
        <v>999667</v>
      </c>
      <c r="BW117" s="230">
        <v>1149756</v>
      </c>
      <c r="BX117" s="229">
        <v>1.1500999999999999</v>
      </c>
      <c r="BY117" s="230">
        <v>1124</v>
      </c>
      <c r="BZ117" s="230">
        <v>1698</v>
      </c>
      <c r="CA117" s="228">
        <v>-574</v>
      </c>
      <c r="CB117" s="229">
        <v>-0.3382</v>
      </c>
      <c r="CC117" s="228">
        <v>509</v>
      </c>
      <c r="CD117" s="228">
        <v>638</v>
      </c>
      <c r="CE117" s="228">
        <v>-129</v>
      </c>
      <c r="CF117" s="229">
        <v>-0.20230000000000001</v>
      </c>
      <c r="CG117" s="230">
        <v>1116</v>
      </c>
      <c r="CH117" s="230">
        <v>1054</v>
      </c>
      <c r="CI117" s="228">
        <v>62</v>
      </c>
      <c r="CJ117" s="229">
        <v>5.8799999999999998E-2</v>
      </c>
      <c r="CK117" s="228">
        <v>8</v>
      </c>
      <c r="CL117" s="228">
        <v>6</v>
      </c>
      <c r="CM117" s="228">
        <v>2</v>
      </c>
      <c r="CN117" s="229">
        <v>0.33679999999999999</v>
      </c>
      <c r="CO117" s="228">
        <v>164</v>
      </c>
      <c r="CP117" s="228">
        <v>384</v>
      </c>
      <c r="CQ117" s="228">
        <v>-220</v>
      </c>
      <c r="CR117" s="229">
        <v>-0.5736</v>
      </c>
      <c r="CS117" s="228">
        <v>159</v>
      </c>
      <c r="CT117" s="228">
        <v>380</v>
      </c>
      <c r="CU117" s="228">
        <v>-221</v>
      </c>
      <c r="CV117" s="229">
        <v>-0.58130000000000004</v>
      </c>
      <c r="CW117" s="230">
        <v>1447</v>
      </c>
      <c r="CX117" s="230">
        <v>2462</v>
      </c>
      <c r="CY117" s="230">
        <v>-1015</v>
      </c>
      <c r="CZ117" s="229">
        <v>-0.41239999999999999</v>
      </c>
      <c r="DA117" s="228">
        <v>29.82</v>
      </c>
      <c r="DB117" s="228">
        <v>30.18</v>
      </c>
      <c r="DC117" s="228">
        <v>-0.36</v>
      </c>
      <c r="DD117" s="228">
        <v>-0.36</v>
      </c>
      <c r="DE117" s="228">
        <v>37.33</v>
      </c>
      <c r="DF117" s="228">
        <v>37.340000000000003</v>
      </c>
      <c r="DG117" s="228">
        <v>-7.51</v>
      </c>
      <c r="DH117" s="228">
        <v>-0.01</v>
      </c>
      <c r="DI117" s="228">
        <v>29.91</v>
      </c>
      <c r="DJ117" s="228">
        <v>30.11</v>
      </c>
      <c r="DK117" s="228">
        <v>-0.2</v>
      </c>
      <c r="DL117" s="228">
        <v>-0.2</v>
      </c>
      <c r="DM117" s="228">
        <v>29.71</v>
      </c>
      <c r="DN117" s="228">
        <v>30.39</v>
      </c>
      <c r="DO117" s="228">
        <v>-0.68</v>
      </c>
      <c r="DP117" s="228">
        <v>-0.68</v>
      </c>
      <c r="DQ117" s="228">
        <v>0.97</v>
      </c>
      <c r="DR117" s="228">
        <v>0.99</v>
      </c>
      <c r="DS117" s="228">
        <v>-0.02</v>
      </c>
      <c r="DT117" s="229">
        <v>-2.0199999999999999E-2</v>
      </c>
      <c r="DU117" s="231">
        <v>1000</v>
      </c>
      <c r="DV117" s="228">
        <v>950</v>
      </c>
      <c r="DW117" s="228">
        <v>0.92</v>
      </c>
      <c r="DX117" s="228">
        <v>0.77</v>
      </c>
      <c r="DY117" s="228">
        <v>0.15</v>
      </c>
      <c r="DZ117" s="229">
        <v>0.1948</v>
      </c>
      <c r="EA117" s="229">
        <v>0.68830000000000002</v>
      </c>
      <c r="EB117" s="230">
        <v>10976250</v>
      </c>
      <c r="EC117" s="229">
        <v>8.9999999999999998E-4</v>
      </c>
      <c r="ED117" s="229">
        <v>0.68830000000000002</v>
      </c>
      <c r="EE117" s="228">
        <v>1.38</v>
      </c>
      <c r="EF117" s="229">
        <v>1.4E-3</v>
      </c>
      <c r="EG117" s="230">
        <v>1436457</v>
      </c>
      <c r="EH117" s="230">
        <v>417627</v>
      </c>
      <c r="EI117" s="229">
        <v>2.4396</v>
      </c>
      <c r="EJ117" s="229">
        <v>0.66830000000000001</v>
      </c>
      <c r="EK117" s="228">
        <v>386.94</v>
      </c>
      <c r="EL117" s="228">
        <v>345.74</v>
      </c>
      <c r="EM117" s="228">
        <v>723.16</v>
      </c>
      <c r="EN117" s="228">
        <v>0</v>
      </c>
      <c r="EO117" s="231">
        <v>1455.85</v>
      </c>
      <c r="EP117" s="231">
        <v>1238.0999999999999</v>
      </c>
      <c r="EQ117" s="228">
        <v>217.75</v>
      </c>
      <c r="ER117" s="229">
        <v>0.1759</v>
      </c>
      <c r="ES117" s="228">
        <v>172.8</v>
      </c>
      <c r="ET117" s="228">
        <v>157.1</v>
      </c>
      <c r="EU117" s="231">
        <v>1123.99</v>
      </c>
      <c r="EV117" s="231">
        <v>75417775</v>
      </c>
      <c r="EW117" s="231">
        <v>1453.88</v>
      </c>
      <c r="EX117" s="231">
        <v>2500.87</v>
      </c>
      <c r="EY117" s="231">
        <v>-1046.99</v>
      </c>
      <c r="EZ117" s="229">
        <v>-0.41870000000000002</v>
      </c>
      <c r="FA117" s="229">
        <v>0.1986</v>
      </c>
      <c r="FB117" s="227" t="s">
        <v>568</v>
      </c>
      <c r="FC117">
        <f t="shared" si="1"/>
        <v>615</v>
      </c>
    </row>
    <row r="118" spans="1:159" ht="17.25" thickBot="1" x14ac:dyDescent="0.3">
      <c r="A118" s="226">
        <v>45869</v>
      </c>
      <c r="B118" s="227" t="s">
        <v>175</v>
      </c>
      <c r="C118" s="227" t="s">
        <v>571</v>
      </c>
      <c r="D118" s="228">
        <v>2350</v>
      </c>
      <c r="E118" s="228">
        <v>0</v>
      </c>
      <c r="F118" s="228">
        <v>330.9</v>
      </c>
      <c r="G118" s="228">
        <v>321.10000000000002</v>
      </c>
      <c r="H118" s="228">
        <v>9.8000000000000007</v>
      </c>
      <c r="I118" s="229">
        <v>3.0499999999999999E-2</v>
      </c>
      <c r="J118" s="228">
        <v>329.25</v>
      </c>
      <c r="K118" s="228">
        <v>320.3</v>
      </c>
      <c r="L118" s="228">
        <v>8.9499999999999993</v>
      </c>
      <c r="M118" s="229">
        <v>2.7900000000000001E-2</v>
      </c>
      <c r="N118" s="228">
        <v>329.45</v>
      </c>
      <c r="O118" s="228">
        <v>319.89999999999998</v>
      </c>
      <c r="P118" s="228">
        <v>9.5500000000000007</v>
      </c>
      <c r="Q118" s="229">
        <v>2.9899999999999999E-2</v>
      </c>
      <c r="R118" s="228">
        <v>330.9</v>
      </c>
      <c r="S118" s="228">
        <v>321.10000000000002</v>
      </c>
      <c r="T118" s="228">
        <v>9.8000000000000007</v>
      </c>
      <c r="U118" s="229">
        <v>3.0499999999999999E-2</v>
      </c>
      <c r="V118" s="228">
        <v>332.65</v>
      </c>
      <c r="W118" s="228">
        <v>323</v>
      </c>
      <c r="X118" s="228">
        <v>9.65</v>
      </c>
      <c r="Y118" s="229">
        <v>2.9899999999999999E-2</v>
      </c>
      <c r="Z118" s="228">
        <v>1.65</v>
      </c>
      <c r="AA118" s="228">
        <v>-0.4</v>
      </c>
      <c r="AB118" s="228">
        <v>2.0499999999999998</v>
      </c>
      <c r="AC118" s="229">
        <v>5.0000000000000001E-3</v>
      </c>
      <c r="AD118" s="228">
        <v>0.2</v>
      </c>
      <c r="AE118" s="228">
        <v>-0.4</v>
      </c>
      <c r="AF118" s="228">
        <v>0.6</v>
      </c>
      <c r="AG118" s="229">
        <v>5.9999999999999995E-4</v>
      </c>
      <c r="AH118" s="228">
        <v>1.65</v>
      </c>
      <c r="AI118" s="228">
        <v>0.8</v>
      </c>
      <c r="AJ118" s="228">
        <v>0.85</v>
      </c>
      <c r="AK118" s="229">
        <v>5.0000000000000001E-3</v>
      </c>
      <c r="AL118" s="228">
        <v>3.4</v>
      </c>
      <c r="AM118" s="228">
        <v>2.7</v>
      </c>
      <c r="AN118" s="228">
        <v>0.7</v>
      </c>
      <c r="AO118" s="229">
        <v>1.03E-2</v>
      </c>
      <c r="AP118" s="228">
        <v>328.22</v>
      </c>
      <c r="AQ118" s="228">
        <v>329.69</v>
      </c>
      <c r="AR118" s="228">
        <v>0</v>
      </c>
      <c r="AS118" s="230">
        <v>3125</v>
      </c>
      <c r="AT118" s="230">
        <v>1658</v>
      </c>
      <c r="AU118" s="230">
        <v>1467</v>
      </c>
      <c r="AV118" s="229">
        <v>0.88439999999999996</v>
      </c>
      <c r="AW118" s="230">
        <v>1066</v>
      </c>
      <c r="AX118" s="228">
        <v>701</v>
      </c>
      <c r="AY118" s="228">
        <v>365</v>
      </c>
      <c r="AZ118" s="229">
        <v>0.52110000000000001</v>
      </c>
      <c r="BA118" s="230">
        <v>1968</v>
      </c>
      <c r="BB118" s="228">
        <v>925</v>
      </c>
      <c r="BC118" s="230">
        <v>1043</v>
      </c>
      <c r="BD118" s="229">
        <v>1.1268</v>
      </c>
      <c r="BE118" s="228">
        <v>91</v>
      </c>
      <c r="BF118" s="228">
        <v>32</v>
      </c>
      <c r="BG118" s="228">
        <v>59</v>
      </c>
      <c r="BH118" s="229">
        <v>1.8221000000000001</v>
      </c>
      <c r="BI118" s="230">
        <v>8834</v>
      </c>
      <c r="BJ118" s="230">
        <v>2992</v>
      </c>
      <c r="BK118" s="230">
        <v>5842</v>
      </c>
      <c r="BL118" s="229">
        <v>1.9527000000000001</v>
      </c>
      <c r="BM118" s="230">
        <v>3284</v>
      </c>
      <c r="BN118" s="230">
        <v>1570</v>
      </c>
      <c r="BO118" s="230">
        <v>1715</v>
      </c>
      <c r="BP118" s="229">
        <v>1.0923</v>
      </c>
      <c r="BQ118" s="230">
        <v>15243</v>
      </c>
      <c r="BR118" s="230">
        <v>6220</v>
      </c>
      <c r="BS118" s="230">
        <v>9023</v>
      </c>
      <c r="BT118" s="229">
        <v>1.4508000000000001</v>
      </c>
      <c r="BU118" s="230">
        <v>52195137</v>
      </c>
      <c r="BV118" s="230">
        <v>16029350</v>
      </c>
      <c r="BW118" s="230">
        <v>36165787</v>
      </c>
      <c r="BX118" s="229">
        <v>2.2562000000000002</v>
      </c>
      <c r="BY118" s="230">
        <v>3623</v>
      </c>
      <c r="BZ118" s="230">
        <v>3876</v>
      </c>
      <c r="CA118" s="228">
        <v>-253</v>
      </c>
      <c r="CB118" s="229">
        <v>-6.5199999999999994E-2</v>
      </c>
      <c r="CC118" s="228">
        <v>142</v>
      </c>
      <c r="CD118" s="228">
        <v>659</v>
      </c>
      <c r="CE118" s="228">
        <v>-516</v>
      </c>
      <c r="CF118" s="229">
        <v>-0.78380000000000005</v>
      </c>
      <c r="CG118" s="230">
        <v>3478</v>
      </c>
      <c r="CH118" s="230">
        <v>3074</v>
      </c>
      <c r="CI118" s="228">
        <v>404</v>
      </c>
      <c r="CJ118" s="229">
        <v>0.13139999999999999</v>
      </c>
      <c r="CK118" s="228">
        <v>146</v>
      </c>
      <c r="CL118" s="228">
        <v>144</v>
      </c>
      <c r="CM118" s="228">
        <v>2</v>
      </c>
      <c r="CN118" s="229">
        <v>1.46E-2</v>
      </c>
      <c r="CO118" s="230">
        <v>1353</v>
      </c>
      <c r="CP118" s="230">
        <v>2596</v>
      </c>
      <c r="CQ118" s="230">
        <v>-1243</v>
      </c>
      <c r="CR118" s="229">
        <v>-0.4788</v>
      </c>
      <c r="CS118" s="230">
        <v>1049</v>
      </c>
      <c r="CT118" s="230">
        <v>1683</v>
      </c>
      <c r="CU118" s="228">
        <v>-634</v>
      </c>
      <c r="CV118" s="229">
        <v>-0.37669999999999998</v>
      </c>
      <c r="CW118" s="230">
        <v>6025</v>
      </c>
      <c r="CX118" s="230">
        <v>8154</v>
      </c>
      <c r="CY118" s="230">
        <v>-2130</v>
      </c>
      <c r="CZ118" s="229">
        <v>-0.26119999999999999</v>
      </c>
      <c r="DA118" s="228">
        <v>28.32</v>
      </c>
      <c r="DB118" s="228">
        <v>28.9</v>
      </c>
      <c r="DC118" s="228">
        <v>-0.57999999999999996</v>
      </c>
      <c r="DD118" s="228">
        <v>-0.57999999999999996</v>
      </c>
      <c r="DE118" s="228">
        <v>39.380000000000003</v>
      </c>
      <c r="DF118" s="228">
        <v>39.26</v>
      </c>
      <c r="DG118" s="228">
        <v>-11.06</v>
      </c>
      <c r="DH118" s="228">
        <v>0.12</v>
      </c>
      <c r="DI118" s="228">
        <v>28.3</v>
      </c>
      <c r="DJ118" s="228">
        <v>29.16</v>
      </c>
      <c r="DK118" s="228">
        <v>-0.86</v>
      </c>
      <c r="DL118" s="228">
        <v>-0.86</v>
      </c>
      <c r="DM118" s="228">
        <v>28.36</v>
      </c>
      <c r="DN118" s="228">
        <v>28.36</v>
      </c>
      <c r="DO118" s="228">
        <v>0</v>
      </c>
      <c r="DP118" s="228">
        <v>0</v>
      </c>
      <c r="DQ118" s="228">
        <v>0.78</v>
      </c>
      <c r="DR118" s="228">
        <v>0.65</v>
      </c>
      <c r="DS118" s="228">
        <v>0.13</v>
      </c>
      <c r="DT118" s="229">
        <v>0.2</v>
      </c>
      <c r="DU118" s="228">
        <v>350</v>
      </c>
      <c r="DV118" s="228">
        <v>300</v>
      </c>
      <c r="DW118" s="228">
        <v>0.37</v>
      </c>
      <c r="DX118" s="228">
        <v>0.52</v>
      </c>
      <c r="DY118" s="228">
        <v>-0.15</v>
      </c>
      <c r="DZ118" s="229">
        <v>-0.28849999999999998</v>
      </c>
      <c r="EA118" s="229">
        <v>0.96220000000000006</v>
      </c>
      <c r="EB118" s="230">
        <v>97231250</v>
      </c>
      <c r="EC118" s="229">
        <v>4.4000000000000003E-3</v>
      </c>
      <c r="ED118" s="229">
        <v>0.96220000000000006</v>
      </c>
      <c r="EE118" s="228">
        <v>1.47</v>
      </c>
      <c r="EF118" s="229">
        <v>4.4999999999999997E-3</v>
      </c>
      <c r="EG118" s="230">
        <v>18851375</v>
      </c>
      <c r="EH118" s="230">
        <v>5750430</v>
      </c>
      <c r="EI118" s="229">
        <v>2.2783000000000002</v>
      </c>
      <c r="EJ118" s="229">
        <v>0.36120000000000002</v>
      </c>
      <c r="EK118" s="231">
        <v>9132.2999999999993</v>
      </c>
      <c r="EL118" s="231">
        <v>3188.04</v>
      </c>
      <c r="EM118" s="231">
        <v>3109.45</v>
      </c>
      <c r="EN118" s="228">
        <v>0</v>
      </c>
      <c r="EO118" s="231">
        <v>15429.78</v>
      </c>
      <c r="EP118" s="231">
        <v>6136.56</v>
      </c>
      <c r="EQ118" s="231">
        <v>9293.2199999999993</v>
      </c>
      <c r="ER118" s="229">
        <v>1.5144</v>
      </c>
      <c r="ES118" s="231">
        <v>1390.51</v>
      </c>
      <c r="ET118" s="228">
        <v>984.12</v>
      </c>
      <c r="EU118" s="231">
        <v>3624.22</v>
      </c>
      <c r="EV118" s="231">
        <v>671850851</v>
      </c>
      <c r="EW118" s="231">
        <v>5998.85</v>
      </c>
      <c r="EX118" s="231">
        <v>7944.46</v>
      </c>
      <c r="EY118" s="231">
        <v>-1945.61</v>
      </c>
      <c r="EZ118" s="229">
        <v>-0.24490000000000001</v>
      </c>
      <c r="FA118" s="229">
        <v>0.27100000000000002</v>
      </c>
      <c r="FB118" s="227" t="s">
        <v>556</v>
      </c>
      <c r="FC118">
        <f t="shared" si="1"/>
        <v>3481</v>
      </c>
    </row>
    <row r="119" spans="1:159" ht="17.25" thickBot="1" x14ac:dyDescent="0.3">
      <c r="A119" s="226">
        <v>45869</v>
      </c>
      <c r="B119" s="227" t="s">
        <v>227</v>
      </c>
      <c r="C119" s="227" t="s">
        <v>582</v>
      </c>
      <c r="D119" s="228">
        <v>850</v>
      </c>
      <c r="E119" s="228">
        <v>0</v>
      </c>
      <c r="F119" s="228">
        <v>695.7</v>
      </c>
      <c r="G119" s="228">
        <v>683.8</v>
      </c>
      <c r="H119" s="228">
        <v>11.9</v>
      </c>
      <c r="I119" s="229">
        <v>1.7399999999999999E-2</v>
      </c>
      <c r="J119" s="228">
        <v>694.1</v>
      </c>
      <c r="K119" s="228">
        <v>681.1</v>
      </c>
      <c r="L119" s="228">
        <v>13</v>
      </c>
      <c r="M119" s="229">
        <v>1.9099999999999999E-2</v>
      </c>
      <c r="N119" s="228">
        <v>692.7</v>
      </c>
      <c r="O119" s="228">
        <v>680.9</v>
      </c>
      <c r="P119" s="228">
        <v>11.8</v>
      </c>
      <c r="Q119" s="229">
        <v>1.7299999999999999E-2</v>
      </c>
      <c r="R119" s="228">
        <v>695.7</v>
      </c>
      <c r="S119" s="228">
        <v>683.8</v>
      </c>
      <c r="T119" s="228">
        <v>11.9</v>
      </c>
      <c r="U119" s="229">
        <v>1.7399999999999999E-2</v>
      </c>
      <c r="V119" s="228">
        <v>0</v>
      </c>
      <c r="W119" s="228">
        <v>0</v>
      </c>
      <c r="X119" s="228">
        <v>0</v>
      </c>
      <c r="Y119" s="229">
        <v>0</v>
      </c>
      <c r="Z119" s="228">
        <v>1.6</v>
      </c>
      <c r="AA119" s="228">
        <v>-0.2</v>
      </c>
      <c r="AB119" s="228">
        <v>1.8</v>
      </c>
      <c r="AC119" s="229">
        <v>2.3E-3</v>
      </c>
      <c r="AD119" s="228">
        <v>-1.4</v>
      </c>
      <c r="AE119" s="228">
        <v>-0.2</v>
      </c>
      <c r="AF119" s="228">
        <v>-1.2</v>
      </c>
      <c r="AG119" s="229">
        <v>-2E-3</v>
      </c>
      <c r="AH119" s="228">
        <v>1.6</v>
      </c>
      <c r="AI119" s="228">
        <v>2.7</v>
      </c>
      <c r="AJ119" s="228">
        <v>-1.1000000000000001</v>
      </c>
      <c r="AK119" s="229">
        <v>2.3E-3</v>
      </c>
      <c r="AL119" s="228">
        <v>0</v>
      </c>
      <c r="AM119" s="228">
        <v>0</v>
      </c>
      <c r="AN119" s="228">
        <v>0</v>
      </c>
      <c r="AO119" s="229">
        <v>0</v>
      </c>
      <c r="AP119" s="228">
        <v>685.29</v>
      </c>
      <c r="AQ119" s="228">
        <v>689.83</v>
      </c>
      <c r="AR119" s="228">
        <v>0</v>
      </c>
      <c r="AS119" s="228">
        <v>301</v>
      </c>
      <c r="AT119" s="228">
        <v>277</v>
      </c>
      <c r="AU119" s="228">
        <v>25</v>
      </c>
      <c r="AV119" s="229">
        <v>8.8900000000000007E-2</v>
      </c>
      <c r="AW119" s="228">
        <v>120</v>
      </c>
      <c r="AX119" s="228">
        <v>131</v>
      </c>
      <c r="AY119" s="228">
        <v>-12</v>
      </c>
      <c r="AZ119" s="229">
        <v>-8.7800000000000003E-2</v>
      </c>
      <c r="BA119" s="228">
        <v>181</v>
      </c>
      <c r="BB119" s="228">
        <v>145</v>
      </c>
      <c r="BC119" s="228">
        <v>36</v>
      </c>
      <c r="BD119" s="229">
        <v>0.24879999999999999</v>
      </c>
      <c r="BE119" s="228">
        <v>0</v>
      </c>
      <c r="BF119" s="228">
        <v>0</v>
      </c>
      <c r="BG119" s="228">
        <v>0</v>
      </c>
      <c r="BH119" s="229">
        <v>0</v>
      </c>
      <c r="BI119" s="228">
        <v>127</v>
      </c>
      <c r="BJ119" s="228">
        <v>127</v>
      </c>
      <c r="BK119" s="228">
        <v>0</v>
      </c>
      <c r="BL119" s="229">
        <v>2.8E-3</v>
      </c>
      <c r="BM119" s="228">
        <v>64</v>
      </c>
      <c r="BN119" s="228">
        <v>29</v>
      </c>
      <c r="BO119" s="228">
        <v>35</v>
      </c>
      <c r="BP119" s="229">
        <v>1.2118</v>
      </c>
      <c r="BQ119" s="228">
        <v>493</v>
      </c>
      <c r="BR119" s="228">
        <v>433</v>
      </c>
      <c r="BS119" s="228">
        <v>60</v>
      </c>
      <c r="BT119" s="229">
        <v>0.13900000000000001</v>
      </c>
      <c r="BU119" s="230">
        <v>1193910</v>
      </c>
      <c r="BV119" s="230">
        <v>315995</v>
      </c>
      <c r="BW119" s="230">
        <v>877915</v>
      </c>
      <c r="BX119" s="229">
        <v>2.7783000000000002</v>
      </c>
      <c r="BY119" s="228">
        <v>316</v>
      </c>
      <c r="BZ119" s="228">
        <v>457</v>
      </c>
      <c r="CA119" s="228">
        <v>-141</v>
      </c>
      <c r="CB119" s="229">
        <v>-0.30919999999999997</v>
      </c>
      <c r="CC119" s="228">
        <v>141</v>
      </c>
      <c r="CD119" s="228">
        <v>155</v>
      </c>
      <c r="CE119" s="228">
        <v>-14</v>
      </c>
      <c r="CF119" s="229">
        <v>-8.9599999999999999E-2</v>
      </c>
      <c r="CG119" s="228">
        <v>316</v>
      </c>
      <c r="CH119" s="228">
        <v>302</v>
      </c>
      <c r="CI119" s="228">
        <v>14</v>
      </c>
      <c r="CJ119" s="229">
        <v>4.5400000000000003E-2</v>
      </c>
      <c r="CK119" s="228">
        <v>0</v>
      </c>
      <c r="CL119" s="228">
        <v>0</v>
      </c>
      <c r="CM119" s="228">
        <v>0</v>
      </c>
      <c r="CN119" s="229">
        <v>0</v>
      </c>
      <c r="CO119" s="228">
        <v>48</v>
      </c>
      <c r="CP119" s="228">
        <v>141</v>
      </c>
      <c r="CQ119" s="228">
        <v>-93</v>
      </c>
      <c r="CR119" s="229">
        <v>-0.66149999999999998</v>
      </c>
      <c r="CS119" s="228">
        <v>22</v>
      </c>
      <c r="CT119" s="228">
        <v>76</v>
      </c>
      <c r="CU119" s="228">
        <v>-55</v>
      </c>
      <c r="CV119" s="229">
        <v>-0.71540000000000004</v>
      </c>
      <c r="CW119" s="228">
        <v>385</v>
      </c>
      <c r="CX119" s="228">
        <v>674</v>
      </c>
      <c r="CY119" s="228">
        <v>-289</v>
      </c>
      <c r="CZ119" s="229">
        <v>-0.42870000000000003</v>
      </c>
      <c r="DA119" s="228">
        <v>36.78</v>
      </c>
      <c r="DB119" s="228">
        <v>37.450000000000003</v>
      </c>
      <c r="DC119" s="228">
        <v>-0.67</v>
      </c>
      <c r="DD119" s="228">
        <v>-0.67</v>
      </c>
      <c r="DE119" s="228">
        <v>44.6</v>
      </c>
      <c r="DF119" s="228">
        <v>44.64</v>
      </c>
      <c r="DG119" s="228">
        <v>-7.82</v>
      </c>
      <c r="DH119" s="228">
        <v>-0.04</v>
      </c>
      <c r="DI119" s="228">
        <v>36.799999999999997</v>
      </c>
      <c r="DJ119" s="228">
        <v>37.4</v>
      </c>
      <c r="DK119" s="228">
        <v>-0.6</v>
      </c>
      <c r="DL119" s="228">
        <v>-0.6</v>
      </c>
      <c r="DM119" s="228">
        <v>36.72</v>
      </c>
      <c r="DN119" s="228">
        <v>37.74</v>
      </c>
      <c r="DO119" s="228">
        <v>-1.02</v>
      </c>
      <c r="DP119" s="228">
        <v>-1.02</v>
      </c>
      <c r="DQ119" s="228">
        <v>0.46</v>
      </c>
      <c r="DR119" s="228">
        <v>0.54</v>
      </c>
      <c r="DS119" s="228">
        <v>-0.08</v>
      </c>
      <c r="DT119" s="229">
        <v>-0.14810000000000001</v>
      </c>
      <c r="DU119" s="228">
        <v>700</v>
      </c>
      <c r="DV119" s="228">
        <v>700</v>
      </c>
      <c r="DW119" s="228">
        <v>0.5</v>
      </c>
      <c r="DX119" s="228">
        <v>0.23</v>
      </c>
      <c r="DY119" s="228">
        <v>0.27</v>
      </c>
      <c r="DZ119" s="229">
        <v>1.1738999999999999</v>
      </c>
      <c r="EA119" s="229">
        <v>0.69110000000000005</v>
      </c>
      <c r="EB119" s="230">
        <v>4344350</v>
      </c>
      <c r="EC119" s="229">
        <v>4.3E-3</v>
      </c>
      <c r="ED119" s="229">
        <v>0.69110000000000005</v>
      </c>
      <c r="EE119" s="228">
        <v>4.54</v>
      </c>
      <c r="EF119" s="229">
        <v>6.6E-3</v>
      </c>
      <c r="EG119" s="230">
        <v>614481</v>
      </c>
      <c r="EH119" s="230">
        <v>157279</v>
      </c>
      <c r="EI119" s="229">
        <v>2.9068999999999998</v>
      </c>
      <c r="EJ119" s="229">
        <v>0.51470000000000005</v>
      </c>
      <c r="EK119" s="228">
        <v>131.09</v>
      </c>
      <c r="EL119" s="228">
        <v>62.94</v>
      </c>
      <c r="EM119" s="228">
        <v>297.91000000000003</v>
      </c>
      <c r="EN119" s="228">
        <v>0</v>
      </c>
      <c r="EO119" s="228">
        <v>491.94</v>
      </c>
      <c r="EP119" s="228">
        <v>430.09</v>
      </c>
      <c r="EQ119" s="228">
        <v>61.86</v>
      </c>
      <c r="ER119" s="229">
        <v>0.14380000000000001</v>
      </c>
      <c r="ES119" s="228">
        <v>49.56</v>
      </c>
      <c r="ET119" s="228">
        <v>20.79</v>
      </c>
      <c r="EU119" s="228">
        <v>315.95999999999998</v>
      </c>
      <c r="EV119" s="231">
        <v>64423956</v>
      </c>
      <c r="EW119" s="228">
        <v>386.31</v>
      </c>
      <c r="EX119" s="228">
        <v>667.34</v>
      </c>
      <c r="EY119" s="228">
        <v>-281.02999999999997</v>
      </c>
      <c r="EZ119" s="229">
        <v>-0.42109999999999997</v>
      </c>
      <c r="FA119" s="229">
        <v>8.5999999999999993E-2</v>
      </c>
      <c r="FB119" s="227" t="s">
        <v>556</v>
      </c>
      <c r="FC119">
        <f t="shared" si="1"/>
        <v>175</v>
      </c>
    </row>
    <row r="120" spans="1:159" ht="17.25" thickBot="1" x14ac:dyDescent="0.3">
      <c r="A120" s="226">
        <v>45869</v>
      </c>
      <c r="B120" s="227" t="s">
        <v>161</v>
      </c>
      <c r="C120" s="227" t="s">
        <v>581</v>
      </c>
      <c r="D120" s="228">
        <v>1000</v>
      </c>
      <c r="E120" s="228">
        <v>0</v>
      </c>
      <c r="F120" s="228">
        <v>517.79999999999995</v>
      </c>
      <c r="G120" s="228">
        <v>528.75</v>
      </c>
      <c r="H120" s="228">
        <v>-10.95</v>
      </c>
      <c r="I120" s="229">
        <v>-2.07E-2</v>
      </c>
      <c r="J120" s="228">
        <v>515.04999999999995</v>
      </c>
      <c r="K120" s="228">
        <v>526.5</v>
      </c>
      <c r="L120" s="228">
        <v>-11.45</v>
      </c>
      <c r="M120" s="229">
        <v>-2.1700000000000001E-2</v>
      </c>
      <c r="N120" s="228">
        <v>514.35</v>
      </c>
      <c r="O120" s="228">
        <v>525.95000000000005</v>
      </c>
      <c r="P120" s="228">
        <v>-11.6</v>
      </c>
      <c r="Q120" s="229">
        <v>-2.2100000000000002E-2</v>
      </c>
      <c r="R120" s="228">
        <v>517.79999999999995</v>
      </c>
      <c r="S120" s="228">
        <v>528.75</v>
      </c>
      <c r="T120" s="228">
        <v>-10.95</v>
      </c>
      <c r="U120" s="229">
        <v>-2.07E-2</v>
      </c>
      <c r="V120" s="228">
        <v>523</v>
      </c>
      <c r="W120" s="228">
        <v>531.54999999999995</v>
      </c>
      <c r="X120" s="228">
        <v>-8.5500000000000007</v>
      </c>
      <c r="Y120" s="229">
        <v>-1.61E-2</v>
      </c>
      <c r="Z120" s="228">
        <v>2.75</v>
      </c>
      <c r="AA120" s="228">
        <v>-0.55000000000000004</v>
      </c>
      <c r="AB120" s="228">
        <v>3.3</v>
      </c>
      <c r="AC120" s="229">
        <v>5.3E-3</v>
      </c>
      <c r="AD120" s="228">
        <v>-0.7</v>
      </c>
      <c r="AE120" s="228">
        <v>-0.55000000000000004</v>
      </c>
      <c r="AF120" s="228">
        <v>-0.15</v>
      </c>
      <c r="AG120" s="229">
        <v>-1.4E-3</v>
      </c>
      <c r="AH120" s="228">
        <v>2.75</v>
      </c>
      <c r="AI120" s="228">
        <v>2.25</v>
      </c>
      <c r="AJ120" s="228">
        <v>0.5</v>
      </c>
      <c r="AK120" s="229">
        <v>5.3E-3</v>
      </c>
      <c r="AL120" s="228">
        <v>7.95</v>
      </c>
      <c r="AM120" s="228">
        <v>5.05</v>
      </c>
      <c r="AN120" s="228">
        <v>2.9</v>
      </c>
      <c r="AO120" s="229">
        <v>1.54E-2</v>
      </c>
      <c r="AP120" s="228">
        <v>519.45000000000005</v>
      </c>
      <c r="AQ120" s="228">
        <v>521.85</v>
      </c>
      <c r="AR120" s="228">
        <v>0</v>
      </c>
      <c r="AS120" s="228">
        <v>867</v>
      </c>
      <c r="AT120" s="228">
        <v>882</v>
      </c>
      <c r="AU120" s="228">
        <v>-14</v>
      </c>
      <c r="AV120" s="229">
        <v>-1.6400000000000001E-2</v>
      </c>
      <c r="AW120" s="228">
        <v>344</v>
      </c>
      <c r="AX120" s="228">
        <v>395</v>
      </c>
      <c r="AY120" s="228">
        <v>-51</v>
      </c>
      <c r="AZ120" s="229">
        <v>-0.1295</v>
      </c>
      <c r="BA120" s="228">
        <v>521</v>
      </c>
      <c r="BB120" s="228">
        <v>484</v>
      </c>
      <c r="BC120" s="228">
        <v>37</v>
      </c>
      <c r="BD120" s="229">
        <v>7.6700000000000004E-2</v>
      </c>
      <c r="BE120" s="228">
        <v>3</v>
      </c>
      <c r="BF120" s="228">
        <v>4</v>
      </c>
      <c r="BG120" s="228">
        <v>0</v>
      </c>
      <c r="BH120" s="229">
        <v>-0.1143</v>
      </c>
      <c r="BI120" s="228">
        <v>534</v>
      </c>
      <c r="BJ120" s="228">
        <v>533</v>
      </c>
      <c r="BK120" s="228">
        <v>1</v>
      </c>
      <c r="BL120" s="229">
        <v>1.6999999999999999E-3</v>
      </c>
      <c r="BM120" s="228">
        <v>198</v>
      </c>
      <c r="BN120" s="228">
        <v>185</v>
      </c>
      <c r="BO120" s="228">
        <v>13</v>
      </c>
      <c r="BP120" s="229">
        <v>7.1999999999999995E-2</v>
      </c>
      <c r="BQ120" s="230">
        <v>1599</v>
      </c>
      <c r="BR120" s="230">
        <v>1599</v>
      </c>
      <c r="BS120" s="228">
        <v>0</v>
      </c>
      <c r="BT120" s="229">
        <v>-2.0000000000000001E-4</v>
      </c>
      <c r="BU120" s="230">
        <v>2045649</v>
      </c>
      <c r="BV120" s="230">
        <v>1689742</v>
      </c>
      <c r="BW120" s="230">
        <v>355907</v>
      </c>
      <c r="BX120" s="229">
        <v>0.21060000000000001</v>
      </c>
      <c r="BY120" s="230">
        <v>2149</v>
      </c>
      <c r="BZ120" s="230">
        <v>2311</v>
      </c>
      <c r="CA120" s="228">
        <v>-162</v>
      </c>
      <c r="CB120" s="229">
        <v>-7.0000000000000007E-2</v>
      </c>
      <c r="CC120" s="228">
        <v>216</v>
      </c>
      <c r="CD120" s="228">
        <v>466</v>
      </c>
      <c r="CE120" s="228">
        <v>-250</v>
      </c>
      <c r="CF120" s="229">
        <v>-0.53569999999999995</v>
      </c>
      <c r="CG120" s="230">
        <v>2138</v>
      </c>
      <c r="CH120" s="230">
        <v>1835</v>
      </c>
      <c r="CI120" s="228">
        <v>303</v>
      </c>
      <c r="CJ120" s="229">
        <v>0.16520000000000001</v>
      </c>
      <c r="CK120" s="228">
        <v>11</v>
      </c>
      <c r="CL120" s="228">
        <v>10</v>
      </c>
      <c r="CM120" s="228">
        <v>1</v>
      </c>
      <c r="CN120" s="229">
        <v>0.12039999999999999</v>
      </c>
      <c r="CO120" s="228">
        <v>266</v>
      </c>
      <c r="CP120" s="228">
        <v>459</v>
      </c>
      <c r="CQ120" s="228">
        <v>-193</v>
      </c>
      <c r="CR120" s="229">
        <v>-0.4209</v>
      </c>
      <c r="CS120" s="228">
        <v>163</v>
      </c>
      <c r="CT120" s="228">
        <v>262</v>
      </c>
      <c r="CU120" s="228">
        <v>-99</v>
      </c>
      <c r="CV120" s="229">
        <v>-0.3765</v>
      </c>
      <c r="CW120" s="230">
        <v>2578</v>
      </c>
      <c r="CX120" s="230">
        <v>3032</v>
      </c>
      <c r="CY120" s="228">
        <v>-453</v>
      </c>
      <c r="CZ120" s="229">
        <v>-0.14960000000000001</v>
      </c>
      <c r="DA120" s="228">
        <v>37.76</v>
      </c>
      <c r="DB120" s="228">
        <v>35.81</v>
      </c>
      <c r="DC120" s="228">
        <v>1.95</v>
      </c>
      <c r="DD120" s="228">
        <v>1.95</v>
      </c>
      <c r="DE120" s="228">
        <v>48.95</v>
      </c>
      <c r="DF120" s="228">
        <v>48.98</v>
      </c>
      <c r="DG120" s="228">
        <v>-11.19</v>
      </c>
      <c r="DH120" s="228">
        <v>-0.03</v>
      </c>
      <c r="DI120" s="228">
        <v>37.9</v>
      </c>
      <c r="DJ120" s="228">
        <v>35.840000000000003</v>
      </c>
      <c r="DK120" s="228">
        <v>2.06</v>
      </c>
      <c r="DL120" s="228">
        <v>2.06</v>
      </c>
      <c r="DM120" s="228">
        <v>37.35</v>
      </c>
      <c r="DN120" s="228">
        <v>35.75</v>
      </c>
      <c r="DO120" s="228">
        <v>1.6</v>
      </c>
      <c r="DP120" s="228">
        <v>1.6</v>
      </c>
      <c r="DQ120" s="228">
        <v>0.62</v>
      </c>
      <c r="DR120" s="228">
        <v>0.56999999999999995</v>
      </c>
      <c r="DS120" s="228">
        <v>0.05</v>
      </c>
      <c r="DT120" s="229">
        <v>8.77E-2</v>
      </c>
      <c r="DU120" s="228">
        <v>530</v>
      </c>
      <c r="DV120" s="228">
        <v>500</v>
      </c>
      <c r="DW120" s="228">
        <v>0.37</v>
      </c>
      <c r="DX120" s="228">
        <v>0.35</v>
      </c>
      <c r="DY120" s="228">
        <v>0.02</v>
      </c>
      <c r="DZ120" s="229">
        <v>5.7099999999999998E-2</v>
      </c>
      <c r="EA120" s="229">
        <v>0.90849999999999997</v>
      </c>
      <c r="EB120" s="230">
        <v>35626000</v>
      </c>
      <c r="EC120" s="229">
        <v>6.7000000000000002E-3</v>
      </c>
      <c r="ED120" s="229">
        <v>0.90849999999999997</v>
      </c>
      <c r="EE120" s="228">
        <v>2.4</v>
      </c>
      <c r="EF120" s="229">
        <v>4.5999999999999999E-3</v>
      </c>
      <c r="EG120" s="230">
        <v>786645</v>
      </c>
      <c r="EH120" s="230">
        <v>686984</v>
      </c>
      <c r="EI120" s="229">
        <v>0.14510000000000001</v>
      </c>
      <c r="EJ120" s="229">
        <v>0.38450000000000001</v>
      </c>
      <c r="EK120" s="228">
        <v>562.08000000000004</v>
      </c>
      <c r="EL120" s="228">
        <v>200.88</v>
      </c>
      <c r="EM120" s="228">
        <v>872.63</v>
      </c>
      <c r="EN120" s="228">
        <v>0</v>
      </c>
      <c r="EO120" s="231">
        <v>1635.59</v>
      </c>
      <c r="EP120" s="231">
        <v>1650.01</v>
      </c>
      <c r="EQ120" s="228">
        <v>-14.42</v>
      </c>
      <c r="ER120" s="229">
        <v>-8.6999999999999994E-3</v>
      </c>
      <c r="ES120" s="228">
        <v>275.54000000000002</v>
      </c>
      <c r="ET120" s="228">
        <v>161.46</v>
      </c>
      <c r="EU120" s="231">
        <v>2149.19</v>
      </c>
      <c r="EV120" s="231">
        <v>106935382</v>
      </c>
      <c r="EW120" s="231">
        <v>2586.1799999999998</v>
      </c>
      <c r="EX120" s="231">
        <v>3090.62</v>
      </c>
      <c r="EY120" s="228">
        <v>-504.44</v>
      </c>
      <c r="EZ120" s="229">
        <v>-0.16320000000000001</v>
      </c>
      <c r="FA120" s="229">
        <v>0.46560000000000001</v>
      </c>
      <c r="FB120" s="227" t="s">
        <v>568</v>
      </c>
      <c r="FC120">
        <f t="shared" si="1"/>
        <v>1933</v>
      </c>
    </row>
    <row r="121" spans="1:159" ht="17.25" thickBot="1" x14ac:dyDescent="0.3">
      <c r="A121" s="226">
        <v>45869</v>
      </c>
      <c r="B121" s="227" t="s">
        <v>227</v>
      </c>
      <c r="C121" s="227" t="s">
        <v>244</v>
      </c>
      <c r="D121" s="228">
        <v>675</v>
      </c>
      <c r="E121" s="228">
        <v>0</v>
      </c>
      <c r="F121" s="231">
        <v>1052.8</v>
      </c>
      <c r="G121" s="231">
        <v>1042.0999999999999</v>
      </c>
      <c r="H121" s="228">
        <v>10.7</v>
      </c>
      <c r="I121" s="229">
        <v>1.03E-2</v>
      </c>
      <c r="J121" s="231">
        <v>1048.3</v>
      </c>
      <c r="K121" s="231">
        <v>1037.9000000000001</v>
      </c>
      <c r="L121" s="228">
        <v>10.4</v>
      </c>
      <c r="M121" s="229">
        <v>0.01</v>
      </c>
      <c r="N121" s="231">
        <v>1047</v>
      </c>
      <c r="O121" s="231">
        <v>1036.3</v>
      </c>
      <c r="P121" s="228">
        <v>10.7</v>
      </c>
      <c r="Q121" s="229">
        <v>1.03E-2</v>
      </c>
      <c r="R121" s="231">
        <v>1052.8</v>
      </c>
      <c r="S121" s="231">
        <v>1042.0999999999999</v>
      </c>
      <c r="T121" s="228">
        <v>10.7</v>
      </c>
      <c r="U121" s="229">
        <v>1.03E-2</v>
      </c>
      <c r="V121" s="231">
        <v>1057.2</v>
      </c>
      <c r="W121" s="231">
        <v>1049</v>
      </c>
      <c r="X121" s="228">
        <v>8.1999999999999993</v>
      </c>
      <c r="Y121" s="229">
        <v>7.7999999999999996E-3</v>
      </c>
      <c r="Z121" s="228">
        <v>4.5</v>
      </c>
      <c r="AA121" s="228">
        <v>-1.6</v>
      </c>
      <c r="AB121" s="228">
        <v>6.1</v>
      </c>
      <c r="AC121" s="229">
        <v>4.3E-3</v>
      </c>
      <c r="AD121" s="228">
        <v>-1.3</v>
      </c>
      <c r="AE121" s="228">
        <v>-1.6</v>
      </c>
      <c r="AF121" s="228">
        <v>0.3</v>
      </c>
      <c r="AG121" s="229">
        <v>-1.1999999999999999E-3</v>
      </c>
      <c r="AH121" s="228">
        <v>4.5</v>
      </c>
      <c r="AI121" s="228">
        <v>4.2</v>
      </c>
      <c r="AJ121" s="228">
        <v>0.3</v>
      </c>
      <c r="AK121" s="229">
        <v>4.3E-3</v>
      </c>
      <c r="AL121" s="228">
        <v>8.9</v>
      </c>
      <c r="AM121" s="228">
        <v>11.1</v>
      </c>
      <c r="AN121" s="228">
        <v>-2.2000000000000002</v>
      </c>
      <c r="AO121" s="229">
        <v>8.5000000000000006E-3</v>
      </c>
      <c r="AP121" s="231">
        <v>1046.54</v>
      </c>
      <c r="AQ121" s="231">
        <v>1052.75</v>
      </c>
      <c r="AR121" s="228">
        <v>0</v>
      </c>
      <c r="AS121" s="230">
        <v>1497</v>
      </c>
      <c r="AT121" s="230">
        <v>1971</v>
      </c>
      <c r="AU121" s="228">
        <v>-474</v>
      </c>
      <c r="AV121" s="229">
        <v>-0.24060000000000001</v>
      </c>
      <c r="AW121" s="228">
        <v>488</v>
      </c>
      <c r="AX121" s="228">
        <v>934</v>
      </c>
      <c r="AY121" s="228">
        <v>-445</v>
      </c>
      <c r="AZ121" s="229">
        <v>-0.47710000000000002</v>
      </c>
      <c r="BA121" s="228">
        <v>994</v>
      </c>
      <c r="BB121" s="230">
        <v>1030</v>
      </c>
      <c r="BC121" s="228">
        <v>-36</v>
      </c>
      <c r="BD121" s="229">
        <v>-3.4599999999999999E-2</v>
      </c>
      <c r="BE121" s="228">
        <v>15</v>
      </c>
      <c r="BF121" s="228">
        <v>8</v>
      </c>
      <c r="BG121" s="228">
        <v>7</v>
      </c>
      <c r="BH121" s="229">
        <v>0.86360000000000003</v>
      </c>
      <c r="BI121" s="230">
        <v>1478</v>
      </c>
      <c r="BJ121" s="230">
        <v>1328</v>
      </c>
      <c r="BK121" s="228">
        <v>150</v>
      </c>
      <c r="BL121" s="229">
        <v>0.1132</v>
      </c>
      <c r="BM121" s="228">
        <v>753</v>
      </c>
      <c r="BN121" s="228">
        <v>479</v>
      </c>
      <c r="BO121" s="228">
        <v>274</v>
      </c>
      <c r="BP121" s="229">
        <v>0.57169999999999999</v>
      </c>
      <c r="BQ121" s="230">
        <v>3727</v>
      </c>
      <c r="BR121" s="230">
        <v>3778</v>
      </c>
      <c r="BS121" s="228">
        <v>-50</v>
      </c>
      <c r="BT121" s="229">
        <v>-1.3299999999999999E-2</v>
      </c>
      <c r="BU121" s="230">
        <v>3200430</v>
      </c>
      <c r="BV121" s="230">
        <v>1890603</v>
      </c>
      <c r="BW121" s="230">
        <v>1309827</v>
      </c>
      <c r="BX121" s="229">
        <v>0.69279999999999997</v>
      </c>
      <c r="BY121" s="230">
        <v>3953</v>
      </c>
      <c r="BZ121" s="230">
        <v>4076</v>
      </c>
      <c r="CA121" s="228">
        <v>-123</v>
      </c>
      <c r="CB121" s="229">
        <v>-3.0200000000000001E-2</v>
      </c>
      <c r="CC121" s="228">
        <v>237</v>
      </c>
      <c r="CD121" s="228">
        <v>393</v>
      </c>
      <c r="CE121" s="228">
        <v>-156</v>
      </c>
      <c r="CF121" s="229">
        <v>-0.39610000000000001</v>
      </c>
      <c r="CG121" s="230">
        <v>3942</v>
      </c>
      <c r="CH121" s="230">
        <v>3673</v>
      </c>
      <c r="CI121" s="228">
        <v>269</v>
      </c>
      <c r="CJ121" s="229">
        <v>7.3200000000000001E-2</v>
      </c>
      <c r="CK121" s="228">
        <v>11</v>
      </c>
      <c r="CL121" s="228">
        <v>11</v>
      </c>
      <c r="CM121" s="228">
        <v>0</v>
      </c>
      <c r="CN121" s="229">
        <v>4.0300000000000002E-2</v>
      </c>
      <c r="CO121" s="228">
        <v>449</v>
      </c>
      <c r="CP121" s="228">
        <v>987</v>
      </c>
      <c r="CQ121" s="228">
        <v>-538</v>
      </c>
      <c r="CR121" s="229">
        <v>-0.5454</v>
      </c>
      <c r="CS121" s="228">
        <v>257</v>
      </c>
      <c r="CT121" s="228">
        <v>614</v>
      </c>
      <c r="CU121" s="228">
        <v>-357</v>
      </c>
      <c r="CV121" s="229">
        <v>-0.58120000000000005</v>
      </c>
      <c r="CW121" s="230">
        <v>4659</v>
      </c>
      <c r="CX121" s="230">
        <v>5677</v>
      </c>
      <c r="CY121" s="230">
        <v>-1018</v>
      </c>
      <c r="CZ121" s="229">
        <v>-0.1794</v>
      </c>
      <c r="DA121" s="228">
        <v>27.67</v>
      </c>
      <c r="DB121" s="228">
        <v>26.51</v>
      </c>
      <c r="DC121" s="228">
        <v>1.1599999999999999</v>
      </c>
      <c r="DD121" s="228">
        <v>1.1599999999999999</v>
      </c>
      <c r="DE121" s="228">
        <v>31</v>
      </c>
      <c r="DF121" s="228">
        <v>31.05</v>
      </c>
      <c r="DG121" s="228">
        <v>-3.33</v>
      </c>
      <c r="DH121" s="228">
        <v>-0.05</v>
      </c>
      <c r="DI121" s="228">
        <v>27.36</v>
      </c>
      <c r="DJ121" s="228">
        <v>26.52</v>
      </c>
      <c r="DK121" s="228">
        <v>0.84</v>
      </c>
      <c r="DL121" s="228">
        <v>0.84</v>
      </c>
      <c r="DM121" s="228">
        <v>28.18</v>
      </c>
      <c r="DN121" s="228">
        <v>26.49</v>
      </c>
      <c r="DO121" s="228">
        <v>1.69</v>
      </c>
      <c r="DP121" s="228">
        <v>1.69</v>
      </c>
      <c r="DQ121" s="228">
        <v>0.56999999999999995</v>
      </c>
      <c r="DR121" s="228">
        <v>0.62</v>
      </c>
      <c r="DS121" s="228">
        <v>-0.05</v>
      </c>
      <c r="DT121" s="229">
        <v>-8.0600000000000005E-2</v>
      </c>
      <c r="DU121" s="231">
        <v>1180</v>
      </c>
      <c r="DV121" s="228">
        <v>890</v>
      </c>
      <c r="DW121" s="228">
        <v>0.51</v>
      </c>
      <c r="DX121" s="228">
        <v>0.36</v>
      </c>
      <c r="DY121" s="228">
        <v>0.15</v>
      </c>
      <c r="DZ121" s="229">
        <v>0.41670000000000001</v>
      </c>
      <c r="EA121" s="229">
        <v>0.94340000000000002</v>
      </c>
      <c r="EB121" s="230">
        <v>34989300</v>
      </c>
      <c r="EC121" s="229">
        <v>5.4999999999999997E-3</v>
      </c>
      <c r="ED121" s="229">
        <v>0.94340000000000002</v>
      </c>
      <c r="EE121" s="228">
        <v>6.21</v>
      </c>
      <c r="EF121" s="229">
        <v>5.8999999999999999E-3</v>
      </c>
      <c r="EG121" s="230">
        <v>1255809</v>
      </c>
      <c r="EH121" s="230">
        <v>871055</v>
      </c>
      <c r="EI121" s="229">
        <v>0.44169999999999998</v>
      </c>
      <c r="EJ121" s="229">
        <v>0.39240000000000003</v>
      </c>
      <c r="EK121" s="231">
        <v>1528.74</v>
      </c>
      <c r="EL121" s="228">
        <v>741.65</v>
      </c>
      <c r="EM121" s="231">
        <v>1494.16</v>
      </c>
      <c r="EN121" s="228">
        <v>0</v>
      </c>
      <c r="EO121" s="231">
        <v>3764.55</v>
      </c>
      <c r="EP121" s="231">
        <v>3772.61</v>
      </c>
      <c r="EQ121" s="228">
        <v>-8.06</v>
      </c>
      <c r="ER121" s="229">
        <v>-2.0999999999999999E-3</v>
      </c>
      <c r="ES121" s="228">
        <v>460.72</v>
      </c>
      <c r="ET121" s="228">
        <v>245.85</v>
      </c>
      <c r="EU121" s="231">
        <v>3953.19</v>
      </c>
      <c r="EV121" s="231">
        <v>268798007</v>
      </c>
      <c r="EW121" s="231">
        <v>4659.7700000000004</v>
      </c>
      <c r="EX121" s="231">
        <v>5628.24</v>
      </c>
      <c r="EY121" s="228">
        <v>-968.47</v>
      </c>
      <c r="EZ121" s="229">
        <v>-0.1721</v>
      </c>
      <c r="FA121" s="229">
        <v>0.1646</v>
      </c>
      <c r="FB121" s="227" t="s">
        <v>556</v>
      </c>
      <c r="FC121">
        <f t="shared" si="1"/>
        <v>3716</v>
      </c>
    </row>
    <row r="122" spans="1:159" ht="17.25" thickBot="1" x14ac:dyDescent="0.3">
      <c r="A122" s="226">
        <v>45869</v>
      </c>
      <c r="B122" s="227" t="s">
        <v>168</v>
      </c>
      <c r="C122" s="227" t="s">
        <v>245</v>
      </c>
      <c r="D122" s="228">
        <v>1250</v>
      </c>
      <c r="E122" s="228">
        <v>0</v>
      </c>
      <c r="F122" s="228">
        <v>657.95</v>
      </c>
      <c r="G122" s="228">
        <v>658.6</v>
      </c>
      <c r="H122" s="228">
        <v>-0.65</v>
      </c>
      <c r="I122" s="229">
        <v>-1E-3</v>
      </c>
      <c r="J122" s="228">
        <v>655.5</v>
      </c>
      <c r="K122" s="228">
        <v>656</v>
      </c>
      <c r="L122" s="228">
        <v>-0.5</v>
      </c>
      <c r="M122" s="229">
        <v>-8.0000000000000004E-4</v>
      </c>
      <c r="N122" s="228">
        <v>654.75</v>
      </c>
      <c r="O122" s="228">
        <v>655.29999999999995</v>
      </c>
      <c r="P122" s="228">
        <v>-0.55000000000000004</v>
      </c>
      <c r="Q122" s="229">
        <v>-8.0000000000000004E-4</v>
      </c>
      <c r="R122" s="228">
        <v>657.95</v>
      </c>
      <c r="S122" s="228">
        <v>658.6</v>
      </c>
      <c r="T122" s="228">
        <v>-0.65</v>
      </c>
      <c r="U122" s="229">
        <v>-1E-3</v>
      </c>
      <c r="V122" s="228">
        <v>662.15</v>
      </c>
      <c r="W122" s="228">
        <v>662.65</v>
      </c>
      <c r="X122" s="228">
        <v>-0.5</v>
      </c>
      <c r="Y122" s="229">
        <v>-8.0000000000000004E-4</v>
      </c>
      <c r="Z122" s="228">
        <v>2.4500000000000002</v>
      </c>
      <c r="AA122" s="228">
        <v>-0.7</v>
      </c>
      <c r="AB122" s="228">
        <v>3.15</v>
      </c>
      <c r="AC122" s="229">
        <v>3.7000000000000002E-3</v>
      </c>
      <c r="AD122" s="228">
        <v>-0.75</v>
      </c>
      <c r="AE122" s="228">
        <v>-0.7</v>
      </c>
      <c r="AF122" s="228">
        <v>-0.05</v>
      </c>
      <c r="AG122" s="229">
        <v>-1.1000000000000001E-3</v>
      </c>
      <c r="AH122" s="228">
        <v>2.4500000000000002</v>
      </c>
      <c r="AI122" s="228">
        <v>2.6</v>
      </c>
      <c r="AJ122" s="228">
        <v>-0.15</v>
      </c>
      <c r="AK122" s="229">
        <v>3.7000000000000002E-3</v>
      </c>
      <c r="AL122" s="228">
        <v>6.65</v>
      </c>
      <c r="AM122" s="228">
        <v>6.65</v>
      </c>
      <c r="AN122" s="228">
        <v>0</v>
      </c>
      <c r="AO122" s="229">
        <v>1.01E-2</v>
      </c>
      <c r="AP122" s="228">
        <v>656.37</v>
      </c>
      <c r="AQ122" s="228">
        <v>659.78</v>
      </c>
      <c r="AR122" s="228">
        <v>0</v>
      </c>
      <c r="AS122" s="228">
        <v>431</v>
      </c>
      <c r="AT122" s="228">
        <v>731</v>
      </c>
      <c r="AU122" s="228">
        <v>-300</v>
      </c>
      <c r="AV122" s="229">
        <v>-0.40989999999999999</v>
      </c>
      <c r="AW122" s="228">
        <v>197</v>
      </c>
      <c r="AX122" s="228">
        <v>361</v>
      </c>
      <c r="AY122" s="228">
        <v>-164</v>
      </c>
      <c r="AZ122" s="229">
        <v>-0.45329999999999998</v>
      </c>
      <c r="BA122" s="228">
        <v>230</v>
      </c>
      <c r="BB122" s="228">
        <v>366</v>
      </c>
      <c r="BC122" s="228">
        <v>-137</v>
      </c>
      <c r="BD122" s="229">
        <v>-0.37280000000000002</v>
      </c>
      <c r="BE122" s="228">
        <v>4</v>
      </c>
      <c r="BF122" s="228">
        <v>4</v>
      </c>
      <c r="BG122" s="228">
        <v>0</v>
      </c>
      <c r="BH122" s="229">
        <v>0.12770000000000001</v>
      </c>
      <c r="BI122" s="228">
        <v>143</v>
      </c>
      <c r="BJ122" s="228">
        <v>348</v>
      </c>
      <c r="BK122" s="228">
        <v>-205</v>
      </c>
      <c r="BL122" s="229">
        <v>-0.58819999999999995</v>
      </c>
      <c r="BM122" s="228">
        <v>64</v>
      </c>
      <c r="BN122" s="228">
        <v>131</v>
      </c>
      <c r="BO122" s="228">
        <v>-67</v>
      </c>
      <c r="BP122" s="229">
        <v>-0.51029999999999998</v>
      </c>
      <c r="BQ122" s="228">
        <v>639</v>
      </c>
      <c r="BR122" s="230">
        <v>1211</v>
      </c>
      <c r="BS122" s="228">
        <v>-572</v>
      </c>
      <c r="BT122" s="229">
        <v>-0.47210000000000002</v>
      </c>
      <c r="BU122" s="230">
        <v>646000</v>
      </c>
      <c r="BV122" s="230">
        <v>889101</v>
      </c>
      <c r="BW122" s="230">
        <v>-243101</v>
      </c>
      <c r="BX122" s="229">
        <v>-0.27339999999999998</v>
      </c>
      <c r="BY122" s="230">
        <v>1303</v>
      </c>
      <c r="BZ122" s="230">
        <v>1392</v>
      </c>
      <c r="CA122" s="228">
        <v>-89</v>
      </c>
      <c r="CB122" s="229">
        <v>-6.3899999999999998E-2</v>
      </c>
      <c r="CC122" s="228">
        <v>49</v>
      </c>
      <c r="CD122" s="228">
        <v>184</v>
      </c>
      <c r="CE122" s="228">
        <v>-134</v>
      </c>
      <c r="CF122" s="229">
        <v>-0.73119999999999996</v>
      </c>
      <c r="CG122" s="230">
        <v>1293</v>
      </c>
      <c r="CH122" s="230">
        <v>1200</v>
      </c>
      <c r="CI122" s="228">
        <v>93</v>
      </c>
      <c r="CJ122" s="229">
        <v>7.7499999999999999E-2</v>
      </c>
      <c r="CK122" s="228">
        <v>10</v>
      </c>
      <c r="CL122" s="228">
        <v>9</v>
      </c>
      <c r="CM122" s="228">
        <v>2</v>
      </c>
      <c r="CN122" s="229">
        <v>0.1905</v>
      </c>
      <c r="CO122" s="228">
        <v>79</v>
      </c>
      <c r="CP122" s="228">
        <v>423</v>
      </c>
      <c r="CQ122" s="228">
        <v>-345</v>
      </c>
      <c r="CR122" s="229">
        <v>-0.8145</v>
      </c>
      <c r="CS122" s="228">
        <v>63</v>
      </c>
      <c r="CT122" s="228">
        <v>194</v>
      </c>
      <c r="CU122" s="228">
        <v>-130</v>
      </c>
      <c r="CV122" s="229">
        <v>-0.67190000000000005</v>
      </c>
      <c r="CW122" s="230">
        <v>1446</v>
      </c>
      <c r="CX122" s="230">
        <v>2009</v>
      </c>
      <c r="CY122" s="228">
        <v>-564</v>
      </c>
      <c r="CZ122" s="229">
        <v>-0.28060000000000002</v>
      </c>
      <c r="DA122" s="228">
        <v>29.55</v>
      </c>
      <c r="DB122" s="228">
        <v>28.99</v>
      </c>
      <c r="DC122" s="228">
        <v>0.56000000000000005</v>
      </c>
      <c r="DD122" s="228">
        <v>0.56000000000000005</v>
      </c>
      <c r="DE122" s="228">
        <v>35.96</v>
      </c>
      <c r="DF122" s="228">
        <v>36.049999999999997</v>
      </c>
      <c r="DG122" s="228">
        <v>-6.41</v>
      </c>
      <c r="DH122" s="228">
        <v>-0.09</v>
      </c>
      <c r="DI122" s="228">
        <v>29.61</v>
      </c>
      <c r="DJ122" s="228">
        <v>28.84</v>
      </c>
      <c r="DK122" s="228">
        <v>0.77</v>
      </c>
      <c r="DL122" s="228">
        <v>0.77</v>
      </c>
      <c r="DM122" s="228">
        <v>29.41</v>
      </c>
      <c r="DN122" s="228">
        <v>29.31</v>
      </c>
      <c r="DO122" s="228">
        <v>0.1</v>
      </c>
      <c r="DP122" s="228">
        <v>0.1</v>
      </c>
      <c r="DQ122" s="228">
        <v>0.81</v>
      </c>
      <c r="DR122" s="228">
        <v>0.46</v>
      </c>
      <c r="DS122" s="228">
        <v>0.35</v>
      </c>
      <c r="DT122" s="229">
        <v>0.76090000000000002</v>
      </c>
      <c r="DU122" s="228">
        <v>760</v>
      </c>
      <c r="DV122" s="228">
        <v>700</v>
      </c>
      <c r="DW122" s="228">
        <v>0.45</v>
      </c>
      <c r="DX122" s="228">
        <v>0.38</v>
      </c>
      <c r="DY122" s="228">
        <v>7.0000000000000007E-2</v>
      </c>
      <c r="DZ122" s="229">
        <v>0.1842</v>
      </c>
      <c r="EA122" s="229">
        <v>0.96350000000000002</v>
      </c>
      <c r="EB122" s="230">
        <v>18372500</v>
      </c>
      <c r="EC122" s="229">
        <v>4.8999999999999998E-3</v>
      </c>
      <c r="ED122" s="229">
        <v>0.96350000000000002</v>
      </c>
      <c r="EE122" s="228">
        <v>3.41</v>
      </c>
      <c r="EF122" s="229">
        <v>5.1999999999999998E-3</v>
      </c>
      <c r="EG122" s="230">
        <v>385526</v>
      </c>
      <c r="EH122" s="230">
        <v>451460</v>
      </c>
      <c r="EI122" s="229">
        <v>-0.14599999999999999</v>
      </c>
      <c r="EJ122" s="229">
        <v>0.5968</v>
      </c>
      <c r="EK122" s="228">
        <v>149.72999999999999</v>
      </c>
      <c r="EL122" s="228">
        <v>65.959999999999994</v>
      </c>
      <c r="EM122" s="228">
        <v>431.57</v>
      </c>
      <c r="EN122" s="228">
        <v>0</v>
      </c>
      <c r="EO122" s="228">
        <v>647.25</v>
      </c>
      <c r="EP122" s="231">
        <v>1222.6199999999999</v>
      </c>
      <c r="EQ122" s="228">
        <v>-575.37</v>
      </c>
      <c r="ER122" s="229">
        <v>-0.47060000000000002</v>
      </c>
      <c r="ES122" s="228">
        <v>82.1</v>
      </c>
      <c r="ET122" s="228">
        <v>62.35</v>
      </c>
      <c r="EU122" s="231">
        <v>1303.55</v>
      </c>
      <c r="EV122" s="231">
        <v>76179695</v>
      </c>
      <c r="EW122" s="231">
        <v>1448</v>
      </c>
      <c r="EX122" s="231">
        <v>2050.38</v>
      </c>
      <c r="EY122" s="228">
        <v>-602.38</v>
      </c>
      <c r="EZ122" s="229">
        <v>-0.29380000000000001</v>
      </c>
      <c r="FA122" s="229">
        <v>0.28839999999999999</v>
      </c>
      <c r="FB122" s="227" t="s">
        <v>568</v>
      </c>
      <c r="FC122">
        <f t="shared" si="1"/>
        <v>1254</v>
      </c>
    </row>
    <row r="123" spans="1:159" ht="17.25" thickBot="1" x14ac:dyDescent="0.3">
      <c r="A123" s="226">
        <v>45869</v>
      </c>
      <c r="B123" s="227" t="s">
        <v>168</v>
      </c>
      <c r="C123" s="227" t="s">
        <v>583</v>
      </c>
      <c r="D123" s="228">
        <v>1175</v>
      </c>
      <c r="E123" s="228">
        <v>0</v>
      </c>
      <c r="F123" s="228">
        <v>596.70000000000005</v>
      </c>
      <c r="G123" s="228">
        <v>609.4</v>
      </c>
      <c r="H123" s="228">
        <v>-12.7</v>
      </c>
      <c r="I123" s="229">
        <v>-2.0799999999999999E-2</v>
      </c>
      <c r="J123" s="228">
        <v>594.70000000000005</v>
      </c>
      <c r="K123" s="228">
        <v>606.65</v>
      </c>
      <c r="L123" s="228">
        <v>-11.95</v>
      </c>
      <c r="M123" s="229">
        <v>-1.9699999999999999E-2</v>
      </c>
      <c r="N123" s="228">
        <v>594.85</v>
      </c>
      <c r="O123" s="228">
        <v>606.5</v>
      </c>
      <c r="P123" s="228">
        <v>-11.65</v>
      </c>
      <c r="Q123" s="229">
        <v>-1.9199999999999998E-2</v>
      </c>
      <c r="R123" s="228">
        <v>596.70000000000005</v>
      </c>
      <c r="S123" s="228">
        <v>609.4</v>
      </c>
      <c r="T123" s="228">
        <v>-12.7</v>
      </c>
      <c r="U123" s="229">
        <v>-2.0799999999999999E-2</v>
      </c>
      <c r="V123" s="228">
        <v>598.9</v>
      </c>
      <c r="W123" s="228">
        <v>611.75</v>
      </c>
      <c r="X123" s="228">
        <v>-12.85</v>
      </c>
      <c r="Y123" s="229">
        <v>-2.1000000000000001E-2</v>
      </c>
      <c r="Z123" s="228">
        <v>2</v>
      </c>
      <c r="AA123" s="228">
        <v>-0.15</v>
      </c>
      <c r="AB123" s="228">
        <v>2.15</v>
      </c>
      <c r="AC123" s="229">
        <v>3.3999999999999998E-3</v>
      </c>
      <c r="AD123" s="228">
        <v>0.15</v>
      </c>
      <c r="AE123" s="228">
        <v>-0.15</v>
      </c>
      <c r="AF123" s="228">
        <v>0.3</v>
      </c>
      <c r="AG123" s="229">
        <v>2.9999999999999997E-4</v>
      </c>
      <c r="AH123" s="228">
        <v>2</v>
      </c>
      <c r="AI123" s="228">
        <v>2.75</v>
      </c>
      <c r="AJ123" s="228">
        <v>-0.75</v>
      </c>
      <c r="AK123" s="229">
        <v>3.3999999999999998E-3</v>
      </c>
      <c r="AL123" s="228">
        <v>4.2</v>
      </c>
      <c r="AM123" s="228">
        <v>5.0999999999999996</v>
      </c>
      <c r="AN123" s="228">
        <v>-0.9</v>
      </c>
      <c r="AO123" s="229">
        <v>7.1000000000000004E-3</v>
      </c>
      <c r="AP123" s="228">
        <v>596.41</v>
      </c>
      <c r="AQ123" s="228">
        <v>598.91</v>
      </c>
      <c r="AR123" s="228">
        <v>0</v>
      </c>
      <c r="AS123" s="228">
        <v>632</v>
      </c>
      <c r="AT123" s="228">
        <v>734</v>
      </c>
      <c r="AU123" s="228">
        <v>-102</v>
      </c>
      <c r="AV123" s="229">
        <v>-0.1394</v>
      </c>
      <c r="AW123" s="228">
        <v>269</v>
      </c>
      <c r="AX123" s="228">
        <v>363</v>
      </c>
      <c r="AY123" s="228">
        <v>-95</v>
      </c>
      <c r="AZ123" s="229">
        <v>-0.2606</v>
      </c>
      <c r="BA123" s="228">
        <v>351</v>
      </c>
      <c r="BB123" s="228">
        <v>337</v>
      </c>
      <c r="BC123" s="228">
        <v>14</v>
      </c>
      <c r="BD123" s="229">
        <v>4.0500000000000001E-2</v>
      </c>
      <c r="BE123" s="228">
        <v>12</v>
      </c>
      <c r="BF123" s="228">
        <v>33</v>
      </c>
      <c r="BG123" s="228">
        <v>-21</v>
      </c>
      <c r="BH123" s="229">
        <v>-0.64</v>
      </c>
      <c r="BI123" s="228">
        <v>520</v>
      </c>
      <c r="BJ123" s="228">
        <v>591</v>
      </c>
      <c r="BK123" s="228">
        <v>-71</v>
      </c>
      <c r="BL123" s="229">
        <v>-0.12039999999999999</v>
      </c>
      <c r="BM123" s="228">
        <v>238</v>
      </c>
      <c r="BN123" s="228">
        <v>234</v>
      </c>
      <c r="BO123" s="228">
        <v>4</v>
      </c>
      <c r="BP123" s="229">
        <v>1.5299999999999999E-2</v>
      </c>
      <c r="BQ123" s="230">
        <v>1389</v>
      </c>
      <c r="BR123" s="230">
        <v>1559</v>
      </c>
      <c r="BS123" s="228">
        <v>-170</v>
      </c>
      <c r="BT123" s="229">
        <v>-0.109</v>
      </c>
      <c r="BU123" s="230">
        <v>3876971</v>
      </c>
      <c r="BV123" s="230">
        <v>1807656</v>
      </c>
      <c r="BW123" s="230">
        <v>2069315</v>
      </c>
      <c r="BX123" s="229">
        <v>1.1448</v>
      </c>
      <c r="BY123" s="230">
        <v>1195</v>
      </c>
      <c r="BZ123" s="230">
        <v>1347</v>
      </c>
      <c r="CA123" s="228">
        <v>-152</v>
      </c>
      <c r="CB123" s="229">
        <v>-0.11269999999999999</v>
      </c>
      <c r="CC123" s="228">
        <v>96</v>
      </c>
      <c r="CD123" s="228">
        <v>278</v>
      </c>
      <c r="CE123" s="228">
        <v>-182</v>
      </c>
      <c r="CF123" s="229">
        <v>-0.65429999999999999</v>
      </c>
      <c r="CG123" s="230">
        <v>1148</v>
      </c>
      <c r="CH123" s="230">
        <v>1030</v>
      </c>
      <c r="CI123" s="228">
        <v>118</v>
      </c>
      <c r="CJ123" s="229">
        <v>0.1148</v>
      </c>
      <c r="CK123" s="228">
        <v>47</v>
      </c>
      <c r="CL123" s="228">
        <v>39</v>
      </c>
      <c r="CM123" s="228">
        <v>8</v>
      </c>
      <c r="CN123" s="229">
        <v>0.20069999999999999</v>
      </c>
      <c r="CO123" s="228">
        <v>171</v>
      </c>
      <c r="CP123" s="228">
        <v>387</v>
      </c>
      <c r="CQ123" s="228">
        <v>-216</v>
      </c>
      <c r="CR123" s="229">
        <v>-0.55910000000000004</v>
      </c>
      <c r="CS123" s="228">
        <v>95</v>
      </c>
      <c r="CT123" s="228">
        <v>241</v>
      </c>
      <c r="CU123" s="228">
        <v>-146</v>
      </c>
      <c r="CV123" s="229">
        <v>-0.6069</v>
      </c>
      <c r="CW123" s="230">
        <v>1460</v>
      </c>
      <c r="CX123" s="230">
        <v>1974</v>
      </c>
      <c r="CY123" s="228">
        <v>-514</v>
      </c>
      <c r="CZ123" s="229">
        <v>-0.26040000000000002</v>
      </c>
      <c r="DA123" s="228">
        <v>38.78</v>
      </c>
      <c r="DB123" s="228">
        <v>38.67</v>
      </c>
      <c r="DC123" s="228">
        <v>0.11</v>
      </c>
      <c r="DD123" s="228">
        <v>0.11</v>
      </c>
      <c r="DE123" s="228">
        <v>53.6</v>
      </c>
      <c r="DF123" s="228">
        <v>53.67</v>
      </c>
      <c r="DG123" s="228">
        <v>-14.82</v>
      </c>
      <c r="DH123" s="228">
        <v>-7.0000000000000007E-2</v>
      </c>
      <c r="DI123" s="228">
        <v>38.340000000000003</v>
      </c>
      <c r="DJ123" s="228">
        <v>38.08</v>
      </c>
      <c r="DK123" s="228">
        <v>0.26</v>
      </c>
      <c r="DL123" s="228">
        <v>0.26</v>
      </c>
      <c r="DM123" s="228">
        <v>39.78</v>
      </c>
      <c r="DN123" s="228">
        <v>40.04</v>
      </c>
      <c r="DO123" s="228">
        <v>-0.26</v>
      </c>
      <c r="DP123" s="228">
        <v>-0.26</v>
      </c>
      <c r="DQ123" s="228">
        <v>0.55000000000000004</v>
      </c>
      <c r="DR123" s="228">
        <v>0.62</v>
      </c>
      <c r="DS123" s="228">
        <v>-7.0000000000000007E-2</v>
      </c>
      <c r="DT123" s="229">
        <v>-0.1129</v>
      </c>
      <c r="DU123" s="228">
        <v>600</v>
      </c>
      <c r="DV123" s="228">
        <v>600</v>
      </c>
      <c r="DW123" s="228">
        <v>0.46</v>
      </c>
      <c r="DX123" s="228">
        <v>0.4</v>
      </c>
      <c r="DY123" s="228">
        <v>0.06</v>
      </c>
      <c r="DZ123" s="229">
        <v>0.15</v>
      </c>
      <c r="EA123" s="229">
        <v>0.92559999999999998</v>
      </c>
      <c r="EB123" s="230">
        <v>17912875</v>
      </c>
      <c r="EC123" s="229">
        <v>3.0999999999999999E-3</v>
      </c>
      <c r="ED123" s="229">
        <v>0.92559999999999998</v>
      </c>
      <c r="EE123" s="228">
        <v>2.5</v>
      </c>
      <c r="EF123" s="229">
        <v>4.1999999999999997E-3</v>
      </c>
      <c r="EG123" s="230">
        <v>1291148</v>
      </c>
      <c r="EH123" s="230">
        <v>685890</v>
      </c>
      <c r="EI123" s="229">
        <v>0.88239999999999996</v>
      </c>
      <c r="EJ123" s="229">
        <v>0.33300000000000002</v>
      </c>
      <c r="EK123" s="228">
        <v>548.37</v>
      </c>
      <c r="EL123" s="228">
        <v>235.17</v>
      </c>
      <c r="EM123" s="228">
        <v>632.83000000000004</v>
      </c>
      <c r="EN123" s="228">
        <v>0</v>
      </c>
      <c r="EO123" s="231">
        <v>1416.37</v>
      </c>
      <c r="EP123" s="231">
        <v>1590.77</v>
      </c>
      <c r="EQ123" s="228">
        <v>-174.4</v>
      </c>
      <c r="ER123" s="229">
        <v>-0.1096</v>
      </c>
      <c r="ES123" s="228">
        <v>181.76</v>
      </c>
      <c r="ET123" s="228">
        <v>90.41</v>
      </c>
      <c r="EU123" s="231">
        <v>1195.0899999999999</v>
      </c>
      <c r="EV123" s="231">
        <v>76642895</v>
      </c>
      <c r="EW123" s="231">
        <v>1467.27</v>
      </c>
      <c r="EX123" s="231">
        <v>2002.36</v>
      </c>
      <c r="EY123" s="228">
        <v>-535.09</v>
      </c>
      <c r="EZ123" s="229">
        <v>-0.26719999999999999</v>
      </c>
      <c r="FA123" s="229">
        <v>0.31919999999999998</v>
      </c>
      <c r="FB123" s="227" t="s">
        <v>568</v>
      </c>
      <c r="FC123">
        <f t="shared" si="1"/>
        <v>1099</v>
      </c>
    </row>
    <row r="124" spans="1:159" ht="17.25" thickBot="1" x14ac:dyDescent="0.3">
      <c r="A124" s="226">
        <v>45869</v>
      </c>
      <c r="B124" s="227" t="s">
        <v>184</v>
      </c>
      <c r="C124" s="227" t="s">
        <v>678</v>
      </c>
      <c r="D124" s="228">
        <v>100</v>
      </c>
      <c r="E124" s="228">
        <v>0</v>
      </c>
      <c r="F124" s="231">
        <v>6211</v>
      </c>
      <c r="G124" s="231">
        <v>5627.5</v>
      </c>
      <c r="H124" s="228">
        <v>583.5</v>
      </c>
      <c r="I124" s="229">
        <v>0.1037</v>
      </c>
      <c r="J124" s="231">
        <v>6172</v>
      </c>
      <c r="K124" s="231">
        <v>5638</v>
      </c>
      <c r="L124" s="228">
        <v>534</v>
      </c>
      <c r="M124" s="229">
        <v>9.4700000000000006E-2</v>
      </c>
      <c r="N124" s="231">
        <v>6179</v>
      </c>
      <c r="O124" s="231">
        <v>5628</v>
      </c>
      <c r="P124" s="228">
        <v>551</v>
      </c>
      <c r="Q124" s="229">
        <v>9.7900000000000001E-2</v>
      </c>
      <c r="R124" s="231">
        <v>6211</v>
      </c>
      <c r="S124" s="231">
        <v>5627.5</v>
      </c>
      <c r="T124" s="228">
        <v>583.5</v>
      </c>
      <c r="U124" s="229">
        <v>0.1037</v>
      </c>
      <c r="V124" s="231">
        <v>6227.5</v>
      </c>
      <c r="W124" s="231">
        <v>5647</v>
      </c>
      <c r="X124" s="228">
        <v>580.5</v>
      </c>
      <c r="Y124" s="229">
        <v>0.1028</v>
      </c>
      <c r="Z124" s="228">
        <v>39</v>
      </c>
      <c r="AA124" s="228">
        <v>-10</v>
      </c>
      <c r="AB124" s="228">
        <v>49</v>
      </c>
      <c r="AC124" s="229">
        <v>6.3E-3</v>
      </c>
      <c r="AD124" s="228">
        <v>7</v>
      </c>
      <c r="AE124" s="228">
        <v>-10</v>
      </c>
      <c r="AF124" s="228">
        <v>17</v>
      </c>
      <c r="AG124" s="229">
        <v>1.1000000000000001E-3</v>
      </c>
      <c r="AH124" s="228">
        <v>39</v>
      </c>
      <c r="AI124" s="228">
        <v>-10.5</v>
      </c>
      <c r="AJ124" s="228">
        <v>49.5</v>
      </c>
      <c r="AK124" s="229">
        <v>6.3E-3</v>
      </c>
      <c r="AL124" s="228">
        <v>55.5</v>
      </c>
      <c r="AM124" s="228">
        <v>9</v>
      </c>
      <c r="AN124" s="228">
        <v>46.5</v>
      </c>
      <c r="AO124" s="229">
        <v>8.9999999999999993E-3</v>
      </c>
      <c r="AP124" s="231">
        <v>5995.57</v>
      </c>
      <c r="AQ124" s="231">
        <v>6030.2</v>
      </c>
      <c r="AR124" s="228">
        <v>0</v>
      </c>
      <c r="AS124" s="230">
        <v>1754</v>
      </c>
      <c r="AT124" s="228">
        <v>599</v>
      </c>
      <c r="AU124" s="230">
        <v>1155</v>
      </c>
      <c r="AV124" s="229">
        <v>1.9297</v>
      </c>
      <c r="AW124" s="228">
        <v>534</v>
      </c>
      <c r="AX124" s="228">
        <v>238</v>
      </c>
      <c r="AY124" s="228">
        <v>295</v>
      </c>
      <c r="AZ124" s="229">
        <v>1.2398</v>
      </c>
      <c r="BA124" s="230">
        <v>1195</v>
      </c>
      <c r="BB124" s="228">
        <v>356</v>
      </c>
      <c r="BC124" s="228">
        <v>840</v>
      </c>
      <c r="BD124" s="229">
        <v>2.3607</v>
      </c>
      <c r="BE124" s="228">
        <v>25</v>
      </c>
      <c r="BF124" s="228">
        <v>5</v>
      </c>
      <c r="BG124" s="228">
        <v>20</v>
      </c>
      <c r="BH124" s="229">
        <v>4.3377999999999997</v>
      </c>
      <c r="BI124" s="230">
        <v>7389</v>
      </c>
      <c r="BJ124" s="230">
        <v>2772</v>
      </c>
      <c r="BK124" s="230">
        <v>4618</v>
      </c>
      <c r="BL124" s="229">
        <v>1.6658999999999999</v>
      </c>
      <c r="BM124" s="230">
        <v>2719</v>
      </c>
      <c r="BN124" s="228">
        <v>950</v>
      </c>
      <c r="BO124" s="230">
        <v>1769</v>
      </c>
      <c r="BP124" s="229">
        <v>1.8622000000000001</v>
      </c>
      <c r="BQ124" s="230">
        <v>11862</v>
      </c>
      <c r="BR124" s="230">
        <v>4320</v>
      </c>
      <c r="BS124" s="230">
        <v>7542</v>
      </c>
      <c r="BT124" s="229">
        <v>1.7456</v>
      </c>
      <c r="BU124" s="230">
        <v>4093666</v>
      </c>
      <c r="BV124" s="230">
        <v>766144</v>
      </c>
      <c r="BW124" s="230">
        <v>3327522</v>
      </c>
      <c r="BX124" s="229">
        <v>4.3432000000000004</v>
      </c>
      <c r="BY124" s="228">
        <v>428</v>
      </c>
      <c r="BZ124" s="228">
        <v>408</v>
      </c>
      <c r="CA124" s="228">
        <v>20</v>
      </c>
      <c r="CB124" s="229">
        <v>4.8800000000000003E-2</v>
      </c>
      <c r="CC124" s="228">
        <v>49</v>
      </c>
      <c r="CD124" s="228">
        <v>115</v>
      </c>
      <c r="CE124" s="228">
        <v>-65</v>
      </c>
      <c r="CF124" s="229">
        <v>-0.56830000000000003</v>
      </c>
      <c r="CG124" s="228">
        <v>420</v>
      </c>
      <c r="CH124" s="228">
        <v>285</v>
      </c>
      <c r="CI124" s="228">
        <v>134</v>
      </c>
      <c r="CJ124" s="229">
        <v>0.47139999999999999</v>
      </c>
      <c r="CK124" s="228">
        <v>8</v>
      </c>
      <c r="CL124" s="228">
        <v>8</v>
      </c>
      <c r="CM124" s="228">
        <v>0</v>
      </c>
      <c r="CN124" s="229">
        <v>-7.9000000000000008E-3</v>
      </c>
      <c r="CO124" s="228">
        <v>320</v>
      </c>
      <c r="CP124" s="228">
        <v>428</v>
      </c>
      <c r="CQ124" s="228">
        <v>-108</v>
      </c>
      <c r="CR124" s="229">
        <v>-0.25219999999999998</v>
      </c>
      <c r="CS124" s="228">
        <v>215</v>
      </c>
      <c r="CT124" s="228">
        <v>260</v>
      </c>
      <c r="CU124" s="228">
        <v>-45</v>
      </c>
      <c r="CV124" s="229">
        <v>-0.1719</v>
      </c>
      <c r="CW124" s="228">
        <v>963</v>
      </c>
      <c r="CX124" s="230">
        <v>1095</v>
      </c>
      <c r="CY124" s="228">
        <v>-133</v>
      </c>
      <c r="CZ124" s="229">
        <v>-0.1211</v>
      </c>
      <c r="DA124" s="228">
        <v>37.49</v>
      </c>
      <c r="DB124" s="228">
        <v>42.22</v>
      </c>
      <c r="DC124" s="228">
        <v>-4.7300000000000004</v>
      </c>
      <c r="DD124" s="228">
        <v>-4.7300000000000004</v>
      </c>
      <c r="DE124" s="228">
        <v>58.88</v>
      </c>
      <c r="DF124" s="228">
        <v>57.5</v>
      </c>
      <c r="DG124" s="228">
        <v>-21.39</v>
      </c>
      <c r="DH124" s="228">
        <v>1.38</v>
      </c>
      <c r="DI124" s="228">
        <v>36.869999999999997</v>
      </c>
      <c r="DJ124" s="228">
        <v>41.89</v>
      </c>
      <c r="DK124" s="228">
        <v>-5.0199999999999996</v>
      </c>
      <c r="DL124" s="228">
        <v>-5.0199999999999996</v>
      </c>
      <c r="DM124" s="228">
        <v>39.22</v>
      </c>
      <c r="DN124" s="228">
        <v>43.35</v>
      </c>
      <c r="DO124" s="228">
        <v>-4.13</v>
      </c>
      <c r="DP124" s="228">
        <v>-4.13</v>
      </c>
      <c r="DQ124" s="228">
        <v>0.67</v>
      </c>
      <c r="DR124" s="228">
        <v>0.61</v>
      </c>
      <c r="DS124" s="228">
        <v>0.06</v>
      </c>
      <c r="DT124" s="229">
        <v>9.8400000000000001E-2</v>
      </c>
      <c r="DU124" s="231">
        <v>7000</v>
      </c>
      <c r="DV124" s="231">
        <v>6000</v>
      </c>
      <c r="DW124" s="228">
        <v>0.37</v>
      </c>
      <c r="DX124" s="228">
        <v>0.34</v>
      </c>
      <c r="DY124" s="228">
        <v>0.03</v>
      </c>
      <c r="DZ124" s="229">
        <v>8.8200000000000001E-2</v>
      </c>
      <c r="EA124" s="229">
        <v>0.89629999999999999</v>
      </c>
      <c r="EB124" s="230">
        <v>471900</v>
      </c>
      <c r="EC124" s="229">
        <v>5.1999999999999998E-3</v>
      </c>
      <c r="ED124" s="229">
        <v>0.89629999999999999</v>
      </c>
      <c r="EE124" s="228">
        <v>34.630000000000003</v>
      </c>
      <c r="EF124" s="229">
        <v>5.7999999999999996E-3</v>
      </c>
      <c r="EG124" s="230">
        <v>857541</v>
      </c>
      <c r="EH124" s="230">
        <v>130775</v>
      </c>
      <c r="EI124" s="229">
        <v>5.5574000000000003</v>
      </c>
      <c r="EJ124" s="229">
        <v>0.20949999999999999</v>
      </c>
      <c r="EK124" s="231">
        <v>7542.56</v>
      </c>
      <c r="EL124" s="231">
        <v>2547.35</v>
      </c>
      <c r="EM124" s="231">
        <v>1699.87</v>
      </c>
      <c r="EN124" s="228">
        <v>0</v>
      </c>
      <c r="EO124" s="231">
        <v>11789.78</v>
      </c>
      <c r="EP124" s="231">
        <v>4081.9</v>
      </c>
      <c r="EQ124" s="231">
        <v>7707.87</v>
      </c>
      <c r="ER124" s="229">
        <v>1.8883000000000001</v>
      </c>
      <c r="ES124" s="228">
        <v>328.53</v>
      </c>
      <c r="ET124" s="228">
        <v>199.76</v>
      </c>
      <c r="EU124" s="228">
        <v>427.52</v>
      </c>
      <c r="EV124" s="231">
        <v>5409447</v>
      </c>
      <c r="EW124" s="228">
        <v>955.81</v>
      </c>
      <c r="EX124" s="231">
        <v>1023.65</v>
      </c>
      <c r="EY124" s="228">
        <v>-67.84</v>
      </c>
      <c r="EZ124" s="229">
        <v>-6.6299999999999998E-2</v>
      </c>
      <c r="FA124" s="229">
        <v>0.28649999999999998</v>
      </c>
      <c r="FB124" s="227" t="s">
        <v>555</v>
      </c>
      <c r="FC124">
        <f t="shared" si="1"/>
        <v>379</v>
      </c>
    </row>
    <row r="125" spans="1:159" ht="17.25" thickBot="1" x14ac:dyDescent="0.3">
      <c r="A125" s="226">
        <v>45869</v>
      </c>
      <c r="B125" s="227" t="s">
        <v>161</v>
      </c>
      <c r="C125" s="227" t="s">
        <v>611</v>
      </c>
      <c r="D125" s="228">
        <v>175</v>
      </c>
      <c r="E125" s="228">
        <v>0</v>
      </c>
      <c r="F125" s="231">
        <v>3866.8</v>
      </c>
      <c r="G125" s="231">
        <v>3923.6</v>
      </c>
      <c r="H125" s="228">
        <v>-56.8</v>
      </c>
      <c r="I125" s="229">
        <v>-1.4500000000000001E-2</v>
      </c>
      <c r="J125" s="231">
        <v>3844.2</v>
      </c>
      <c r="K125" s="231">
        <v>3901.4</v>
      </c>
      <c r="L125" s="228">
        <v>-57.2</v>
      </c>
      <c r="M125" s="229">
        <v>-1.47E-2</v>
      </c>
      <c r="N125" s="231">
        <v>3853.3</v>
      </c>
      <c r="O125" s="231">
        <v>3904.1</v>
      </c>
      <c r="P125" s="228">
        <v>-50.8</v>
      </c>
      <c r="Q125" s="229">
        <v>-1.2999999999999999E-2</v>
      </c>
      <c r="R125" s="231">
        <v>3866.8</v>
      </c>
      <c r="S125" s="231">
        <v>3923.6</v>
      </c>
      <c r="T125" s="228">
        <v>-56.8</v>
      </c>
      <c r="U125" s="229">
        <v>-1.4500000000000001E-2</v>
      </c>
      <c r="V125" s="231">
        <v>3884.6</v>
      </c>
      <c r="W125" s="231">
        <v>3943.6</v>
      </c>
      <c r="X125" s="228">
        <v>-59</v>
      </c>
      <c r="Y125" s="229">
        <v>-1.4999999999999999E-2</v>
      </c>
      <c r="Z125" s="228">
        <v>22.6</v>
      </c>
      <c r="AA125" s="228">
        <v>2.7</v>
      </c>
      <c r="AB125" s="228">
        <v>19.899999999999999</v>
      </c>
      <c r="AC125" s="229">
        <v>5.8999999999999999E-3</v>
      </c>
      <c r="AD125" s="228">
        <v>9.1</v>
      </c>
      <c r="AE125" s="228">
        <v>2.7</v>
      </c>
      <c r="AF125" s="228">
        <v>6.4</v>
      </c>
      <c r="AG125" s="229">
        <v>2.3999999999999998E-3</v>
      </c>
      <c r="AH125" s="228">
        <v>22.6</v>
      </c>
      <c r="AI125" s="228">
        <v>22.2</v>
      </c>
      <c r="AJ125" s="228">
        <v>0.4</v>
      </c>
      <c r="AK125" s="229">
        <v>5.8999999999999999E-3</v>
      </c>
      <c r="AL125" s="228">
        <v>40.4</v>
      </c>
      <c r="AM125" s="228">
        <v>42.2</v>
      </c>
      <c r="AN125" s="228">
        <v>-1.8</v>
      </c>
      <c r="AO125" s="229">
        <v>1.0500000000000001E-2</v>
      </c>
      <c r="AP125" s="231">
        <v>3836.42</v>
      </c>
      <c r="AQ125" s="231">
        <v>3849.3</v>
      </c>
      <c r="AR125" s="228">
        <v>0</v>
      </c>
      <c r="AS125" s="228">
        <v>403</v>
      </c>
      <c r="AT125" s="228">
        <v>287</v>
      </c>
      <c r="AU125" s="228">
        <v>116</v>
      </c>
      <c r="AV125" s="229">
        <v>0.40479999999999999</v>
      </c>
      <c r="AW125" s="228">
        <v>150</v>
      </c>
      <c r="AX125" s="228">
        <v>140</v>
      </c>
      <c r="AY125" s="228">
        <v>10</v>
      </c>
      <c r="AZ125" s="229">
        <v>6.8900000000000003E-2</v>
      </c>
      <c r="BA125" s="228">
        <v>249</v>
      </c>
      <c r="BB125" s="228">
        <v>146</v>
      </c>
      <c r="BC125" s="228">
        <v>104</v>
      </c>
      <c r="BD125" s="229">
        <v>0.71060000000000001</v>
      </c>
      <c r="BE125" s="228">
        <v>3</v>
      </c>
      <c r="BF125" s="228">
        <v>1</v>
      </c>
      <c r="BG125" s="228">
        <v>3</v>
      </c>
      <c r="BH125" s="229">
        <v>4.6666999999999996</v>
      </c>
      <c r="BI125" s="228">
        <v>415</v>
      </c>
      <c r="BJ125" s="228">
        <v>510</v>
      </c>
      <c r="BK125" s="228">
        <v>-95</v>
      </c>
      <c r="BL125" s="229">
        <v>-0.18579999999999999</v>
      </c>
      <c r="BM125" s="228">
        <v>169</v>
      </c>
      <c r="BN125" s="228">
        <v>171</v>
      </c>
      <c r="BO125" s="228">
        <v>-3</v>
      </c>
      <c r="BP125" s="229">
        <v>-1.46E-2</v>
      </c>
      <c r="BQ125" s="228">
        <v>987</v>
      </c>
      <c r="BR125" s="228">
        <v>968</v>
      </c>
      <c r="BS125" s="228">
        <v>19</v>
      </c>
      <c r="BT125" s="229">
        <v>1.9400000000000001E-2</v>
      </c>
      <c r="BU125" s="230">
        <v>365494</v>
      </c>
      <c r="BV125" s="230">
        <v>159698</v>
      </c>
      <c r="BW125" s="230">
        <v>205796</v>
      </c>
      <c r="BX125" s="229">
        <v>1.2887</v>
      </c>
      <c r="BY125" s="228">
        <v>341</v>
      </c>
      <c r="BZ125" s="228">
        <v>429</v>
      </c>
      <c r="CA125" s="228">
        <v>-88</v>
      </c>
      <c r="CB125" s="229">
        <v>-0.20499999999999999</v>
      </c>
      <c r="CC125" s="228">
        <v>81</v>
      </c>
      <c r="CD125" s="228">
        <v>134</v>
      </c>
      <c r="CE125" s="228">
        <v>-53</v>
      </c>
      <c r="CF125" s="229">
        <v>-0.39279999999999998</v>
      </c>
      <c r="CG125" s="228">
        <v>336</v>
      </c>
      <c r="CH125" s="228">
        <v>291</v>
      </c>
      <c r="CI125" s="228">
        <v>45</v>
      </c>
      <c r="CJ125" s="229">
        <v>0.153</v>
      </c>
      <c r="CK125" s="228">
        <v>5</v>
      </c>
      <c r="CL125" s="228">
        <v>4</v>
      </c>
      <c r="CM125" s="228">
        <v>1</v>
      </c>
      <c r="CN125" s="229">
        <v>0.37040000000000001</v>
      </c>
      <c r="CO125" s="228">
        <v>73</v>
      </c>
      <c r="CP125" s="228">
        <v>290</v>
      </c>
      <c r="CQ125" s="228">
        <v>-217</v>
      </c>
      <c r="CR125" s="229">
        <v>-0.74729999999999996</v>
      </c>
      <c r="CS125" s="228">
        <v>43</v>
      </c>
      <c r="CT125" s="228">
        <v>163</v>
      </c>
      <c r="CU125" s="228">
        <v>-120</v>
      </c>
      <c r="CV125" s="229">
        <v>-0.73619999999999997</v>
      </c>
      <c r="CW125" s="228">
        <v>457</v>
      </c>
      <c r="CX125" s="228">
        <v>882</v>
      </c>
      <c r="CY125" s="228">
        <v>-424</v>
      </c>
      <c r="CZ125" s="229">
        <v>-0.48139999999999999</v>
      </c>
      <c r="DA125" s="228">
        <v>30.24</v>
      </c>
      <c r="DB125" s="228">
        <v>31.88</v>
      </c>
      <c r="DC125" s="228">
        <v>-1.64</v>
      </c>
      <c r="DD125" s="228">
        <v>-1.64</v>
      </c>
      <c r="DE125" s="228">
        <v>53.09</v>
      </c>
      <c r="DF125" s="228">
        <v>53.19</v>
      </c>
      <c r="DG125" s="228">
        <v>-22.85</v>
      </c>
      <c r="DH125" s="228">
        <v>-0.1</v>
      </c>
      <c r="DI125" s="228">
        <v>30.42</v>
      </c>
      <c r="DJ125" s="228">
        <v>32.08</v>
      </c>
      <c r="DK125" s="228">
        <v>-1.66</v>
      </c>
      <c r="DL125" s="228">
        <v>-1.66</v>
      </c>
      <c r="DM125" s="228">
        <v>29.95</v>
      </c>
      <c r="DN125" s="228">
        <v>31.66</v>
      </c>
      <c r="DO125" s="228">
        <v>-1.71</v>
      </c>
      <c r="DP125" s="228">
        <v>-1.71</v>
      </c>
      <c r="DQ125" s="228">
        <v>0.59</v>
      </c>
      <c r="DR125" s="228">
        <v>0.56000000000000005</v>
      </c>
      <c r="DS125" s="228">
        <v>0.03</v>
      </c>
      <c r="DT125" s="229">
        <v>5.3600000000000002E-2</v>
      </c>
      <c r="DU125" s="231">
        <v>4000</v>
      </c>
      <c r="DV125" s="231">
        <v>3800</v>
      </c>
      <c r="DW125" s="228">
        <v>0.41</v>
      </c>
      <c r="DX125" s="228">
        <v>0.34</v>
      </c>
      <c r="DY125" s="228">
        <v>7.0000000000000007E-2</v>
      </c>
      <c r="DZ125" s="229">
        <v>0.2059</v>
      </c>
      <c r="EA125" s="229">
        <v>0.8075</v>
      </c>
      <c r="EB125" s="230">
        <v>763000</v>
      </c>
      <c r="EC125" s="229">
        <v>3.5000000000000001E-3</v>
      </c>
      <c r="ED125" s="229">
        <v>0.8075</v>
      </c>
      <c r="EE125" s="228">
        <v>12.88</v>
      </c>
      <c r="EF125" s="229">
        <v>3.3999999999999998E-3</v>
      </c>
      <c r="EG125" s="230">
        <v>157299</v>
      </c>
      <c r="EH125" s="230">
        <v>62986</v>
      </c>
      <c r="EI125" s="229">
        <v>1.4974000000000001</v>
      </c>
      <c r="EJ125" s="229">
        <v>0.4304</v>
      </c>
      <c r="EK125" s="228">
        <v>429.62</v>
      </c>
      <c r="EL125" s="228">
        <v>169.21</v>
      </c>
      <c r="EM125" s="228">
        <v>400.45</v>
      </c>
      <c r="EN125" s="228">
        <v>0</v>
      </c>
      <c r="EO125" s="228">
        <v>999.28</v>
      </c>
      <c r="EP125" s="228">
        <v>997.1</v>
      </c>
      <c r="EQ125" s="228">
        <v>2.1800000000000002</v>
      </c>
      <c r="ER125" s="229">
        <v>2.2000000000000001E-3</v>
      </c>
      <c r="ES125" s="228">
        <v>77.28</v>
      </c>
      <c r="ET125" s="228">
        <v>42.93</v>
      </c>
      <c r="EU125" s="228">
        <v>341.01</v>
      </c>
      <c r="EV125" s="231">
        <v>12418320</v>
      </c>
      <c r="EW125" s="228">
        <v>461.21</v>
      </c>
      <c r="EX125" s="228">
        <v>898.17</v>
      </c>
      <c r="EY125" s="228">
        <v>-436.96</v>
      </c>
      <c r="EZ125" s="229">
        <v>-0.48649999999999999</v>
      </c>
      <c r="FA125" s="229">
        <v>9.5200000000000007E-2</v>
      </c>
      <c r="FB125" s="227" t="s">
        <v>568</v>
      </c>
      <c r="FC125">
        <f t="shared" si="1"/>
        <v>260</v>
      </c>
    </row>
    <row r="126" spans="1:159" ht="17.25" thickBot="1" x14ac:dyDescent="0.3">
      <c r="A126" s="226">
        <v>45869</v>
      </c>
      <c r="B126" s="227" t="s">
        <v>175</v>
      </c>
      <c r="C126" s="227" t="s">
        <v>685</v>
      </c>
      <c r="D126" s="228">
        <v>450</v>
      </c>
      <c r="E126" s="228">
        <v>0</v>
      </c>
      <c r="F126" s="231">
        <v>1081.4000000000001</v>
      </c>
      <c r="G126" s="231">
        <v>1109.0999999999999</v>
      </c>
      <c r="H126" s="228">
        <v>-27.7</v>
      </c>
      <c r="I126" s="229">
        <v>-2.5000000000000001E-2</v>
      </c>
      <c r="J126" s="231">
        <v>1082.9000000000001</v>
      </c>
      <c r="K126" s="231">
        <v>1109.2</v>
      </c>
      <c r="L126" s="228">
        <v>-26.3</v>
      </c>
      <c r="M126" s="229">
        <v>-2.3699999999999999E-2</v>
      </c>
      <c r="N126" s="231">
        <v>1084.3</v>
      </c>
      <c r="O126" s="231">
        <v>1110.7</v>
      </c>
      <c r="P126" s="228">
        <v>-26.4</v>
      </c>
      <c r="Q126" s="229">
        <v>-2.3800000000000002E-2</v>
      </c>
      <c r="R126" s="231">
        <v>1081.4000000000001</v>
      </c>
      <c r="S126" s="231">
        <v>1109.0999999999999</v>
      </c>
      <c r="T126" s="228">
        <v>-27.7</v>
      </c>
      <c r="U126" s="229">
        <v>-2.5000000000000001E-2</v>
      </c>
      <c r="V126" s="231">
        <v>1089.0999999999999</v>
      </c>
      <c r="W126" s="231">
        <v>1114.5</v>
      </c>
      <c r="X126" s="228">
        <v>-25.4</v>
      </c>
      <c r="Y126" s="229">
        <v>-2.2800000000000001E-2</v>
      </c>
      <c r="Z126" s="228">
        <v>-1.5</v>
      </c>
      <c r="AA126" s="228">
        <v>1.5</v>
      </c>
      <c r="AB126" s="228">
        <v>-3</v>
      </c>
      <c r="AC126" s="229">
        <v>-1.4E-3</v>
      </c>
      <c r="AD126" s="228">
        <v>1.4</v>
      </c>
      <c r="AE126" s="228">
        <v>1.5</v>
      </c>
      <c r="AF126" s="228">
        <v>-0.1</v>
      </c>
      <c r="AG126" s="229">
        <v>1.2999999999999999E-3</v>
      </c>
      <c r="AH126" s="228">
        <v>-1.5</v>
      </c>
      <c r="AI126" s="228">
        <v>-0.1</v>
      </c>
      <c r="AJ126" s="228">
        <v>-1.4</v>
      </c>
      <c r="AK126" s="229">
        <v>-1.4E-3</v>
      </c>
      <c r="AL126" s="228">
        <v>6.2</v>
      </c>
      <c r="AM126" s="228">
        <v>5.3</v>
      </c>
      <c r="AN126" s="228">
        <v>0.9</v>
      </c>
      <c r="AO126" s="229">
        <v>5.7000000000000002E-3</v>
      </c>
      <c r="AP126" s="231">
        <v>1091.74</v>
      </c>
      <c r="AQ126" s="231">
        <v>1089.58</v>
      </c>
      <c r="AR126" s="228">
        <v>0</v>
      </c>
      <c r="AS126" s="228">
        <v>184</v>
      </c>
      <c r="AT126" s="228">
        <v>164</v>
      </c>
      <c r="AU126" s="228">
        <v>20</v>
      </c>
      <c r="AV126" s="229">
        <v>0.1191</v>
      </c>
      <c r="AW126" s="228">
        <v>64</v>
      </c>
      <c r="AX126" s="228">
        <v>55</v>
      </c>
      <c r="AY126" s="228">
        <v>9</v>
      </c>
      <c r="AZ126" s="229">
        <v>0.1686</v>
      </c>
      <c r="BA126" s="228">
        <v>117</v>
      </c>
      <c r="BB126" s="228">
        <v>107</v>
      </c>
      <c r="BC126" s="228">
        <v>10</v>
      </c>
      <c r="BD126" s="229">
        <v>8.9300000000000004E-2</v>
      </c>
      <c r="BE126" s="228">
        <v>2</v>
      </c>
      <c r="BF126" s="228">
        <v>2</v>
      </c>
      <c r="BG126" s="228">
        <v>1</v>
      </c>
      <c r="BH126" s="229">
        <v>0.4</v>
      </c>
      <c r="BI126" s="228">
        <v>95</v>
      </c>
      <c r="BJ126" s="228">
        <v>169</v>
      </c>
      <c r="BK126" s="228">
        <v>-74</v>
      </c>
      <c r="BL126" s="229">
        <v>-0.43990000000000001</v>
      </c>
      <c r="BM126" s="228">
        <v>88</v>
      </c>
      <c r="BN126" s="228">
        <v>71</v>
      </c>
      <c r="BO126" s="228">
        <v>17</v>
      </c>
      <c r="BP126" s="229">
        <v>0.24590000000000001</v>
      </c>
      <c r="BQ126" s="228">
        <v>367</v>
      </c>
      <c r="BR126" s="228">
        <v>404</v>
      </c>
      <c r="BS126" s="228">
        <v>-37</v>
      </c>
      <c r="BT126" s="229">
        <v>-9.2299999999999993E-2</v>
      </c>
      <c r="BU126" s="230">
        <v>1397644</v>
      </c>
      <c r="BV126" s="230">
        <v>1341873</v>
      </c>
      <c r="BW126" s="230">
        <v>55771</v>
      </c>
      <c r="BX126" s="229">
        <v>4.1599999999999998E-2</v>
      </c>
      <c r="BY126" s="228">
        <v>246</v>
      </c>
      <c r="BZ126" s="228">
        <v>244</v>
      </c>
      <c r="CA126" s="228">
        <v>2</v>
      </c>
      <c r="CB126" s="229">
        <v>7.0000000000000001E-3</v>
      </c>
      <c r="CC126" s="228">
        <v>10</v>
      </c>
      <c r="CD126" s="228">
        <v>31</v>
      </c>
      <c r="CE126" s="228">
        <v>-21</v>
      </c>
      <c r="CF126" s="229">
        <v>-0.68679999999999997</v>
      </c>
      <c r="CG126" s="228">
        <v>240</v>
      </c>
      <c r="CH126" s="228">
        <v>210</v>
      </c>
      <c r="CI126" s="228">
        <v>31</v>
      </c>
      <c r="CJ126" s="229">
        <v>0.1454</v>
      </c>
      <c r="CK126" s="228">
        <v>6</v>
      </c>
      <c r="CL126" s="228">
        <v>4</v>
      </c>
      <c r="CM126" s="228">
        <v>2</v>
      </c>
      <c r="CN126" s="229">
        <v>0.45679999999999998</v>
      </c>
      <c r="CO126" s="228">
        <v>43</v>
      </c>
      <c r="CP126" s="228">
        <v>138</v>
      </c>
      <c r="CQ126" s="228">
        <v>-95</v>
      </c>
      <c r="CR126" s="229">
        <v>-0.68879999999999997</v>
      </c>
      <c r="CS126" s="228">
        <v>31</v>
      </c>
      <c r="CT126" s="228">
        <v>66</v>
      </c>
      <c r="CU126" s="228">
        <v>-35</v>
      </c>
      <c r="CV126" s="229">
        <v>-0.52590000000000003</v>
      </c>
      <c r="CW126" s="228">
        <v>320</v>
      </c>
      <c r="CX126" s="228">
        <v>448</v>
      </c>
      <c r="CY126" s="228">
        <v>-128</v>
      </c>
      <c r="CZ126" s="229">
        <v>-0.28570000000000001</v>
      </c>
      <c r="DA126" s="228">
        <v>40.32</v>
      </c>
      <c r="DB126" s="228">
        <v>37.549999999999997</v>
      </c>
      <c r="DC126" s="228">
        <v>2.77</v>
      </c>
      <c r="DD126" s="228">
        <v>2.77</v>
      </c>
      <c r="DE126" s="228">
        <v>60.3</v>
      </c>
      <c r="DF126" s="228">
        <v>60.36</v>
      </c>
      <c r="DG126" s="228">
        <v>-19.98</v>
      </c>
      <c r="DH126" s="228">
        <v>-0.06</v>
      </c>
      <c r="DI126" s="228">
        <v>39.9</v>
      </c>
      <c r="DJ126" s="228">
        <v>38.1</v>
      </c>
      <c r="DK126" s="228">
        <v>1.8</v>
      </c>
      <c r="DL126" s="228">
        <v>1.8</v>
      </c>
      <c r="DM126" s="228">
        <v>40.78</v>
      </c>
      <c r="DN126" s="228">
        <v>36.979999999999997</v>
      </c>
      <c r="DO126" s="228">
        <v>3.8</v>
      </c>
      <c r="DP126" s="228">
        <v>3.8</v>
      </c>
      <c r="DQ126" s="228">
        <v>0.73</v>
      </c>
      <c r="DR126" s="228">
        <v>0.48</v>
      </c>
      <c r="DS126" s="228">
        <v>0.25</v>
      </c>
      <c r="DT126" s="229">
        <v>0.52080000000000004</v>
      </c>
      <c r="DU126" s="231">
        <v>1300</v>
      </c>
      <c r="DV126" s="231">
        <v>1100</v>
      </c>
      <c r="DW126" s="228">
        <v>0.93</v>
      </c>
      <c r="DX126" s="228">
        <v>0.42</v>
      </c>
      <c r="DY126" s="228">
        <v>0.51</v>
      </c>
      <c r="DZ126" s="229">
        <v>1.2142999999999999</v>
      </c>
      <c r="EA126" s="229">
        <v>0.96250000000000002</v>
      </c>
      <c r="EB126" s="230">
        <v>1977300</v>
      </c>
      <c r="EC126" s="229">
        <v>-2.7000000000000001E-3</v>
      </c>
      <c r="ED126" s="229">
        <v>0.96250000000000002</v>
      </c>
      <c r="EE126" s="228">
        <v>-2.16</v>
      </c>
      <c r="EF126" s="229">
        <v>-2E-3</v>
      </c>
      <c r="EG126" s="230">
        <v>665394</v>
      </c>
      <c r="EH126" s="230">
        <v>781039</v>
      </c>
      <c r="EI126" s="229">
        <v>-0.14810000000000001</v>
      </c>
      <c r="EJ126" s="229">
        <v>0.47610000000000002</v>
      </c>
      <c r="EK126" s="228">
        <v>106.05</v>
      </c>
      <c r="EL126" s="228">
        <v>89.23</v>
      </c>
      <c r="EM126" s="228">
        <v>185.28</v>
      </c>
      <c r="EN126" s="228">
        <v>0</v>
      </c>
      <c r="EO126" s="228">
        <v>380.56</v>
      </c>
      <c r="EP126" s="228">
        <v>431.23</v>
      </c>
      <c r="EQ126" s="228">
        <v>-50.67</v>
      </c>
      <c r="ER126" s="229">
        <v>-0.11749999999999999</v>
      </c>
      <c r="ES126" s="228">
        <v>47.98</v>
      </c>
      <c r="ET126" s="228">
        <v>31.6</v>
      </c>
      <c r="EU126" s="228">
        <v>246.18</v>
      </c>
      <c r="EV126" s="231">
        <v>23088182</v>
      </c>
      <c r="EW126" s="228">
        <v>325.76</v>
      </c>
      <c r="EX126" s="228">
        <v>484.04</v>
      </c>
      <c r="EY126" s="228">
        <v>-158.28</v>
      </c>
      <c r="EZ126" s="229">
        <v>-0.32700000000000001</v>
      </c>
      <c r="FA126" s="229">
        <v>0.1283</v>
      </c>
      <c r="FB126" s="227" t="s">
        <v>567</v>
      </c>
      <c r="FC126">
        <f t="shared" si="1"/>
        <v>236</v>
      </c>
    </row>
    <row r="127" spans="1:159" ht="17.25" thickBot="1" x14ac:dyDescent="0.3">
      <c r="A127" s="226">
        <v>45869</v>
      </c>
      <c r="B127" s="227" t="s">
        <v>172</v>
      </c>
      <c r="C127" s="227" t="s">
        <v>246</v>
      </c>
      <c r="D127" s="228">
        <v>400</v>
      </c>
      <c r="E127" s="228">
        <v>0</v>
      </c>
      <c r="F127" s="231">
        <v>1990.3</v>
      </c>
      <c r="G127" s="231">
        <v>1971.5</v>
      </c>
      <c r="H127" s="228">
        <v>18.8</v>
      </c>
      <c r="I127" s="229">
        <v>9.4999999999999998E-3</v>
      </c>
      <c r="J127" s="231">
        <v>1978.6</v>
      </c>
      <c r="K127" s="231">
        <v>1959.7</v>
      </c>
      <c r="L127" s="228">
        <v>18.899999999999999</v>
      </c>
      <c r="M127" s="229">
        <v>9.5999999999999992E-3</v>
      </c>
      <c r="N127" s="231">
        <v>1978.6</v>
      </c>
      <c r="O127" s="231">
        <v>1960.7</v>
      </c>
      <c r="P127" s="228">
        <v>17.899999999999999</v>
      </c>
      <c r="Q127" s="229">
        <v>9.1000000000000004E-3</v>
      </c>
      <c r="R127" s="231">
        <v>1990.3</v>
      </c>
      <c r="S127" s="231">
        <v>1971.5</v>
      </c>
      <c r="T127" s="228">
        <v>18.8</v>
      </c>
      <c r="U127" s="229">
        <v>9.4999999999999998E-3</v>
      </c>
      <c r="V127" s="231">
        <v>2001.6</v>
      </c>
      <c r="W127" s="231">
        <v>1983.8</v>
      </c>
      <c r="X127" s="228">
        <v>17.8</v>
      </c>
      <c r="Y127" s="229">
        <v>8.9999999999999993E-3</v>
      </c>
      <c r="Z127" s="228">
        <v>11.7</v>
      </c>
      <c r="AA127" s="228">
        <v>1</v>
      </c>
      <c r="AB127" s="228">
        <v>10.7</v>
      </c>
      <c r="AC127" s="229">
        <v>5.8999999999999999E-3</v>
      </c>
      <c r="AD127" s="228">
        <v>0</v>
      </c>
      <c r="AE127" s="228">
        <v>1</v>
      </c>
      <c r="AF127" s="228">
        <v>-1</v>
      </c>
      <c r="AG127" s="229">
        <v>0</v>
      </c>
      <c r="AH127" s="228">
        <v>11.7</v>
      </c>
      <c r="AI127" s="228">
        <v>11.8</v>
      </c>
      <c r="AJ127" s="228">
        <v>-0.1</v>
      </c>
      <c r="AK127" s="229">
        <v>5.8999999999999999E-3</v>
      </c>
      <c r="AL127" s="228">
        <v>23</v>
      </c>
      <c r="AM127" s="228">
        <v>24.1</v>
      </c>
      <c r="AN127" s="228">
        <v>-1.1000000000000001</v>
      </c>
      <c r="AO127" s="229">
        <v>1.1599999999999999E-2</v>
      </c>
      <c r="AP127" s="231">
        <v>1961.58</v>
      </c>
      <c r="AQ127" s="231">
        <v>1977.17</v>
      </c>
      <c r="AR127" s="228">
        <v>0</v>
      </c>
      <c r="AS127" s="230">
        <v>3891</v>
      </c>
      <c r="AT127" s="230">
        <v>3192</v>
      </c>
      <c r="AU127" s="228">
        <v>699</v>
      </c>
      <c r="AV127" s="229">
        <v>0.219</v>
      </c>
      <c r="AW127" s="230">
        <v>1456</v>
      </c>
      <c r="AX127" s="230">
        <v>1448</v>
      </c>
      <c r="AY127" s="228">
        <v>8</v>
      </c>
      <c r="AZ127" s="229">
        <v>5.7000000000000002E-3</v>
      </c>
      <c r="BA127" s="230">
        <v>2389</v>
      </c>
      <c r="BB127" s="230">
        <v>1715</v>
      </c>
      <c r="BC127" s="228">
        <v>674</v>
      </c>
      <c r="BD127" s="229">
        <v>0.39300000000000002</v>
      </c>
      <c r="BE127" s="228">
        <v>46</v>
      </c>
      <c r="BF127" s="228">
        <v>29</v>
      </c>
      <c r="BG127" s="228">
        <v>17</v>
      </c>
      <c r="BH127" s="229">
        <v>0.57809999999999995</v>
      </c>
      <c r="BI127" s="230">
        <v>5760</v>
      </c>
      <c r="BJ127" s="230">
        <v>4015</v>
      </c>
      <c r="BK127" s="230">
        <v>1744</v>
      </c>
      <c r="BL127" s="229">
        <v>0.43440000000000001</v>
      </c>
      <c r="BM127" s="230">
        <v>3220</v>
      </c>
      <c r="BN127" s="230">
        <v>1918</v>
      </c>
      <c r="BO127" s="230">
        <v>1302</v>
      </c>
      <c r="BP127" s="229">
        <v>0.67879999999999996</v>
      </c>
      <c r="BQ127" s="230">
        <v>12871</v>
      </c>
      <c r="BR127" s="230">
        <v>9126</v>
      </c>
      <c r="BS127" s="230">
        <v>3746</v>
      </c>
      <c r="BT127" s="229">
        <v>0.41039999999999999</v>
      </c>
      <c r="BU127" s="230">
        <v>4406038</v>
      </c>
      <c r="BV127" s="230">
        <v>3642855</v>
      </c>
      <c r="BW127" s="230">
        <v>763183</v>
      </c>
      <c r="BX127" s="229">
        <v>0.20949999999999999</v>
      </c>
      <c r="BY127" s="230">
        <v>6375</v>
      </c>
      <c r="BZ127" s="230">
        <v>6776</v>
      </c>
      <c r="CA127" s="228">
        <v>-401</v>
      </c>
      <c r="CB127" s="229">
        <v>-5.9200000000000003E-2</v>
      </c>
      <c r="CC127" s="228">
        <v>710</v>
      </c>
      <c r="CD127" s="230">
        <v>1352</v>
      </c>
      <c r="CE127" s="228">
        <v>-642</v>
      </c>
      <c r="CF127" s="229">
        <v>-0.47470000000000001</v>
      </c>
      <c r="CG127" s="230">
        <v>6280</v>
      </c>
      <c r="CH127" s="230">
        <v>5334</v>
      </c>
      <c r="CI127" s="228">
        <v>946</v>
      </c>
      <c r="CJ127" s="229">
        <v>0.1774</v>
      </c>
      <c r="CK127" s="228">
        <v>95</v>
      </c>
      <c r="CL127" s="228">
        <v>91</v>
      </c>
      <c r="CM127" s="228">
        <v>4</v>
      </c>
      <c r="CN127" s="229">
        <v>4.8399999999999999E-2</v>
      </c>
      <c r="CO127" s="230">
        <v>1288</v>
      </c>
      <c r="CP127" s="230">
        <v>3013</v>
      </c>
      <c r="CQ127" s="230">
        <v>-1726</v>
      </c>
      <c r="CR127" s="229">
        <v>-0.57269999999999999</v>
      </c>
      <c r="CS127" s="228">
        <v>874</v>
      </c>
      <c r="CT127" s="230">
        <v>1754</v>
      </c>
      <c r="CU127" s="228">
        <v>-880</v>
      </c>
      <c r="CV127" s="229">
        <v>-0.50180000000000002</v>
      </c>
      <c r="CW127" s="230">
        <v>8536</v>
      </c>
      <c r="CX127" s="230">
        <v>11543</v>
      </c>
      <c r="CY127" s="230">
        <v>-3007</v>
      </c>
      <c r="CZ127" s="229">
        <v>-0.26050000000000001</v>
      </c>
      <c r="DA127" s="228">
        <v>19.22</v>
      </c>
      <c r="DB127" s="228">
        <v>20.62</v>
      </c>
      <c r="DC127" s="228">
        <v>-1.4</v>
      </c>
      <c r="DD127" s="228">
        <v>-1.4</v>
      </c>
      <c r="DE127" s="228">
        <v>29.15</v>
      </c>
      <c r="DF127" s="228">
        <v>29.2</v>
      </c>
      <c r="DG127" s="228">
        <v>-9.93</v>
      </c>
      <c r="DH127" s="228">
        <v>-0.05</v>
      </c>
      <c r="DI127" s="228">
        <v>19.170000000000002</v>
      </c>
      <c r="DJ127" s="228">
        <v>20.82</v>
      </c>
      <c r="DK127" s="228">
        <v>-1.65</v>
      </c>
      <c r="DL127" s="228">
        <v>-1.65</v>
      </c>
      <c r="DM127" s="228">
        <v>19.309999999999999</v>
      </c>
      <c r="DN127" s="228">
        <v>20.16</v>
      </c>
      <c r="DO127" s="228">
        <v>-0.85</v>
      </c>
      <c r="DP127" s="228">
        <v>-0.85</v>
      </c>
      <c r="DQ127" s="228">
        <v>0.68</v>
      </c>
      <c r="DR127" s="228">
        <v>0.57999999999999996</v>
      </c>
      <c r="DS127" s="228">
        <v>0.1</v>
      </c>
      <c r="DT127" s="229">
        <v>0.1724</v>
      </c>
      <c r="DU127" s="231">
        <v>2000</v>
      </c>
      <c r="DV127" s="231">
        <v>2000</v>
      </c>
      <c r="DW127" s="228">
        <v>0.56000000000000005</v>
      </c>
      <c r="DX127" s="228">
        <v>0.48</v>
      </c>
      <c r="DY127" s="228">
        <v>0.08</v>
      </c>
      <c r="DZ127" s="229">
        <v>0.16669999999999999</v>
      </c>
      <c r="EA127" s="229">
        <v>0.89980000000000004</v>
      </c>
      <c r="EB127" s="230">
        <v>27254000</v>
      </c>
      <c r="EC127" s="229">
        <v>5.8999999999999999E-3</v>
      </c>
      <c r="ED127" s="229">
        <v>0.89980000000000004</v>
      </c>
      <c r="EE127" s="228">
        <v>15.59</v>
      </c>
      <c r="EF127" s="229">
        <v>7.9000000000000008E-3</v>
      </c>
      <c r="EG127" s="230">
        <v>2545630</v>
      </c>
      <c r="EH127" s="230">
        <v>2664220</v>
      </c>
      <c r="EI127" s="229">
        <v>-4.4499999999999998E-2</v>
      </c>
      <c r="EJ127" s="229">
        <v>0.57779999999999998</v>
      </c>
      <c r="EK127" s="231">
        <v>5935.03</v>
      </c>
      <c r="EL127" s="231">
        <v>3213.77</v>
      </c>
      <c r="EM127" s="231">
        <v>3854.35</v>
      </c>
      <c r="EN127" s="228">
        <v>0</v>
      </c>
      <c r="EO127" s="231">
        <v>13003.15</v>
      </c>
      <c r="EP127" s="231">
        <v>9188.94</v>
      </c>
      <c r="EQ127" s="231">
        <v>3814.2</v>
      </c>
      <c r="ER127" s="229">
        <v>0.41510000000000002</v>
      </c>
      <c r="ES127" s="231">
        <v>1360.49</v>
      </c>
      <c r="ET127" s="228">
        <v>860.83</v>
      </c>
      <c r="EU127" s="231">
        <v>6375.71</v>
      </c>
      <c r="EV127" s="231">
        <v>294716519</v>
      </c>
      <c r="EW127" s="231">
        <v>8597.0300000000007</v>
      </c>
      <c r="EX127" s="231">
        <v>11712.93</v>
      </c>
      <c r="EY127" s="231">
        <v>-3115.9</v>
      </c>
      <c r="EZ127" s="229">
        <v>-0.26600000000000001</v>
      </c>
      <c r="FA127" s="229">
        <v>0.14549999999999999</v>
      </c>
      <c r="FB127" s="227" t="s">
        <v>556</v>
      </c>
      <c r="FC127">
        <f t="shared" si="1"/>
        <v>5665</v>
      </c>
    </row>
    <row r="128" spans="1:159" ht="17.25" thickBot="1" x14ac:dyDescent="0.3">
      <c r="A128" s="226">
        <v>45869</v>
      </c>
      <c r="B128" s="227" t="s">
        <v>221</v>
      </c>
      <c r="C128" s="227" t="s">
        <v>578</v>
      </c>
      <c r="D128" s="228">
        <v>400</v>
      </c>
      <c r="E128" s="228">
        <v>0</v>
      </c>
      <c r="F128" s="231">
        <v>1228.9000000000001</v>
      </c>
      <c r="G128" s="231">
        <v>1255.4000000000001</v>
      </c>
      <c r="H128" s="228">
        <v>-26.5</v>
      </c>
      <c r="I128" s="229">
        <v>-2.1100000000000001E-2</v>
      </c>
      <c r="J128" s="231">
        <v>1226.4000000000001</v>
      </c>
      <c r="K128" s="231">
        <v>1268.5</v>
      </c>
      <c r="L128" s="228">
        <v>-42.1</v>
      </c>
      <c r="M128" s="229">
        <v>-3.32E-2</v>
      </c>
      <c r="N128" s="231">
        <v>1226</v>
      </c>
      <c r="O128" s="231">
        <v>1264.4000000000001</v>
      </c>
      <c r="P128" s="228">
        <v>-38.4</v>
      </c>
      <c r="Q128" s="229">
        <v>-3.04E-2</v>
      </c>
      <c r="R128" s="231">
        <v>1228.9000000000001</v>
      </c>
      <c r="S128" s="231">
        <v>1255.4000000000001</v>
      </c>
      <c r="T128" s="228">
        <v>-26.5</v>
      </c>
      <c r="U128" s="229">
        <v>-2.1100000000000001E-2</v>
      </c>
      <c r="V128" s="231">
        <v>1229</v>
      </c>
      <c r="W128" s="231">
        <v>1258.5</v>
      </c>
      <c r="X128" s="228">
        <v>-29.5</v>
      </c>
      <c r="Y128" s="229">
        <v>-2.3400000000000001E-2</v>
      </c>
      <c r="Z128" s="228">
        <v>2.5</v>
      </c>
      <c r="AA128" s="228">
        <v>-4.0999999999999996</v>
      </c>
      <c r="AB128" s="228">
        <v>6.6</v>
      </c>
      <c r="AC128" s="229">
        <v>2E-3</v>
      </c>
      <c r="AD128" s="228">
        <v>-0.4</v>
      </c>
      <c r="AE128" s="228">
        <v>-4.0999999999999996</v>
      </c>
      <c r="AF128" s="228">
        <v>3.7</v>
      </c>
      <c r="AG128" s="229">
        <v>-2.9999999999999997E-4</v>
      </c>
      <c r="AH128" s="228">
        <v>2.5</v>
      </c>
      <c r="AI128" s="228">
        <v>-13.1</v>
      </c>
      <c r="AJ128" s="228">
        <v>15.6</v>
      </c>
      <c r="AK128" s="229">
        <v>2E-3</v>
      </c>
      <c r="AL128" s="228">
        <v>2.6</v>
      </c>
      <c r="AM128" s="228">
        <v>-10</v>
      </c>
      <c r="AN128" s="228">
        <v>12.6</v>
      </c>
      <c r="AO128" s="229">
        <v>2.0999999999999999E-3</v>
      </c>
      <c r="AP128" s="231">
        <v>1241.82</v>
      </c>
      <c r="AQ128" s="231">
        <v>1235.3</v>
      </c>
      <c r="AR128" s="228">
        <v>0</v>
      </c>
      <c r="AS128" s="228">
        <v>753</v>
      </c>
      <c r="AT128" s="230">
        <v>1197</v>
      </c>
      <c r="AU128" s="228">
        <v>-444</v>
      </c>
      <c r="AV128" s="229">
        <v>-0.37109999999999999</v>
      </c>
      <c r="AW128" s="228">
        <v>348</v>
      </c>
      <c r="AX128" s="228">
        <v>567</v>
      </c>
      <c r="AY128" s="228">
        <v>-220</v>
      </c>
      <c r="AZ128" s="229">
        <v>-0.3871</v>
      </c>
      <c r="BA128" s="228">
        <v>393</v>
      </c>
      <c r="BB128" s="228">
        <v>610</v>
      </c>
      <c r="BC128" s="228">
        <v>-216</v>
      </c>
      <c r="BD128" s="229">
        <v>-0.35510000000000003</v>
      </c>
      <c r="BE128" s="228">
        <v>12</v>
      </c>
      <c r="BF128" s="228">
        <v>20</v>
      </c>
      <c r="BG128" s="228">
        <v>-8</v>
      </c>
      <c r="BH128" s="229">
        <v>-0.40439999999999998</v>
      </c>
      <c r="BI128" s="230">
        <v>1061</v>
      </c>
      <c r="BJ128" s="230">
        <v>3900</v>
      </c>
      <c r="BK128" s="230">
        <v>-2839</v>
      </c>
      <c r="BL128" s="229">
        <v>-0.72789999999999999</v>
      </c>
      <c r="BM128" s="228">
        <v>773</v>
      </c>
      <c r="BN128" s="230">
        <v>2462</v>
      </c>
      <c r="BO128" s="230">
        <v>-1689</v>
      </c>
      <c r="BP128" s="229">
        <v>-0.68589999999999995</v>
      </c>
      <c r="BQ128" s="230">
        <v>2588</v>
      </c>
      <c r="BR128" s="230">
        <v>7560</v>
      </c>
      <c r="BS128" s="230">
        <v>-4972</v>
      </c>
      <c r="BT128" s="229">
        <v>-0.65769999999999995</v>
      </c>
      <c r="BU128" s="230">
        <v>2102056</v>
      </c>
      <c r="BV128" s="230">
        <v>4299060</v>
      </c>
      <c r="BW128" s="230">
        <v>-2197004</v>
      </c>
      <c r="BX128" s="229">
        <v>-0.51100000000000001</v>
      </c>
      <c r="BY128" s="228">
        <v>548</v>
      </c>
      <c r="BZ128" s="228">
        <v>683</v>
      </c>
      <c r="CA128" s="228">
        <v>-135</v>
      </c>
      <c r="CB128" s="229">
        <v>-0.19789999999999999</v>
      </c>
      <c r="CC128" s="228">
        <v>59</v>
      </c>
      <c r="CD128" s="228">
        <v>166</v>
      </c>
      <c r="CE128" s="228">
        <v>-107</v>
      </c>
      <c r="CF128" s="229">
        <v>-0.64680000000000004</v>
      </c>
      <c r="CG128" s="228">
        <v>529</v>
      </c>
      <c r="CH128" s="228">
        <v>502</v>
      </c>
      <c r="CI128" s="228">
        <v>27</v>
      </c>
      <c r="CJ128" s="229">
        <v>5.4699999999999999E-2</v>
      </c>
      <c r="CK128" s="228">
        <v>18</v>
      </c>
      <c r="CL128" s="228">
        <v>15</v>
      </c>
      <c r="CM128" s="228">
        <v>3</v>
      </c>
      <c r="CN128" s="229">
        <v>0.2349</v>
      </c>
      <c r="CO128" s="228">
        <v>190</v>
      </c>
      <c r="CP128" s="228">
        <v>551</v>
      </c>
      <c r="CQ128" s="228">
        <v>-362</v>
      </c>
      <c r="CR128" s="229">
        <v>-0.65610000000000002</v>
      </c>
      <c r="CS128" s="228">
        <v>248</v>
      </c>
      <c r="CT128" s="228">
        <v>609</v>
      </c>
      <c r="CU128" s="228">
        <v>-360</v>
      </c>
      <c r="CV128" s="229">
        <v>-0.59179999999999999</v>
      </c>
      <c r="CW128" s="228">
        <v>986</v>
      </c>
      <c r="CX128" s="230">
        <v>1843</v>
      </c>
      <c r="CY128" s="228">
        <v>-857</v>
      </c>
      <c r="CZ128" s="229">
        <v>-0.46510000000000001</v>
      </c>
      <c r="DA128" s="228">
        <v>31.44</v>
      </c>
      <c r="DB128" s="228">
        <v>35.43</v>
      </c>
      <c r="DC128" s="228">
        <v>-3.99</v>
      </c>
      <c r="DD128" s="228">
        <v>-3.99</v>
      </c>
      <c r="DE128" s="228">
        <v>46.51</v>
      </c>
      <c r="DF128" s="228">
        <v>46.4</v>
      </c>
      <c r="DG128" s="228">
        <v>-15.07</v>
      </c>
      <c r="DH128" s="228">
        <v>0.11</v>
      </c>
      <c r="DI128" s="228">
        <v>31.82</v>
      </c>
      <c r="DJ128" s="228">
        <v>35.64</v>
      </c>
      <c r="DK128" s="228">
        <v>-3.82</v>
      </c>
      <c r="DL128" s="228">
        <v>-3.82</v>
      </c>
      <c r="DM128" s="228">
        <v>30.84</v>
      </c>
      <c r="DN128" s="228">
        <v>35.11</v>
      </c>
      <c r="DO128" s="228">
        <v>-4.2699999999999996</v>
      </c>
      <c r="DP128" s="228">
        <v>-4.2699999999999996</v>
      </c>
      <c r="DQ128" s="228">
        <v>1.31</v>
      </c>
      <c r="DR128" s="228">
        <v>1.1000000000000001</v>
      </c>
      <c r="DS128" s="228">
        <v>0.21</v>
      </c>
      <c r="DT128" s="229">
        <v>0.19089999999999999</v>
      </c>
      <c r="DU128" s="231">
        <v>1300</v>
      </c>
      <c r="DV128" s="231">
        <v>1140</v>
      </c>
      <c r="DW128" s="228">
        <v>0.73</v>
      </c>
      <c r="DX128" s="228">
        <v>0.63</v>
      </c>
      <c r="DY128" s="228">
        <v>0.1</v>
      </c>
      <c r="DZ128" s="229">
        <v>0.15870000000000001</v>
      </c>
      <c r="EA128" s="229">
        <v>0.90329999999999999</v>
      </c>
      <c r="EB128" s="230">
        <v>4204000</v>
      </c>
      <c r="EC128" s="229">
        <v>2.3999999999999998E-3</v>
      </c>
      <c r="ED128" s="229">
        <v>0.90329999999999999</v>
      </c>
      <c r="EE128" s="228">
        <v>-6.52</v>
      </c>
      <c r="EF128" s="229">
        <v>-5.3E-3</v>
      </c>
      <c r="EG128" s="230">
        <v>803002</v>
      </c>
      <c r="EH128" s="230">
        <v>651741</v>
      </c>
      <c r="EI128" s="229">
        <v>0.2321</v>
      </c>
      <c r="EJ128" s="229">
        <v>0.38200000000000001</v>
      </c>
      <c r="EK128" s="231">
        <v>1127.3599999999999</v>
      </c>
      <c r="EL128" s="228">
        <v>766.47</v>
      </c>
      <c r="EM128" s="228">
        <v>758.62</v>
      </c>
      <c r="EN128" s="228">
        <v>0</v>
      </c>
      <c r="EO128" s="231">
        <v>2652.45</v>
      </c>
      <c r="EP128" s="231">
        <v>7791.25</v>
      </c>
      <c r="EQ128" s="231">
        <v>-5138.8</v>
      </c>
      <c r="ER128" s="229">
        <v>-0.65959999999999996</v>
      </c>
      <c r="ES128" s="228">
        <v>202.2</v>
      </c>
      <c r="ET128" s="228">
        <v>231.52</v>
      </c>
      <c r="EU128" s="228">
        <v>547.54999999999995</v>
      </c>
      <c r="EV128" s="231">
        <v>32698512</v>
      </c>
      <c r="EW128" s="228">
        <v>981.27</v>
      </c>
      <c r="EX128" s="231">
        <v>1882.64</v>
      </c>
      <c r="EY128" s="228">
        <v>-901.37</v>
      </c>
      <c r="EZ128" s="229">
        <v>-0.4788</v>
      </c>
      <c r="FA128" s="229">
        <v>0.24529999999999999</v>
      </c>
      <c r="FB128" s="227" t="s">
        <v>568</v>
      </c>
      <c r="FC128">
        <f t="shared" si="1"/>
        <v>489</v>
      </c>
    </row>
    <row r="129" spans="1:159" ht="17.25" thickBot="1" x14ac:dyDescent="0.3">
      <c r="A129" s="226">
        <v>45869</v>
      </c>
      <c r="B129" s="227" t="s">
        <v>170</v>
      </c>
      <c r="C129" s="227" t="s">
        <v>535</v>
      </c>
      <c r="D129" s="228">
        <v>1700</v>
      </c>
      <c r="E129" s="228">
        <v>0</v>
      </c>
      <c r="F129" s="228">
        <v>878</v>
      </c>
      <c r="G129" s="228">
        <v>886.8</v>
      </c>
      <c r="H129" s="228">
        <v>-8.8000000000000007</v>
      </c>
      <c r="I129" s="229">
        <v>-9.9000000000000008E-3</v>
      </c>
      <c r="J129" s="228">
        <v>874.35</v>
      </c>
      <c r="K129" s="228">
        <v>881.45</v>
      </c>
      <c r="L129" s="228">
        <v>-7.1</v>
      </c>
      <c r="M129" s="229">
        <v>-8.0999999999999996E-3</v>
      </c>
      <c r="N129" s="228">
        <v>876.7</v>
      </c>
      <c r="O129" s="228">
        <v>882.65</v>
      </c>
      <c r="P129" s="228">
        <v>-5.95</v>
      </c>
      <c r="Q129" s="229">
        <v>-6.7000000000000002E-3</v>
      </c>
      <c r="R129" s="228">
        <v>878</v>
      </c>
      <c r="S129" s="228">
        <v>886.8</v>
      </c>
      <c r="T129" s="228">
        <v>-8.8000000000000007</v>
      </c>
      <c r="U129" s="229">
        <v>-9.9000000000000008E-3</v>
      </c>
      <c r="V129" s="228">
        <v>882.25</v>
      </c>
      <c r="W129" s="228">
        <v>892.15</v>
      </c>
      <c r="X129" s="228">
        <v>-9.9</v>
      </c>
      <c r="Y129" s="229">
        <v>-1.11E-2</v>
      </c>
      <c r="Z129" s="228">
        <v>3.65</v>
      </c>
      <c r="AA129" s="228">
        <v>1.2</v>
      </c>
      <c r="AB129" s="228">
        <v>2.4500000000000002</v>
      </c>
      <c r="AC129" s="229">
        <v>4.1999999999999997E-3</v>
      </c>
      <c r="AD129" s="228">
        <v>2.35</v>
      </c>
      <c r="AE129" s="228">
        <v>1.2</v>
      </c>
      <c r="AF129" s="228">
        <v>1.1499999999999999</v>
      </c>
      <c r="AG129" s="229">
        <v>2.7000000000000001E-3</v>
      </c>
      <c r="AH129" s="228">
        <v>3.65</v>
      </c>
      <c r="AI129" s="228">
        <v>5.35</v>
      </c>
      <c r="AJ129" s="228">
        <v>-1.7</v>
      </c>
      <c r="AK129" s="229">
        <v>4.1999999999999997E-3</v>
      </c>
      <c r="AL129" s="228">
        <v>7.9</v>
      </c>
      <c r="AM129" s="228">
        <v>10.7</v>
      </c>
      <c r="AN129" s="228">
        <v>-2.8</v>
      </c>
      <c r="AO129" s="229">
        <v>8.9999999999999993E-3</v>
      </c>
      <c r="AP129" s="228">
        <v>875.32</v>
      </c>
      <c r="AQ129" s="228">
        <v>878.92</v>
      </c>
      <c r="AR129" s="228">
        <v>0</v>
      </c>
      <c r="AS129" s="228">
        <v>961</v>
      </c>
      <c r="AT129" s="230">
        <v>1453</v>
      </c>
      <c r="AU129" s="228">
        <v>-492</v>
      </c>
      <c r="AV129" s="229">
        <v>-0.3387</v>
      </c>
      <c r="AW129" s="228">
        <v>390</v>
      </c>
      <c r="AX129" s="228">
        <v>540</v>
      </c>
      <c r="AY129" s="228">
        <v>-150</v>
      </c>
      <c r="AZ129" s="229">
        <v>-0.27739999999999998</v>
      </c>
      <c r="BA129" s="228">
        <v>554</v>
      </c>
      <c r="BB129" s="228">
        <v>882</v>
      </c>
      <c r="BC129" s="228">
        <v>-328</v>
      </c>
      <c r="BD129" s="229">
        <v>-0.3715</v>
      </c>
      <c r="BE129" s="228">
        <v>16</v>
      </c>
      <c r="BF129" s="228">
        <v>31</v>
      </c>
      <c r="BG129" s="228">
        <v>-15</v>
      </c>
      <c r="BH129" s="229">
        <v>-0.47370000000000001</v>
      </c>
      <c r="BI129" s="230">
        <v>1401</v>
      </c>
      <c r="BJ129" s="230">
        <v>5298</v>
      </c>
      <c r="BK129" s="230">
        <v>-3897</v>
      </c>
      <c r="BL129" s="229">
        <v>-0.73560000000000003</v>
      </c>
      <c r="BM129" s="230">
        <v>1348</v>
      </c>
      <c r="BN129" s="230">
        <v>4210</v>
      </c>
      <c r="BO129" s="230">
        <v>-2862</v>
      </c>
      <c r="BP129" s="229">
        <v>-0.67989999999999995</v>
      </c>
      <c r="BQ129" s="230">
        <v>3709</v>
      </c>
      <c r="BR129" s="230">
        <v>10961</v>
      </c>
      <c r="BS129" s="230">
        <v>-7251</v>
      </c>
      <c r="BT129" s="229">
        <v>-0.66159999999999997</v>
      </c>
      <c r="BU129" s="230">
        <v>3258505</v>
      </c>
      <c r="BV129" s="230">
        <v>5670876</v>
      </c>
      <c r="BW129" s="230">
        <v>-2412371</v>
      </c>
      <c r="BX129" s="229">
        <v>-0.4254</v>
      </c>
      <c r="BY129" s="230">
        <v>1328</v>
      </c>
      <c r="BZ129" s="230">
        <v>1950</v>
      </c>
      <c r="CA129" s="228">
        <v>-622</v>
      </c>
      <c r="CB129" s="229">
        <v>-0.31890000000000002</v>
      </c>
      <c r="CC129" s="228">
        <v>569</v>
      </c>
      <c r="CD129" s="228">
        <v>699</v>
      </c>
      <c r="CE129" s="228">
        <v>-130</v>
      </c>
      <c r="CF129" s="229">
        <v>-0.18609999999999999</v>
      </c>
      <c r="CG129" s="230">
        <v>1272</v>
      </c>
      <c r="CH129" s="230">
        <v>1197</v>
      </c>
      <c r="CI129" s="228">
        <v>74</v>
      </c>
      <c r="CJ129" s="229">
        <v>6.2199999999999998E-2</v>
      </c>
      <c r="CK129" s="228">
        <v>56</v>
      </c>
      <c r="CL129" s="228">
        <v>53</v>
      </c>
      <c r="CM129" s="228">
        <v>3</v>
      </c>
      <c r="CN129" s="229">
        <v>5.3100000000000001E-2</v>
      </c>
      <c r="CO129" s="228">
        <v>739</v>
      </c>
      <c r="CP129" s="230">
        <v>1756</v>
      </c>
      <c r="CQ129" s="230">
        <v>-1017</v>
      </c>
      <c r="CR129" s="229">
        <v>-0.57920000000000005</v>
      </c>
      <c r="CS129" s="228">
        <v>485</v>
      </c>
      <c r="CT129" s="230">
        <v>1578</v>
      </c>
      <c r="CU129" s="230">
        <v>-1093</v>
      </c>
      <c r="CV129" s="229">
        <v>-0.69269999999999998</v>
      </c>
      <c r="CW129" s="230">
        <v>2552</v>
      </c>
      <c r="CX129" s="230">
        <v>5285</v>
      </c>
      <c r="CY129" s="230">
        <v>-2733</v>
      </c>
      <c r="CZ129" s="229">
        <v>-0.5171</v>
      </c>
      <c r="DA129" s="228">
        <v>33.54</v>
      </c>
      <c r="DB129" s="228">
        <v>33.82</v>
      </c>
      <c r="DC129" s="228">
        <v>-0.28000000000000003</v>
      </c>
      <c r="DD129" s="228">
        <v>-0.28000000000000003</v>
      </c>
      <c r="DE129" s="228">
        <v>42.88</v>
      </c>
      <c r="DF129" s="228">
        <v>42.98</v>
      </c>
      <c r="DG129" s="228">
        <v>-9.34</v>
      </c>
      <c r="DH129" s="228">
        <v>-0.1</v>
      </c>
      <c r="DI129" s="228">
        <v>33.270000000000003</v>
      </c>
      <c r="DJ129" s="228">
        <v>33.700000000000003</v>
      </c>
      <c r="DK129" s="228">
        <v>-0.43</v>
      </c>
      <c r="DL129" s="228">
        <v>-0.43</v>
      </c>
      <c r="DM129" s="228">
        <v>33.880000000000003</v>
      </c>
      <c r="DN129" s="228">
        <v>34.01</v>
      </c>
      <c r="DO129" s="228">
        <v>-0.13</v>
      </c>
      <c r="DP129" s="228">
        <v>-0.13</v>
      </c>
      <c r="DQ129" s="228">
        <v>0.66</v>
      </c>
      <c r="DR129" s="228">
        <v>0.9</v>
      </c>
      <c r="DS129" s="228">
        <v>-0.24</v>
      </c>
      <c r="DT129" s="229">
        <v>-0.26669999999999999</v>
      </c>
      <c r="DU129" s="231">
        <v>1000</v>
      </c>
      <c r="DV129" s="228">
        <v>800</v>
      </c>
      <c r="DW129" s="228">
        <v>0.96</v>
      </c>
      <c r="DX129" s="228">
        <v>0.79</v>
      </c>
      <c r="DY129" s="228">
        <v>0.17</v>
      </c>
      <c r="DZ129" s="229">
        <v>0.2152</v>
      </c>
      <c r="EA129" s="229">
        <v>0.7</v>
      </c>
      <c r="EB129" s="230">
        <v>14246000</v>
      </c>
      <c r="EC129" s="229">
        <v>1.5E-3</v>
      </c>
      <c r="ED129" s="229">
        <v>0.7</v>
      </c>
      <c r="EE129" s="228">
        <v>3.6</v>
      </c>
      <c r="EF129" s="229">
        <v>4.1000000000000003E-3</v>
      </c>
      <c r="EG129" s="230">
        <v>1403516</v>
      </c>
      <c r="EH129" s="230">
        <v>2108983</v>
      </c>
      <c r="EI129" s="229">
        <v>-0.33450000000000002</v>
      </c>
      <c r="EJ129" s="229">
        <v>0.43070000000000003</v>
      </c>
      <c r="EK129" s="231">
        <v>1468.29</v>
      </c>
      <c r="EL129" s="231">
        <v>1305.98</v>
      </c>
      <c r="EM129" s="228">
        <v>960.57</v>
      </c>
      <c r="EN129" s="228">
        <v>0</v>
      </c>
      <c r="EO129" s="231">
        <v>3734.85</v>
      </c>
      <c r="EP129" s="231">
        <v>11301.19</v>
      </c>
      <c r="EQ129" s="231">
        <v>-7566.35</v>
      </c>
      <c r="ER129" s="229">
        <v>-0.66949999999999998</v>
      </c>
      <c r="ES129" s="228">
        <v>775.72</v>
      </c>
      <c r="ET129" s="228">
        <v>455.79</v>
      </c>
      <c r="EU129" s="231">
        <v>1328.39</v>
      </c>
      <c r="EV129" s="231">
        <v>78058155</v>
      </c>
      <c r="EW129" s="231">
        <v>2559.9</v>
      </c>
      <c r="EX129" s="231">
        <v>5125.7299999999996</v>
      </c>
      <c r="EY129" s="231">
        <v>-2565.83</v>
      </c>
      <c r="EZ129" s="229">
        <v>-0.50060000000000004</v>
      </c>
      <c r="FA129" s="229">
        <v>0.37240000000000001</v>
      </c>
      <c r="FB129" s="227" t="s">
        <v>568</v>
      </c>
      <c r="FC129">
        <f t="shared" si="1"/>
        <v>759</v>
      </c>
    </row>
    <row r="130" spans="1:159" ht="17.25" thickBot="1" x14ac:dyDescent="0.3">
      <c r="A130" s="226">
        <v>45869</v>
      </c>
      <c r="B130" s="227" t="s">
        <v>175</v>
      </c>
      <c r="C130" s="227" t="s">
        <v>248</v>
      </c>
      <c r="D130" s="228">
        <v>1000</v>
      </c>
      <c r="E130" s="228">
        <v>0</v>
      </c>
      <c r="F130" s="228">
        <v>581.85</v>
      </c>
      <c r="G130" s="228">
        <v>586.5</v>
      </c>
      <c r="H130" s="228">
        <v>-4.6500000000000004</v>
      </c>
      <c r="I130" s="229">
        <v>-7.9000000000000008E-3</v>
      </c>
      <c r="J130" s="228">
        <v>586.04999999999995</v>
      </c>
      <c r="K130" s="228">
        <v>590.04999999999995</v>
      </c>
      <c r="L130" s="228">
        <v>-4</v>
      </c>
      <c r="M130" s="229">
        <v>-6.7999999999999996E-3</v>
      </c>
      <c r="N130" s="228">
        <v>586.04999999999995</v>
      </c>
      <c r="O130" s="228">
        <v>590.1</v>
      </c>
      <c r="P130" s="228">
        <v>-4.05</v>
      </c>
      <c r="Q130" s="229">
        <v>-6.8999999999999999E-3</v>
      </c>
      <c r="R130" s="228">
        <v>581.85</v>
      </c>
      <c r="S130" s="228">
        <v>586.5</v>
      </c>
      <c r="T130" s="228">
        <v>-4.6500000000000004</v>
      </c>
      <c r="U130" s="229">
        <v>-7.9000000000000008E-3</v>
      </c>
      <c r="V130" s="228">
        <v>581.29999999999995</v>
      </c>
      <c r="W130" s="228">
        <v>586.65</v>
      </c>
      <c r="X130" s="228">
        <v>-5.35</v>
      </c>
      <c r="Y130" s="229">
        <v>-9.1000000000000004E-3</v>
      </c>
      <c r="Z130" s="228">
        <v>-4.2</v>
      </c>
      <c r="AA130" s="228">
        <v>0.05</v>
      </c>
      <c r="AB130" s="228">
        <v>-4.25</v>
      </c>
      <c r="AC130" s="229">
        <v>-7.1999999999999998E-3</v>
      </c>
      <c r="AD130" s="228">
        <v>0</v>
      </c>
      <c r="AE130" s="228">
        <v>0.05</v>
      </c>
      <c r="AF130" s="228">
        <v>-0.05</v>
      </c>
      <c r="AG130" s="229">
        <v>0</v>
      </c>
      <c r="AH130" s="228">
        <v>-4.2</v>
      </c>
      <c r="AI130" s="228">
        <v>-3.55</v>
      </c>
      <c r="AJ130" s="228">
        <v>-0.65</v>
      </c>
      <c r="AK130" s="229">
        <v>-7.1999999999999998E-3</v>
      </c>
      <c r="AL130" s="228">
        <v>-4.75</v>
      </c>
      <c r="AM130" s="228">
        <v>-3.4</v>
      </c>
      <c r="AN130" s="228">
        <v>-1.35</v>
      </c>
      <c r="AO130" s="229">
        <v>-8.0999999999999996E-3</v>
      </c>
      <c r="AP130" s="228">
        <v>587.71</v>
      </c>
      <c r="AQ130" s="228">
        <v>584.23</v>
      </c>
      <c r="AR130" s="228">
        <v>0</v>
      </c>
      <c r="AS130" s="228">
        <v>815</v>
      </c>
      <c r="AT130" s="228">
        <v>692</v>
      </c>
      <c r="AU130" s="228">
        <v>123</v>
      </c>
      <c r="AV130" s="229">
        <v>0.17849999999999999</v>
      </c>
      <c r="AW130" s="228">
        <v>316</v>
      </c>
      <c r="AX130" s="228">
        <v>298</v>
      </c>
      <c r="AY130" s="228">
        <v>18</v>
      </c>
      <c r="AZ130" s="229">
        <v>6.0499999999999998E-2</v>
      </c>
      <c r="BA130" s="228">
        <v>427</v>
      </c>
      <c r="BB130" s="228">
        <v>349</v>
      </c>
      <c r="BC130" s="228">
        <v>78</v>
      </c>
      <c r="BD130" s="229">
        <v>0.22339999999999999</v>
      </c>
      <c r="BE130" s="228">
        <v>72</v>
      </c>
      <c r="BF130" s="228">
        <v>45</v>
      </c>
      <c r="BG130" s="228">
        <v>27</v>
      </c>
      <c r="BH130" s="229">
        <v>0.61570000000000003</v>
      </c>
      <c r="BI130" s="228">
        <v>528</v>
      </c>
      <c r="BJ130" s="228">
        <v>352</v>
      </c>
      <c r="BK130" s="228">
        <v>176</v>
      </c>
      <c r="BL130" s="229">
        <v>0.50070000000000003</v>
      </c>
      <c r="BM130" s="228">
        <v>311</v>
      </c>
      <c r="BN130" s="228">
        <v>284</v>
      </c>
      <c r="BO130" s="228">
        <v>27</v>
      </c>
      <c r="BP130" s="229">
        <v>9.4100000000000003E-2</v>
      </c>
      <c r="BQ130" s="230">
        <v>1655</v>
      </c>
      <c r="BR130" s="230">
        <v>1328</v>
      </c>
      <c r="BS130" s="228">
        <v>326</v>
      </c>
      <c r="BT130" s="229">
        <v>0.24579999999999999</v>
      </c>
      <c r="BU130" s="230">
        <v>1658497</v>
      </c>
      <c r="BV130" s="230">
        <v>1222910</v>
      </c>
      <c r="BW130" s="230">
        <v>435587</v>
      </c>
      <c r="BX130" s="229">
        <v>0.35620000000000002</v>
      </c>
      <c r="BY130" s="230">
        <v>1861</v>
      </c>
      <c r="BZ130" s="230">
        <v>2030</v>
      </c>
      <c r="CA130" s="228">
        <v>-169</v>
      </c>
      <c r="CB130" s="229">
        <v>-8.3500000000000005E-2</v>
      </c>
      <c r="CC130" s="228">
        <v>352</v>
      </c>
      <c r="CD130" s="228">
        <v>420</v>
      </c>
      <c r="CE130" s="228">
        <v>-69</v>
      </c>
      <c r="CF130" s="229">
        <v>-0.16309999999999999</v>
      </c>
      <c r="CG130" s="230">
        <v>1374</v>
      </c>
      <c r="CH130" s="230">
        <v>1175</v>
      </c>
      <c r="CI130" s="228">
        <v>199</v>
      </c>
      <c r="CJ130" s="229">
        <v>0.16900000000000001</v>
      </c>
      <c r="CK130" s="228">
        <v>487</v>
      </c>
      <c r="CL130" s="228">
        <v>435</v>
      </c>
      <c r="CM130" s="228">
        <v>52</v>
      </c>
      <c r="CN130" s="229">
        <v>0.1201</v>
      </c>
      <c r="CO130" s="228">
        <v>334</v>
      </c>
      <c r="CP130" s="228">
        <v>525</v>
      </c>
      <c r="CQ130" s="228">
        <v>-191</v>
      </c>
      <c r="CR130" s="229">
        <v>-0.36459999999999998</v>
      </c>
      <c r="CS130" s="228">
        <v>331</v>
      </c>
      <c r="CT130" s="228">
        <v>483</v>
      </c>
      <c r="CU130" s="228">
        <v>-152</v>
      </c>
      <c r="CV130" s="229">
        <v>-0.31409999999999999</v>
      </c>
      <c r="CW130" s="230">
        <v>2526</v>
      </c>
      <c r="CX130" s="230">
        <v>3038</v>
      </c>
      <c r="CY130" s="228">
        <v>-513</v>
      </c>
      <c r="CZ130" s="229">
        <v>-0.16869999999999999</v>
      </c>
      <c r="DA130" s="228">
        <v>28.88</v>
      </c>
      <c r="DB130" s="228">
        <v>27.9</v>
      </c>
      <c r="DC130" s="228">
        <v>0.98</v>
      </c>
      <c r="DD130" s="228">
        <v>0.98</v>
      </c>
      <c r="DE130" s="228">
        <v>37.369999999999997</v>
      </c>
      <c r="DF130" s="228">
        <v>37.450000000000003</v>
      </c>
      <c r="DG130" s="228">
        <v>-8.49</v>
      </c>
      <c r="DH130" s="228">
        <v>-0.08</v>
      </c>
      <c r="DI130" s="228">
        <v>29.13</v>
      </c>
      <c r="DJ130" s="228">
        <v>28.46</v>
      </c>
      <c r="DK130" s="228">
        <v>0.67</v>
      </c>
      <c r="DL130" s="228">
        <v>0.67</v>
      </c>
      <c r="DM130" s="228">
        <v>28.35</v>
      </c>
      <c r="DN130" s="228">
        <v>27.1</v>
      </c>
      <c r="DO130" s="228">
        <v>1.25</v>
      </c>
      <c r="DP130" s="228">
        <v>1.25</v>
      </c>
      <c r="DQ130" s="228">
        <v>0.99</v>
      </c>
      <c r="DR130" s="228">
        <v>0.92</v>
      </c>
      <c r="DS130" s="228">
        <v>7.0000000000000007E-2</v>
      </c>
      <c r="DT130" s="229">
        <v>7.6100000000000001E-2</v>
      </c>
      <c r="DU130" s="228">
        <v>600</v>
      </c>
      <c r="DV130" s="228">
        <v>580</v>
      </c>
      <c r="DW130" s="228">
        <v>0.59</v>
      </c>
      <c r="DX130" s="228">
        <v>0.81</v>
      </c>
      <c r="DY130" s="228">
        <v>-0.22</v>
      </c>
      <c r="DZ130" s="229">
        <v>-0.27160000000000001</v>
      </c>
      <c r="EA130" s="229">
        <v>0.84099999999999997</v>
      </c>
      <c r="EB130" s="230">
        <v>27670000</v>
      </c>
      <c r="EC130" s="229">
        <v>-7.1999999999999998E-3</v>
      </c>
      <c r="ED130" s="229">
        <v>0.84099999999999997</v>
      </c>
      <c r="EE130" s="228">
        <v>-3.48</v>
      </c>
      <c r="EF130" s="229">
        <v>-5.8999999999999999E-3</v>
      </c>
      <c r="EG130" s="230">
        <v>886961</v>
      </c>
      <c r="EH130" s="230">
        <v>632886</v>
      </c>
      <c r="EI130" s="229">
        <v>0.40150000000000002</v>
      </c>
      <c r="EJ130" s="229">
        <v>0.53480000000000005</v>
      </c>
      <c r="EK130" s="228">
        <v>563.4</v>
      </c>
      <c r="EL130" s="228">
        <v>319.76</v>
      </c>
      <c r="EM130" s="228">
        <v>820.37</v>
      </c>
      <c r="EN130" s="228">
        <v>0</v>
      </c>
      <c r="EO130" s="231">
        <v>1703.53</v>
      </c>
      <c r="EP130" s="231">
        <v>1381.35</v>
      </c>
      <c r="EQ130" s="228">
        <v>322.18</v>
      </c>
      <c r="ER130" s="229">
        <v>0.23319999999999999</v>
      </c>
      <c r="ES130" s="228">
        <v>357.02</v>
      </c>
      <c r="ET130" s="228">
        <v>334.55</v>
      </c>
      <c r="EU130" s="231">
        <v>1860.35</v>
      </c>
      <c r="EV130" s="231">
        <v>60244101</v>
      </c>
      <c r="EW130" s="231">
        <v>2551.92</v>
      </c>
      <c r="EX130" s="231">
        <v>3110.77</v>
      </c>
      <c r="EY130" s="228">
        <v>-558.85</v>
      </c>
      <c r="EZ130" s="229">
        <v>-0.1797</v>
      </c>
      <c r="FA130" s="229">
        <v>0.72050000000000003</v>
      </c>
      <c r="FB130" s="227" t="s">
        <v>568</v>
      </c>
      <c r="FC130">
        <f t="shared" si="1"/>
        <v>1509</v>
      </c>
    </row>
    <row r="131" spans="1:159" ht="17.25" thickBot="1" x14ac:dyDescent="0.3">
      <c r="A131" s="226">
        <v>45869</v>
      </c>
      <c r="B131" s="227" t="s">
        <v>175</v>
      </c>
      <c r="C131" s="227" t="s">
        <v>608</v>
      </c>
      <c r="D131" s="228">
        <v>700</v>
      </c>
      <c r="E131" s="228">
        <v>0</v>
      </c>
      <c r="F131" s="228">
        <v>898.5</v>
      </c>
      <c r="G131" s="228">
        <v>904.65</v>
      </c>
      <c r="H131" s="228">
        <v>-6.15</v>
      </c>
      <c r="I131" s="229">
        <v>-6.7999999999999996E-3</v>
      </c>
      <c r="J131" s="228">
        <v>895</v>
      </c>
      <c r="K131" s="228">
        <v>902</v>
      </c>
      <c r="L131" s="228">
        <v>-7</v>
      </c>
      <c r="M131" s="229">
        <v>-7.7999999999999996E-3</v>
      </c>
      <c r="N131" s="228">
        <v>894.75</v>
      </c>
      <c r="O131" s="228">
        <v>902.55</v>
      </c>
      <c r="P131" s="228">
        <v>-7.8</v>
      </c>
      <c r="Q131" s="229">
        <v>-8.6E-3</v>
      </c>
      <c r="R131" s="228">
        <v>898.5</v>
      </c>
      <c r="S131" s="228">
        <v>904.65</v>
      </c>
      <c r="T131" s="228">
        <v>-6.15</v>
      </c>
      <c r="U131" s="229">
        <v>-6.7999999999999996E-3</v>
      </c>
      <c r="V131" s="228">
        <v>902.6</v>
      </c>
      <c r="W131" s="228">
        <v>909.1</v>
      </c>
      <c r="X131" s="228">
        <v>-6.5</v>
      </c>
      <c r="Y131" s="229">
        <v>-7.1000000000000004E-3</v>
      </c>
      <c r="Z131" s="228">
        <v>3.5</v>
      </c>
      <c r="AA131" s="228">
        <v>0.55000000000000004</v>
      </c>
      <c r="AB131" s="228">
        <v>2.95</v>
      </c>
      <c r="AC131" s="229">
        <v>3.8999999999999998E-3</v>
      </c>
      <c r="AD131" s="228">
        <v>-0.25</v>
      </c>
      <c r="AE131" s="228">
        <v>0.55000000000000004</v>
      </c>
      <c r="AF131" s="228">
        <v>-0.8</v>
      </c>
      <c r="AG131" s="229">
        <v>-2.9999999999999997E-4</v>
      </c>
      <c r="AH131" s="228">
        <v>3.5</v>
      </c>
      <c r="AI131" s="228">
        <v>2.65</v>
      </c>
      <c r="AJ131" s="228">
        <v>0.85</v>
      </c>
      <c r="AK131" s="229">
        <v>3.8999999999999998E-3</v>
      </c>
      <c r="AL131" s="228">
        <v>7.6</v>
      </c>
      <c r="AM131" s="228">
        <v>7.1</v>
      </c>
      <c r="AN131" s="228">
        <v>0.5</v>
      </c>
      <c r="AO131" s="229">
        <v>8.5000000000000006E-3</v>
      </c>
      <c r="AP131" s="228">
        <v>893.66</v>
      </c>
      <c r="AQ131" s="228">
        <v>897.39</v>
      </c>
      <c r="AR131" s="228">
        <v>0</v>
      </c>
      <c r="AS131" s="228">
        <v>394</v>
      </c>
      <c r="AT131" s="228">
        <v>381</v>
      </c>
      <c r="AU131" s="228">
        <v>13</v>
      </c>
      <c r="AV131" s="229">
        <v>3.4200000000000001E-2</v>
      </c>
      <c r="AW131" s="228">
        <v>196</v>
      </c>
      <c r="AX131" s="228">
        <v>188</v>
      </c>
      <c r="AY131" s="228">
        <v>7</v>
      </c>
      <c r="AZ131" s="229">
        <v>3.9800000000000002E-2</v>
      </c>
      <c r="BA131" s="228">
        <v>191</v>
      </c>
      <c r="BB131" s="228">
        <v>188</v>
      </c>
      <c r="BC131" s="228">
        <v>3</v>
      </c>
      <c r="BD131" s="229">
        <v>1.5800000000000002E-2</v>
      </c>
      <c r="BE131" s="228">
        <v>7</v>
      </c>
      <c r="BF131" s="228">
        <v>5</v>
      </c>
      <c r="BG131" s="228">
        <v>3</v>
      </c>
      <c r="BH131" s="229">
        <v>0.53249999999999997</v>
      </c>
      <c r="BI131" s="228">
        <v>197</v>
      </c>
      <c r="BJ131" s="228">
        <v>345</v>
      </c>
      <c r="BK131" s="228">
        <v>-148</v>
      </c>
      <c r="BL131" s="229">
        <v>-0.42899999999999999</v>
      </c>
      <c r="BM131" s="228">
        <v>123</v>
      </c>
      <c r="BN131" s="228">
        <v>110</v>
      </c>
      <c r="BO131" s="228">
        <v>13</v>
      </c>
      <c r="BP131" s="229">
        <v>0.1157</v>
      </c>
      <c r="BQ131" s="228">
        <v>714</v>
      </c>
      <c r="BR131" s="228">
        <v>836</v>
      </c>
      <c r="BS131" s="228">
        <v>-122</v>
      </c>
      <c r="BT131" s="229">
        <v>-0.14610000000000001</v>
      </c>
      <c r="BU131" s="230">
        <v>602443</v>
      </c>
      <c r="BV131" s="230">
        <v>614509</v>
      </c>
      <c r="BW131" s="230">
        <v>-12066</v>
      </c>
      <c r="BX131" s="229">
        <v>-1.9599999999999999E-2</v>
      </c>
      <c r="BY131" s="228">
        <v>585</v>
      </c>
      <c r="BZ131" s="228">
        <v>737</v>
      </c>
      <c r="CA131" s="228">
        <v>-151</v>
      </c>
      <c r="CB131" s="229">
        <v>-0.20530000000000001</v>
      </c>
      <c r="CC131" s="228">
        <v>116</v>
      </c>
      <c r="CD131" s="228">
        <v>217</v>
      </c>
      <c r="CE131" s="228">
        <v>-101</v>
      </c>
      <c r="CF131" s="229">
        <v>-0.46539999999999998</v>
      </c>
      <c r="CG131" s="228">
        <v>561</v>
      </c>
      <c r="CH131" s="228">
        <v>500</v>
      </c>
      <c r="CI131" s="228">
        <v>62</v>
      </c>
      <c r="CJ131" s="229">
        <v>0.1231</v>
      </c>
      <c r="CK131" s="228">
        <v>24</v>
      </c>
      <c r="CL131" s="228">
        <v>19</v>
      </c>
      <c r="CM131" s="228">
        <v>5</v>
      </c>
      <c r="CN131" s="229">
        <v>0.23549999999999999</v>
      </c>
      <c r="CO131" s="228">
        <v>130</v>
      </c>
      <c r="CP131" s="228">
        <v>410</v>
      </c>
      <c r="CQ131" s="228">
        <v>-280</v>
      </c>
      <c r="CR131" s="229">
        <v>-0.68230000000000002</v>
      </c>
      <c r="CS131" s="228">
        <v>92</v>
      </c>
      <c r="CT131" s="228">
        <v>206</v>
      </c>
      <c r="CU131" s="228">
        <v>-115</v>
      </c>
      <c r="CV131" s="229">
        <v>-0.55569999999999997</v>
      </c>
      <c r="CW131" s="228">
        <v>807</v>
      </c>
      <c r="CX131" s="230">
        <v>1353</v>
      </c>
      <c r="CY131" s="228">
        <v>-545</v>
      </c>
      <c r="CZ131" s="229">
        <v>-0.4032</v>
      </c>
      <c r="DA131" s="228">
        <v>24.88</v>
      </c>
      <c r="DB131" s="228">
        <v>25.48</v>
      </c>
      <c r="DC131" s="228">
        <v>-0.6</v>
      </c>
      <c r="DD131" s="228">
        <v>-0.6</v>
      </c>
      <c r="DE131" s="228">
        <v>34.82</v>
      </c>
      <c r="DF131" s="228">
        <v>34.9</v>
      </c>
      <c r="DG131" s="228">
        <v>-9.94</v>
      </c>
      <c r="DH131" s="228">
        <v>-0.08</v>
      </c>
      <c r="DI131" s="228">
        <v>25.2</v>
      </c>
      <c r="DJ131" s="228">
        <v>25.66</v>
      </c>
      <c r="DK131" s="228">
        <v>-0.46</v>
      </c>
      <c r="DL131" s="228">
        <v>-0.46</v>
      </c>
      <c r="DM131" s="228">
        <v>24.34</v>
      </c>
      <c r="DN131" s="228">
        <v>24.78</v>
      </c>
      <c r="DO131" s="228">
        <v>-0.44</v>
      </c>
      <c r="DP131" s="228">
        <v>-0.44</v>
      </c>
      <c r="DQ131" s="228">
        <v>0.7</v>
      </c>
      <c r="DR131" s="228">
        <v>0.5</v>
      </c>
      <c r="DS131" s="228">
        <v>0.2</v>
      </c>
      <c r="DT131" s="229">
        <v>0.4</v>
      </c>
      <c r="DU131" s="231">
        <v>1000</v>
      </c>
      <c r="DV131" s="228">
        <v>900</v>
      </c>
      <c r="DW131" s="228">
        <v>0.63</v>
      </c>
      <c r="DX131" s="228">
        <v>0.32</v>
      </c>
      <c r="DY131" s="228">
        <v>0.31</v>
      </c>
      <c r="DZ131" s="229">
        <v>0.96879999999999999</v>
      </c>
      <c r="EA131" s="229">
        <v>0.83440000000000003</v>
      </c>
      <c r="EB131" s="230">
        <v>5779900</v>
      </c>
      <c r="EC131" s="229">
        <v>4.1999999999999997E-3</v>
      </c>
      <c r="ED131" s="229">
        <v>0.83440000000000003</v>
      </c>
      <c r="EE131" s="228">
        <v>3.73</v>
      </c>
      <c r="EF131" s="229">
        <v>4.1999999999999997E-3</v>
      </c>
      <c r="EG131" s="230">
        <v>280990</v>
      </c>
      <c r="EH131" s="230">
        <v>222463</v>
      </c>
      <c r="EI131" s="229">
        <v>0.2631</v>
      </c>
      <c r="EJ131" s="229">
        <v>0.46639999999999998</v>
      </c>
      <c r="EK131" s="228">
        <v>206.1</v>
      </c>
      <c r="EL131" s="228">
        <v>124.78</v>
      </c>
      <c r="EM131" s="228">
        <v>392.39</v>
      </c>
      <c r="EN131" s="228">
        <v>0</v>
      </c>
      <c r="EO131" s="228">
        <v>723.27</v>
      </c>
      <c r="EP131" s="228">
        <v>855.38</v>
      </c>
      <c r="EQ131" s="228">
        <v>-132.11000000000001</v>
      </c>
      <c r="ER131" s="229">
        <v>-0.15440000000000001</v>
      </c>
      <c r="ES131" s="228">
        <v>136.1</v>
      </c>
      <c r="ET131" s="228">
        <v>90.35</v>
      </c>
      <c r="EU131" s="228">
        <v>585.54</v>
      </c>
      <c r="EV131" s="231">
        <v>44274984</v>
      </c>
      <c r="EW131" s="228">
        <v>811.98</v>
      </c>
      <c r="EX131" s="231">
        <v>1386.36</v>
      </c>
      <c r="EY131" s="228">
        <v>-574.38</v>
      </c>
      <c r="EZ131" s="229">
        <v>-0.4143</v>
      </c>
      <c r="FA131" s="229">
        <v>0.2029</v>
      </c>
      <c r="FB131" s="227" t="s">
        <v>568</v>
      </c>
      <c r="FC131">
        <f t="shared" ref="FC131:FC147" si="2">BY131-CC131</f>
        <v>469</v>
      </c>
    </row>
    <row r="132" spans="1:159" ht="17.25" thickBot="1" x14ac:dyDescent="0.3">
      <c r="A132" s="226">
        <v>45869</v>
      </c>
      <c r="B132" s="227" t="s">
        <v>206</v>
      </c>
      <c r="C132" s="227" t="s">
        <v>589</v>
      </c>
      <c r="D132" s="228">
        <v>450</v>
      </c>
      <c r="E132" s="228">
        <v>0</v>
      </c>
      <c r="F132" s="231">
        <v>1235.2</v>
      </c>
      <c r="G132" s="231">
        <v>1241.9000000000001</v>
      </c>
      <c r="H132" s="228">
        <v>-6.7</v>
      </c>
      <c r="I132" s="229">
        <v>-5.4000000000000003E-3</v>
      </c>
      <c r="J132" s="231">
        <v>1231.5999999999999</v>
      </c>
      <c r="K132" s="231">
        <v>1238.2</v>
      </c>
      <c r="L132" s="228">
        <v>-6.6</v>
      </c>
      <c r="M132" s="229">
        <v>-5.3E-3</v>
      </c>
      <c r="N132" s="231">
        <v>1231.4000000000001</v>
      </c>
      <c r="O132" s="231">
        <v>1238.4000000000001</v>
      </c>
      <c r="P132" s="228">
        <v>-7</v>
      </c>
      <c r="Q132" s="229">
        <v>-5.7000000000000002E-3</v>
      </c>
      <c r="R132" s="231">
        <v>1235.2</v>
      </c>
      <c r="S132" s="231">
        <v>1241.9000000000001</v>
      </c>
      <c r="T132" s="228">
        <v>-6.7</v>
      </c>
      <c r="U132" s="229">
        <v>-5.4000000000000003E-3</v>
      </c>
      <c r="V132" s="231">
        <v>1242.0999999999999</v>
      </c>
      <c r="W132" s="231">
        <v>1245.8</v>
      </c>
      <c r="X132" s="228">
        <v>-3.7</v>
      </c>
      <c r="Y132" s="229">
        <v>-3.0000000000000001E-3</v>
      </c>
      <c r="Z132" s="228">
        <v>3.6</v>
      </c>
      <c r="AA132" s="228">
        <v>0.2</v>
      </c>
      <c r="AB132" s="228">
        <v>3.4</v>
      </c>
      <c r="AC132" s="229">
        <v>2.8999999999999998E-3</v>
      </c>
      <c r="AD132" s="228">
        <v>-0.2</v>
      </c>
      <c r="AE132" s="228">
        <v>0.2</v>
      </c>
      <c r="AF132" s="228">
        <v>-0.4</v>
      </c>
      <c r="AG132" s="229">
        <v>-2.0000000000000001E-4</v>
      </c>
      <c r="AH132" s="228">
        <v>3.6</v>
      </c>
      <c r="AI132" s="228">
        <v>3.7</v>
      </c>
      <c r="AJ132" s="228">
        <v>-0.1</v>
      </c>
      <c r="AK132" s="229">
        <v>2.8999999999999998E-3</v>
      </c>
      <c r="AL132" s="228">
        <v>10.5</v>
      </c>
      <c r="AM132" s="228">
        <v>7.6</v>
      </c>
      <c r="AN132" s="228">
        <v>2.9</v>
      </c>
      <c r="AO132" s="229">
        <v>8.5000000000000006E-3</v>
      </c>
      <c r="AP132" s="231">
        <v>1234.75</v>
      </c>
      <c r="AQ132" s="231">
        <v>1238.49</v>
      </c>
      <c r="AR132" s="228">
        <v>0</v>
      </c>
      <c r="AS132" s="228">
        <v>522</v>
      </c>
      <c r="AT132" s="228">
        <v>551</v>
      </c>
      <c r="AU132" s="228">
        <v>-28</v>
      </c>
      <c r="AV132" s="229">
        <v>-5.0900000000000001E-2</v>
      </c>
      <c r="AW132" s="228">
        <v>189</v>
      </c>
      <c r="AX132" s="228">
        <v>262</v>
      </c>
      <c r="AY132" s="228">
        <v>-72</v>
      </c>
      <c r="AZ132" s="229">
        <v>-0.27610000000000001</v>
      </c>
      <c r="BA132" s="228">
        <v>328</v>
      </c>
      <c r="BB132" s="228">
        <v>286</v>
      </c>
      <c r="BC132" s="228">
        <v>42</v>
      </c>
      <c r="BD132" s="229">
        <v>0.1462</v>
      </c>
      <c r="BE132" s="228">
        <v>5</v>
      </c>
      <c r="BF132" s="228">
        <v>3</v>
      </c>
      <c r="BG132" s="228">
        <v>2</v>
      </c>
      <c r="BH132" s="229">
        <v>0.84619999999999995</v>
      </c>
      <c r="BI132" s="228">
        <v>295</v>
      </c>
      <c r="BJ132" s="228">
        <v>366</v>
      </c>
      <c r="BK132" s="228">
        <v>-71</v>
      </c>
      <c r="BL132" s="229">
        <v>-0.19439999999999999</v>
      </c>
      <c r="BM132" s="228">
        <v>183</v>
      </c>
      <c r="BN132" s="228">
        <v>203</v>
      </c>
      <c r="BO132" s="228">
        <v>-20</v>
      </c>
      <c r="BP132" s="229">
        <v>-9.9099999999999994E-2</v>
      </c>
      <c r="BQ132" s="230">
        <v>1001</v>
      </c>
      <c r="BR132" s="230">
        <v>1120</v>
      </c>
      <c r="BS132" s="228">
        <v>-119</v>
      </c>
      <c r="BT132" s="229">
        <v>-0.1066</v>
      </c>
      <c r="BU132" s="230">
        <v>1670925</v>
      </c>
      <c r="BV132" s="230">
        <v>1232601</v>
      </c>
      <c r="BW132" s="230">
        <v>438324</v>
      </c>
      <c r="BX132" s="229">
        <v>0.35560000000000003</v>
      </c>
      <c r="BY132" s="230">
        <v>1130</v>
      </c>
      <c r="BZ132" s="230">
        <v>1180</v>
      </c>
      <c r="CA132" s="228">
        <v>-50</v>
      </c>
      <c r="CB132" s="229">
        <v>-4.2200000000000001E-2</v>
      </c>
      <c r="CC132" s="228">
        <v>154</v>
      </c>
      <c r="CD132" s="228">
        <v>214</v>
      </c>
      <c r="CE132" s="228">
        <v>-60</v>
      </c>
      <c r="CF132" s="229">
        <v>-0.2787</v>
      </c>
      <c r="CG132" s="230">
        <v>1113</v>
      </c>
      <c r="CH132" s="228">
        <v>952</v>
      </c>
      <c r="CI132" s="228">
        <v>161</v>
      </c>
      <c r="CJ132" s="229">
        <v>0.16900000000000001</v>
      </c>
      <c r="CK132" s="228">
        <v>17</v>
      </c>
      <c r="CL132" s="228">
        <v>14</v>
      </c>
      <c r="CM132" s="228">
        <v>3</v>
      </c>
      <c r="CN132" s="229">
        <v>0.23480000000000001</v>
      </c>
      <c r="CO132" s="228">
        <v>131</v>
      </c>
      <c r="CP132" s="228">
        <v>403</v>
      </c>
      <c r="CQ132" s="228">
        <v>-272</v>
      </c>
      <c r="CR132" s="229">
        <v>-0.67459999999999998</v>
      </c>
      <c r="CS132" s="228">
        <v>112</v>
      </c>
      <c r="CT132" s="228">
        <v>260</v>
      </c>
      <c r="CU132" s="228">
        <v>-148</v>
      </c>
      <c r="CV132" s="229">
        <v>-0.56989999999999996</v>
      </c>
      <c r="CW132" s="230">
        <v>1373</v>
      </c>
      <c r="CX132" s="230">
        <v>1843</v>
      </c>
      <c r="CY132" s="228">
        <v>-470</v>
      </c>
      <c r="CZ132" s="229">
        <v>-0.25490000000000002</v>
      </c>
      <c r="DA132" s="228">
        <v>35.39</v>
      </c>
      <c r="DB132" s="228">
        <v>35</v>
      </c>
      <c r="DC132" s="228">
        <v>0.39</v>
      </c>
      <c r="DD132" s="228">
        <v>0.39</v>
      </c>
      <c r="DE132" s="228">
        <v>51.94</v>
      </c>
      <c r="DF132" s="228">
        <v>52.07</v>
      </c>
      <c r="DG132" s="228">
        <v>-16.55</v>
      </c>
      <c r="DH132" s="228">
        <v>-0.13</v>
      </c>
      <c r="DI132" s="228">
        <v>35.729999999999997</v>
      </c>
      <c r="DJ132" s="228">
        <v>34.94</v>
      </c>
      <c r="DK132" s="228">
        <v>0.79</v>
      </c>
      <c r="DL132" s="228">
        <v>0.79</v>
      </c>
      <c r="DM132" s="228">
        <v>34.94</v>
      </c>
      <c r="DN132" s="228">
        <v>35.06</v>
      </c>
      <c r="DO132" s="228">
        <v>-0.12</v>
      </c>
      <c r="DP132" s="228">
        <v>-0.12</v>
      </c>
      <c r="DQ132" s="228">
        <v>0.85</v>
      </c>
      <c r="DR132" s="228">
        <v>0.64</v>
      </c>
      <c r="DS132" s="228">
        <v>0.21</v>
      </c>
      <c r="DT132" s="229">
        <v>0.3281</v>
      </c>
      <c r="DU132" s="231">
        <v>1400</v>
      </c>
      <c r="DV132" s="231">
        <v>1200</v>
      </c>
      <c r="DW132" s="228">
        <v>0.62</v>
      </c>
      <c r="DX132" s="228">
        <v>0.55000000000000004</v>
      </c>
      <c r="DY132" s="228">
        <v>7.0000000000000007E-2</v>
      </c>
      <c r="DZ132" s="229">
        <v>0.1273</v>
      </c>
      <c r="EA132" s="229">
        <v>0.87980000000000003</v>
      </c>
      <c r="EB132" s="230">
        <v>7820550</v>
      </c>
      <c r="EC132" s="229">
        <v>3.0999999999999999E-3</v>
      </c>
      <c r="ED132" s="229">
        <v>0.87980000000000003</v>
      </c>
      <c r="EE132" s="228">
        <v>3.74</v>
      </c>
      <c r="EF132" s="229">
        <v>3.0000000000000001E-3</v>
      </c>
      <c r="EG132" s="230">
        <v>1046818</v>
      </c>
      <c r="EH132" s="230">
        <v>761272</v>
      </c>
      <c r="EI132" s="229">
        <v>0.37509999999999999</v>
      </c>
      <c r="EJ132" s="229">
        <v>0.62649999999999995</v>
      </c>
      <c r="EK132" s="228">
        <v>315.35000000000002</v>
      </c>
      <c r="EL132" s="228">
        <v>186.37</v>
      </c>
      <c r="EM132" s="228">
        <v>523.33000000000004</v>
      </c>
      <c r="EN132" s="228">
        <v>0</v>
      </c>
      <c r="EO132" s="231">
        <v>1025.04</v>
      </c>
      <c r="EP132" s="231">
        <v>1155.52</v>
      </c>
      <c r="EQ132" s="228">
        <v>-130.47</v>
      </c>
      <c r="ER132" s="229">
        <v>-0.1129</v>
      </c>
      <c r="ES132" s="228">
        <v>142.46</v>
      </c>
      <c r="ET132" s="228">
        <v>109.89</v>
      </c>
      <c r="EU132" s="231">
        <v>1130.28</v>
      </c>
      <c r="EV132" s="231">
        <v>55985194</v>
      </c>
      <c r="EW132" s="231">
        <v>1382.64</v>
      </c>
      <c r="EX132" s="231">
        <v>1900.5</v>
      </c>
      <c r="EY132" s="228">
        <v>-517.86</v>
      </c>
      <c r="EZ132" s="229">
        <v>-0.27250000000000002</v>
      </c>
      <c r="FA132" s="229">
        <v>0.1986</v>
      </c>
      <c r="FB132" s="227" t="s">
        <v>568</v>
      </c>
      <c r="FC132">
        <f t="shared" si="2"/>
        <v>976</v>
      </c>
    </row>
    <row r="133" spans="1:159" ht="17.25" thickBot="1" x14ac:dyDescent="0.3">
      <c r="A133" s="226">
        <v>45869</v>
      </c>
      <c r="B133" s="227" t="s">
        <v>184</v>
      </c>
      <c r="C133" s="227" t="s">
        <v>249</v>
      </c>
      <c r="D133" s="228">
        <v>175</v>
      </c>
      <c r="E133" s="228">
        <v>0</v>
      </c>
      <c r="F133" s="231">
        <v>3650.5</v>
      </c>
      <c r="G133" s="231">
        <v>3679.2</v>
      </c>
      <c r="H133" s="228">
        <v>-28.7</v>
      </c>
      <c r="I133" s="229">
        <v>-7.7999999999999996E-3</v>
      </c>
      <c r="J133" s="231">
        <v>3636.5</v>
      </c>
      <c r="K133" s="231">
        <v>3665.1</v>
      </c>
      <c r="L133" s="228">
        <v>-28.6</v>
      </c>
      <c r="M133" s="229">
        <v>-7.7999999999999996E-3</v>
      </c>
      <c r="N133" s="231">
        <v>3630.2</v>
      </c>
      <c r="O133" s="231">
        <v>3657.1</v>
      </c>
      <c r="P133" s="228">
        <v>-26.9</v>
      </c>
      <c r="Q133" s="229">
        <v>-7.4000000000000003E-3</v>
      </c>
      <c r="R133" s="231">
        <v>3650.5</v>
      </c>
      <c r="S133" s="231">
        <v>3679.2</v>
      </c>
      <c r="T133" s="228">
        <v>-28.7</v>
      </c>
      <c r="U133" s="229">
        <v>-7.7999999999999996E-3</v>
      </c>
      <c r="V133" s="231">
        <v>3671.3</v>
      </c>
      <c r="W133" s="231">
        <v>3698.8</v>
      </c>
      <c r="X133" s="228">
        <v>-27.5</v>
      </c>
      <c r="Y133" s="229">
        <v>-7.4000000000000003E-3</v>
      </c>
      <c r="Z133" s="228">
        <v>14</v>
      </c>
      <c r="AA133" s="228">
        <v>-8</v>
      </c>
      <c r="AB133" s="228">
        <v>22</v>
      </c>
      <c r="AC133" s="229">
        <v>3.8E-3</v>
      </c>
      <c r="AD133" s="228">
        <v>-6.3</v>
      </c>
      <c r="AE133" s="228">
        <v>-8</v>
      </c>
      <c r="AF133" s="228">
        <v>1.7</v>
      </c>
      <c r="AG133" s="229">
        <v>-1.6999999999999999E-3</v>
      </c>
      <c r="AH133" s="228">
        <v>14</v>
      </c>
      <c r="AI133" s="228">
        <v>14.1</v>
      </c>
      <c r="AJ133" s="228">
        <v>-0.1</v>
      </c>
      <c r="AK133" s="229">
        <v>3.8E-3</v>
      </c>
      <c r="AL133" s="228">
        <v>34.799999999999997</v>
      </c>
      <c r="AM133" s="228">
        <v>33.700000000000003</v>
      </c>
      <c r="AN133" s="228">
        <v>1.1000000000000001</v>
      </c>
      <c r="AO133" s="229">
        <v>9.5999999999999992E-3</v>
      </c>
      <c r="AP133" s="231">
        <v>3641.56</v>
      </c>
      <c r="AQ133" s="231">
        <v>3662.15</v>
      </c>
      <c r="AR133" s="228">
        <v>0</v>
      </c>
      <c r="AS133" s="230">
        <v>2537</v>
      </c>
      <c r="AT133" s="230">
        <v>5313</v>
      </c>
      <c r="AU133" s="230">
        <v>-2775</v>
      </c>
      <c r="AV133" s="229">
        <v>-0.52239999999999998</v>
      </c>
      <c r="AW133" s="230">
        <v>1149</v>
      </c>
      <c r="AX133" s="230">
        <v>2777</v>
      </c>
      <c r="AY133" s="230">
        <v>-1627</v>
      </c>
      <c r="AZ133" s="229">
        <v>-0.58609999999999995</v>
      </c>
      <c r="BA133" s="230">
        <v>1367</v>
      </c>
      <c r="BB133" s="230">
        <v>2494</v>
      </c>
      <c r="BC133" s="230">
        <v>-1127</v>
      </c>
      <c r="BD133" s="229">
        <v>-0.45179999999999998</v>
      </c>
      <c r="BE133" s="228">
        <v>21</v>
      </c>
      <c r="BF133" s="228">
        <v>42</v>
      </c>
      <c r="BG133" s="228">
        <v>-21</v>
      </c>
      <c r="BH133" s="229">
        <v>-0.503</v>
      </c>
      <c r="BI133" s="230">
        <v>4416</v>
      </c>
      <c r="BJ133" s="230">
        <v>28027</v>
      </c>
      <c r="BK133" s="230">
        <v>-23611</v>
      </c>
      <c r="BL133" s="229">
        <v>-0.84250000000000003</v>
      </c>
      <c r="BM133" s="230">
        <v>2378</v>
      </c>
      <c r="BN133" s="230">
        <v>10141</v>
      </c>
      <c r="BO133" s="230">
        <v>-7763</v>
      </c>
      <c r="BP133" s="229">
        <v>-0.76549999999999996</v>
      </c>
      <c r="BQ133" s="230">
        <v>9331</v>
      </c>
      <c r="BR133" s="230">
        <v>43480</v>
      </c>
      <c r="BS133" s="230">
        <v>-34149</v>
      </c>
      <c r="BT133" s="229">
        <v>-0.78539999999999999</v>
      </c>
      <c r="BU133" s="230">
        <v>2001989</v>
      </c>
      <c r="BV133" s="230">
        <v>9012170</v>
      </c>
      <c r="BW133" s="230">
        <v>-7010181</v>
      </c>
      <c r="BX133" s="229">
        <v>-0.77790000000000004</v>
      </c>
      <c r="BY133" s="230">
        <v>5914</v>
      </c>
      <c r="BZ133" s="230">
        <v>6629</v>
      </c>
      <c r="CA133" s="228">
        <v>-715</v>
      </c>
      <c r="CB133" s="229">
        <v>-0.10780000000000001</v>
      </c>
      <c r="CC133" s="228">
        <v>739</v>
      </c>
      <c r="CD133" s="230">
        <v>1131</v>
      </c>
      <c r="CE133" s="228">
        <v>-392</v>
      </c>
      <c r="CF133" s="229">
        <v>-0.3463</v>
      </c>
      <c r="CG133" s="230">
        <v>5679</v>
      </c>
      <c r="CH133" s="230">
        <v>5270</v>
      </c>
      <c r="CI133" s="228">
        <v>410</v>
      </c>
      <c r="CJ133" s="229">
        <v>7.7799999999999994E-2</v>
      </c>
      <c r="CK133" s="228">
        <v>235</v>
      </c>
      <c r="CL133" s="228">
        <v>229</v>
      </c>
      <c r="CM133" s="228">
        <v>6</v>
      </c>
      <c r="CN133" s="229">
        <v>2.6499999999999999E-2</v>
      </c>
      <c r="CO133" s="228">
        <v>896</v>
      </c>
      <c r="CP133" s="230">
        <v>3516</v>
      </c>
      <c r="CQ133" s="230">
        <v>-2620</v>
      </c>
      <c r="CR133" s="229">
        <v>-0.74529999999999996</v>
      </c>
      <c r="CS133" s="228">
        <v>776</v>
      </c>
      <c r="CT133" s="230">
        <v>2090</v>
      </c>
      <c r="CU133" s="230">
        <v>-1314</v>
      </c>
      <c r="CV133" s="229">
        <v>-0.62849999999999995</v>
      </c>
      <c r="CW133" s="230">
        <v>7586</v>
      </c>
      <c r="CX133" s="230">
        <v>12235</v>
      </c>
      <c r="CY133" s="230">
        <v>-4649</v>
      </c>
      <c r="CZ133" s="229">
        <v>-0.37990000000000002</v>
      </c>
      <c r="DA133" s="228">
        <v>19.04</v>
      </c>
      <c r="DB133" s="228">
        <v>19.75</v>
      </c>
      <c r="DC133" s="228">
        <v>-0.71</v>
      </c>
      <c r="DD133" s="228">
        <v>-0.71</v>
      </c>
      <c r="DE133" s="228">
        <v>30.38</v>
      </c>
      <c r="DF133" s="228">
        <v>30.44</v>
      </c>
      <c r="DG133" s="228">
        <v>-11.34</v>
      </c>
      <c r="DH133" s="228">
        <v>-0.06</v>
      </c>
      <c r="DI133" s="228">
        <v>19.149999999999999</v>
      </c>
      <c r="DJ133" s="228">
        <v>19.36</v>
      </c>
      <c r="DK133" s="228">
        <v>-0.21</v>
      </c>
      <c r="DL133" s="228">
        <v>-0.21</v>
      </c>
      <c r="DM133" s="228">
        <v>18.88</v>
      </c>
      <c r="DN133" s="228">
        <v>20.63</v>
      </c>
      <c r="DO133" s="228">
        <v>-1.75</v>
      </c>
      <c r="DP133" s="228">
        <v>-1.75</v>
      </c>
      <c r="DQ133" s="228">
        <v>0.87</v>
      </c>
      <c r="DR133" s="228">
        <v>0.59</v>
      </c>
      <c r="DS133" s="228">
        <v>0.28000000000000003</v>
      </c>
      <c r="DT133" s="229">
        <v>0.47460000000000002</v>
      </c>
      <c r="DU133" s="231">
        <v>3600</v>
      </c>
      <c r="DV133" s="231">
        <v>3600</v>
      </c>
      <c r="DW133" s="228">
        <v>0.54</v>
      </c>
      <c r="DX133" s="228">
        <v>0.36</v>
      </c>
      <c r="DY133" s="228">
        <v>0.18</v>
      </c>
      <c r="DZ133" s="229">
        <v>0.5</v>
      </c>
      <c r="EA133" s="229">
        <v>0.88890000000000002</v>
      </c>
      <c r="EB133" s="230">
        <v>15062425</v>
      </c>
      <c r="EC133" s="229">
        <v>5.5999999999999999E-3</v>
      </c>
      <c r="ED133" s="229">
        <v>0.88890000000000002</v>
      </c>
      <c r="EE133" s="228">
        <v>20.59</v>
      </c>
      <c r="EF133" s="229">
        <v>5.7000000000000002E-3</v>
      </c>
      <c r="EG133" s="230">
        <v>1081987</v>
      </c>
      <c r="EH133" s="230">
        <v>5180497</v>
      </c>
      <c r="EI133" s="229">
        <v>-0.79110000000000003</v>
      </c>
      <c r="EJ133" s="229">
        <v>0.54049999999999998</v>
      </c>
      <c r="EK133" s="231">
        <v>4516.1000000000004</v>
      </c>
      <c r="EL133" s="231">
        <v>2344.65</v>
      </c>
      <c r="EM133" s="231">
        <v>2539.06</v>
      </c>
      <c r="EN133" s="228">
        <v>0</v>
      </c>
      <c r="EO133" s="231">
        <v>9399.82</v>
      </c>
      <c r="EP133" s="231">
        <v>43748.17</v>
      </c>
      <c r="EQ133" s="231">
        <v>-34348.35</v>
      </c>
      <c r="ER133" s="229">
        <v>-0.78510000000000002</v>
      </c>
      <c r="ES133" s="228">
        <v>920.35</v>
      </c>
      <c r="ET133" s="228">
        <v>750.38</v>
      </c>
      <c r="EU133" s="231">
        <v>5915.76</v>
      </c>
      <c r="EV133" s="231">
        <v>271909552</v>
      </c>
      <c r="EW133" s="231">
        <v>7586.5</v>
      </c>
      <c r="EX133" s="231">
        <v>12270.77</v>
      </c>
      <c r="EY133" s="231">
        <v>-4684.2700000000004</v>
      </c>
      <c r="EZ133" s="229">
        <v>-0.38169999999999998</v>
      </c>
      <c r="FA133" s="229">
        <v>7.6399999999999996E-2</v>
      </c>
      <c r="FB133" s="227" t="s">
        <v>568</v>
      </c>
      <c r="FC133">
        <f t="shared" si="2"/>
        <v>5175</v>
      </c>
    </row>
    <row r="134" spans="1:159" ht="17.25" thickBot="1" x14ac:dyDescent="0.3">
      <c r="A134" s="226">
        <v>45869</v>
      </c>
      <c r="B134" s="227" t="s">
        <v>175</v>
      </c>
      <c r="C134" s="227" t="s">
        <v>565</v>
      </c>
      <c r="D134" s="228">
        <v>4462</v>
      </c>
      <c r="E134" s="228">
        <v>0</v>
      </c>
      <c r="F134" s="228">
        <v>203.68</v>
      </c>
      <c r="G134" s="228">
        <v>204.62</v>
      </c>
      <c r="H134" s="228">
        <v>-0.94</v>
      </c>
      <c r="I134" s="229">
        <v>-4.5999999999999999E-3</v>
      </c>
      <c r="J134" s="228">
        <v>202.59</v>
      </c>
      <c r="K134" s="228">
        <v>203.4</v>
      </c>
      <c r="L134" s="228">
        <v>-0.81</v>
      </c>
      <c r="M134" s="229">
        <v>-4.0000000000000001E-3</v>
      </c>
      <c r="N134" s="228">
        <v>202.72</v>
      </c>
      <c r="O134" s="228">
        <v>203.68</v>
      </c>
      <c r="P134" s="228">
        <v>-0.96</v>
      </c>
      <c r="Q134" s="229">
        <v>-4.7000000000000002E-3</v>
      </c>
      <c r="R134" s="228">
        <v>203.68</v>
      </c>
      <c r="S134" s="228">
        <v>204.62</v>
      </c>
      <c r="T134" s="228">
        <v>-0.94</v>
      </c>
      <c r="U134" s="229">
        <v>-4.5999999999999999E-3</v>
      </c>
      <c r="V134" s="228">
        <v>204.01</v>
      </c>
      <c r="W134" s="228">
        <v>205.15</v>
      </c>
      <c r="X134" s="228">
        <v>-1.1399999999999999</v>
      </c>
      <c r="Y134" s="229">
        <v>-5.5999999999999999E-3</v>
      </c>
      <c r="Z134" s="228">
        <v>1.0900000000000001</v>
      </c>
      <c r="AA134" s="228">
        <v>0.28000000000000003</v>
      </c>
      <c r="AB134" s="228">
        <v>0.81</v>
      </c>
      <c r="AC134" s="229">
        <v>5.4000000000000003E-3</v>
      </c>
      <c r="AD134" s="228">
        <v>0.13</v>
      </c>
      <c r="AE134" s="228">
        <v>0.28000000000000003</v>
      </c>
      <c r="AF134" s="228">
        <v>-0.15</v>
      </c>
      <c r="AG134" s="229">
        <v>5.9999999999999995E-4</v>
      </c>
      <c r="AH134" s="228">
        <v>1.0900000000000001</v>
      </c>
      <c r="AI134" s="228">
        <v>1.22</v>
      </c>
      <c r="AJ134" s="228">
        <v>-0.13</v>
      </c>
      <c r="AK134" s="229">
        <v>5.4000000000000003E-3</v>
      </c>
      <c r="AL134" s="228">
        <v>1.42</v>
      </c>
      <c r="AM134" s="228">
        <v>1.75</v>
      </c>
      <c r="AN134" s="228">
        <v>-0.33</v>
      </c>
      <c r="AO134" s="229">
        <v>7.0000000000000001E-3</v>
      </c>
      <c r="AP134" s="228">
        <v>203.44</v>
      </c>
      <c r="AQ134" s="228">
        <v>204.37</v>
      </c>
      <c r="AR134" s="228">
        <v>0</v>
      </c>
      <c r="AS134" s="228">
        <v>731</v>
      </c>
      <c r="AT134" s="228">
        <v>780</v>
      </c>
      <c r="AU134" s="228">
        <v>-49</v>
      </c>
      <c r="AV134" s="229">
        <v>-6.3100000000000003E-2</v>
      </c>
      <c r="AW134" s="228">
        <v>327</v>
      </c>
      <c r="AX134" s="228">
        <v>359</v>
      </c>
      <c r="AY134" s="228">
        <v>-32</v>
      </c>
      <c r="AZ134" s="229">
        <v>-8.7800000000000003E-2</v>
      </c>
      <c r="BA134" s="228">
        <v>399</v>
      </c>
      <c r="BB134" s="228">
        <v>415</v>
      </c>
      <c r="BC134" s="228">
        <v>-17</v>
      </c>
      <c r="BD134" s="229">
        <v>-3.9800000000000002E-2</v>
      </c>
      <c r="BE134" s="228">
        <v>5</v>
      </c>
      <c r="BF134" s="228">
        <v>6</v>
      </c>
      <c r="BG134" s="228">
        <v>-1</v>
      </c>
      <c r="BH134" s="229">
        <v>-0.19400000000000001</v>
      </c>
      <c r="BI134" s="228">
        <v>475</v>
      </c>
      <c r="BJ134" s="228">
        <v>847</v>
      </c>
      <c r="BK134" s="228">
        <v>-372</v>
      </c>
      <c r="BL134" s="229">
        <v>-0.43919999999999998</v>
      </c>
      <c r="BM134" s="228">
        <v>245</v>
      </c>
      <c r="BN134" s="228">
        <v>546</v>
      </c>
      <c r="BO134" s="228">
        <v>-301</v>
      </c>
      <c r="BP134" s="229">
        <v>-0.55110000000000003</v>
      </c>
      <c r="BQ134" s="230">
        <v>1451</v>
      </c>
      <c r="BR134" s="230">
        <v>2173</v>
      </c>
      <c r="BS134" s="228">
        <v>-722</v>
      </c>
      <c r="BT134" s="229">
        <v>-0.33229999999999998</v>
      </c>
      <c r="BU134" s="230">
        <v>3782632</v>
      </c>
      <c r="BV134" s="230">
        <v>7450694</v>
      </c>
      <c r="BW134" s="230">
        <v>-3668062</v>
      </c>
      <c r="BX134" s="229">
        <v>-0.49230000000000002</v>
      </c>
      <c r="BY134" s="230">
        <v>1024</v>
      </c>
      <c r="BZ134" s="230">
        <v>1143</v>
      </c>
      <c r="CA134" s="228">
        <v>-119</v>
      </c>
      <c r="CB134" s="229">
        <v>-0.10440000000000001</v>
      </c>
      <c r="CC134" s="228">
        <v>60</v>
      </c>
      <c r="CD134" s="228">
        <v>268</v>
      </c>
      <c r="CE134" s="228">
        <v>-208</v>
      </c>
      <c r="CF134" s="229">
        <v>-0.77529999999999999</v>
      </c>
      <c r="CG134" s="228">
        <v>995</v>
      </c>
      <c r="CH134" s="228">
        <v>849</v>
      </c>
      <c r="CI134" s="228">
        <v>146</v>
      </c>
      <c r="CJ134" s="229">
        <v>0.1724</v>
      </c>
      <c r="CK134" s="228">
        <v>28</v>
      </c>
      <c r="CL134" s="228">
        <v>26</v>
      </c>
      <c r="CM134" s="228">
        <v>2</v>
      </c>
      <c r="CN134" s="229">
        <v>7.9299999999999995E-2</v>
      </c>
      <c r="CO134" s="228">
        <v>406</v>
      </c>
      <c r="CP134" s="228">
        <v>890</v>
      </c>
      <c r="CQ134" s="228">
        <v>-483</v>
      </c>
      <c r="CR134" s="229">
        <v>-0.54320000000000002</v>
      </c>
      <c r="CS134" s="228">
        <v>277</v>
      </c>
      <c r="CT134" s="228">
        <v>598</v>
      </c>
      <c r="CU134" s="228">
        <v>-321</v>
      </c>
      <c r="CV134" s="229">
        <v>-0.53720000000000001</v>
      </c>
      <c r="CW134" s="230">
        <v>1707</v>
      </c>
      <c r="CX134" s="230">
        <v>2631</v>
      </c>
      <c r="CY134" s="228">
        <v>-924</v>
      </c>
      <c r="CZ134" s="229">
        <v>-0.35120000000000001</v>
      </c>
      <c r="DA134" s="228">
        <v>32.5</v>
      </c>
      <c r="DB134" s="228">
        <v>31.51</v>
      </c>
      <c r="DC134" s="228">
        <v>0.99</v>
      </c>
      <c r="DD134" s="228">
        <v>0.99</v>
      </c>
      <c r="DE134" s="228">
        <v>40.19</v>
      </c>
      <c r="DF134" s="228">
        <v>40.29</v>
      </c>
      <c r="DG134" s="228">
        <v>-7.69</v>
      </c>
      <c r="DH134" s="228">
        <v>-0.1</v>
      </c>
      <c r="DI134" s="228">
        <v>32.700000000000003</v>
      </c>
      <c r="DJ134" s="228">
        <v>31.58</v>
      </c>
      <c r="DK134" s="228">
        <v>1.1200000000000001</v>
      </c>
      <c r="DL134" s="228">
        <v>1.1200000000000001</v>
      </c>
      <c r="DM134" s="228">
        <v>31.99</v>
      </c>
      <c r="DN134" s="228">
        <v>31.41</v>
      </c>
      <c r="DO134" s="228">
        <v>0.57999999999999996</v>
      </c>
      <c r="DP134" s="228">
        <v>0.57999999999999996</v>
      </c>
      <c r="DQ134" s="228">
        <v>0.68</v>
      </c>
      <c r="DR134" s="228">
        <v>0.67</v>
      </c>
      <c r="DS134" s="228">
        <v>0.01</v>
      </c>
      <c r="DT134" s="229">
        <v>1.49E-2</v>
      </c>
      <c r="DU134" s="228">
        <v>220</v>
      </c>
      <c r="DV134" s="228">
        <v>200</v>
      </c>
      <c r="DW134" s="228">
        <v>0.52</v>
      </c>
      <c r="DX134" s="228">
        <v>0.64</v>
      </c>
      <c r="DY134" s="228">
        <v>-0.12</v>
      </c>
      <c r="DZ134" s="229">
        <v>-0.1875</v>
      </c>
      <c r="EA134" s="229">
        <v>0.94450000000000001</v>
      </c>
      <c r="EB134" s="230">
        <v>42973522</v>
      </c>
      <c r="EC134" s="229">
        <v>4.7000000000000002E-3</v>
      </c>
      <c r="ED134" s="229">
        <v>0.94450000000000001</v>
      </c>
      <c r="EE134" s="228">
        <v>0.93</v>
      </c>
      <c r="EF134" s="229">
        <v>4.5999999999999999E-3</v>
      </c>
      <c r="EG134" s="230">
        <v>1499612</v>
      </c>
      <c r="EH134" s="230">
        <v>4112675</v>
      </c>
      <c r="EI134" s="229">
        <v>-0.63539999999999996</v>
      </c>
      <c r="EJ134" s="229">
        <v>0.39639999999999997</v>
      </c>
      <c r="EK134" s="228">
        <v>498.1</v>
      </c>
      <c r="EL134" s="228">
        <v>243.03</v>
      </c>
      <c r="EM134" s="228">
        <v>731.97</v>
      </c>
      <c r="EN134" s="228">
        <v>0</v>
      </c>
      <c r="EO134" s="231">
        <v>1473.1</v>
      </c>
      <c r="EP134" s="231">
        <v>2215.91</v>
      </c>
      <c r="EQ134" s="228">
        <v>-742.82</v>
      </c>
      <c r="ER134" s="229">
        <v>-0.3352</v>
      </c>
      <c r="ES134" s="228">
        <v>425.51</v>
      </c>
      <c r="ET134" s="228">
        <v>269.07</v>
      </c>
      <c r="EU134" s="231">
        <v>1023.74</v>
      </c>
      <c r="EV134" s="231">
        <v>168467595</v>
      </c>
      <c r="EW134" s="231">
        <v>1718.32</v>
      </c>
      <c r="EX134" s="231">
        <v>2652.38</v>
      </c>
      <c r="EY134" s="228">
        <v>-934.06</v>
      </c>
      <c r="EZ134" s="229">
        <v>-0.35220000000000001</v>
      </c>
      <c r="FA134" s="229">
        <v>0.49740000000000001</v>
      </c>
      <c r="FB134" s="227" t="s">
        <v>568</v>
      </c>
      <c r="FC134">
        <f t="shared" si="2"/>
        <v>964</v>
      </c>
    </row>
    <row r="135" spans="1:159" ht="17.25" thickBot="1" x14ac:dyDescent="0.3">
      <c r="A135" s="226">
        <v>45869</v>
      </c>
      <c r="B135" s="227" t="s">
        <v>221</v>
      </c>
      <c r="C135" s="227" t="s">
        <v>561</v>
      </c>
      <c r="D135" s="228">
        <v>150</v>
      </c>
      <c r="E135" s="228">
        <v>0</v>
      </c>
      <c r="F135" s="231">
        <v>5109</v>
      </c>
      <c r="G135" s="231">
        <v>5126.5</v>
      </c>
      <c r="H135" s="228">
        <v>-17.5</v>
      </c>
      <c r="I135" s="229">
        <v>-3.3999999999999998E-3</v>
      </c>
      <c r="J135" s="231">
        <v>5106</v>
      </c>
      <c r="K135" s="231">
        <v>5139.5</v>
      </c>
      <c r="L135" s="228">
        <v>-33.5</v>
      </c>
      <c r="M135" s="229">
        <v>-6.4999999999999997E-3</v>
      </c>
      <c r="N135" s="231">
        <v>5104</v>
      </c>
      <c r="O135" s="231">
        <v>5146.5</v>
      </c>
      <c r="P135" s="228">
        <v>-42.5</v>
      </c>
      <c r="Q135" s="229">
        <v>-8.3000000000000001E-3</v>
      </c>
      <c r="R135" s="231">
        <v>5109</v>
      </c>
      <c r="S135" s="231">
        <v>5126.5</v>
      </c>
      <c r="T135" s="228">
        <v>-17.5</v>
      </c>
      <c r="U135" s="229">
        <v>-3.3999999999999998E-3</v>
      </c>
      <c r="V135" s="231">
        <v>5116</v>
      </c>
      <c r="W135" s="231">
        <v>5126</v>
      </c>
      <c r="X135" s="228">
        <v>-10</v>
      </c>
      <c r="Y135" s="229">
        <v>-2E-3</v>
      </c>
      <c r="Z135" s="228">
        <v>3</v>
      </c>
      <c r="AA135" s="228">
        <v>7</v>
      </c>
      <c r="AB135" s="228">
        <v>-4</v>
      </c>
      <c r="AC135" s="229">
        <v>5.9999999999999995E-4</v>
      </c>
      <c r="AD135" s="228">
        <v>-2</v>
      </c>
      <c r="AE135" s="228">
        <v>7</v>
      </c>
      <c r="AF135" s="228">
        <v>-9</v>
      </c>
      <c r="AG135" s="229">
        <v>-4.0000000000000002E-4</v>
      </c>
      <c r="AH135" s="228">
        <v>3</v>
      </c>
      <c r="AI135" s="228">
        <v>-13</v>
      </c>
      <c r="AJ135" s="228">
        <v>16</v>
      </c>
      <c r="AK135" s="229">
        <v>5.9999999999999995E-4</v>
      </c>
      <c r="AL135" s="228">
        <v>10</v>
      </c>
      <c r="AM135" s="228">
        <v>-13.5</v>
      </c>
      <c r="AN135" s="228">
        <v>23.5</v>
      </c>
      <c r="AO135" s="229">
        <v>2E-3</v>
      </c>
      <c r="AP135" s="231">
        <v>5117.75</v>
      </c>
      <c r="AQ135" s="231">
        <v>5108.22</v>
      </c>
      <c r="AR135" s="228">
        <v>0</v>
      </c>
      <c r="AS135" s="228">
        <v>411</v>
      </c>
      <c r="AT135" s="228">
        <v>786</v>
      </c>
      <c r="AU135" s="228">
        <v>-375</v>
      </c>
      <c r="AV135" s="229">
        <v>-0.4768</v>
      </c>
      <c r="AW135" s="228">
        <v>161</v>
      </c>
      <c r="AX135" s="228">
        <v>358</v>
      </c>
      <c r="AY135" s="228">
        <v>-197</v>
      </c>
      <c r="AZ135" s="229">
        <v>-0.55089999999999995</v>
      </c>
      <c r="BA135" s="228">
        <v>246</v>
      </c>
      <c r="BB135" s="228">
        <v>415</v>
      </c>
      <c r="BC135" s="228">
        <v>-169</v>
      </c>
      <c r="BD135" s="229">
        <v>-0.40760000000000002</v>
      </c>
      <c r="BE135" s="228">
        <v>4</v>
      </c>
      <c r="BF135" s="228">
        <v>12</v>
      </c>
      <c r="BG135" s="228">
        <v>-8</v>
      </c>
      <c r="BH135" s="229">
        <v>-0.6623</v>
      </c>
      <c r="BI135" s="228">
        <v>371</v>
      </c>
      <c r="BJ135" s="228">
        <v>612</v>
      </c>
      <c r="BK135" s="228">
        <v>-241</v>
      </c>
      <c r="BL135" s="229">
        <v>-0.3931</v>
      </c>
      <c r="BM135" s="228">
        <v>151</v>
      </c>
      <c r="BN135" s="228">
        <v>225</v>
      </c>
      <c r="BO135" s="228">
        <v>-73</v>
      </c>
      <c r="BP135" s="229">
        <v>-0.3256</v>
      </c>
      <c r="BQ135" s="228">
        <v>934</v>
      </c>
      <c r="BR135" s="230">
        <v>1622</v>
      </c>
      <c r="BS135" s="228">
        <v>-688</v>
      </c>
      <c r="BT135" s="229">
        <v>-0.42430000000000001</v>
      </c>
      <c r="BU135" s="230">
        <v>188571</v>
      </c>
      <c r="BV135" s="230">
        <v>157565</v>
      </c>
      <c r="BW135" s="230">
        <v>31006</v>
      </c>
      <c r="BX135" s="229">
        <v>0.1968</v>
      </c>
      <c r="BY135" s="230">
        <v>1272</v>
      </c>
      <c r="BZ135" s="230">
        <v>1371</v>
      </c>
      <c r="CA135" s="228">
        <v>-98</v>
      </c>
      <c r="CB135" s="229">
        <v>-7.1800000000000003E-2</v>
      </c>
      <c r="CC135" s="228">
        <v>61</v>
      </c>
      <c r="CD135" s="228">
        <v>124</v>
      </c>
      <c r="CE135" s="228">
        <v>-63</v>
      </c>
      <c r="CF135" s="229">
        <v>-0.50490000000000002</v>
      </c>
      <c r="CG135" s="230">
        <v>1252</v>
      </c>
      <c r="CH135" s="230">
        <v>1229</v>
      </c>
      <c r="CI135" s="228">
        <v>24</v>
      </c>
      <c r="CJ135" s="229">
        <v>1.9199999999999998E-2</v>
      </c>
      <c r="CK135" s="228">
        <v>20</v>
      </c>
      <c r="CL135" s="228">
        <v>18</v>
      </c>
      <c r="CM135" s="228">
        <v>2</v>
      </c>
      <c r="CN135" s="229">
        <v>0.1144</v>
      </c>
      <c r="CO135" s="228">
        <v>107</v>
      </c>
      <c r="CP135" s="228">
        <v>451</v>
      </c>
      <c r="CQ135" s="228">
        <v>-344</v>
      </c>
      <c r="CR135" s="229">
        <v>-0.76339999999999997</v>
      </c>
      <c r="CS135" s="228">
        <v>81</v>
      </c>
      <c r="CT135" s="228">
        <v>282</v>
      </c>
      <c r="CU135" s="228">
        <v>-201</v>
      </c>
      <c r="CV135" s="229">
        <v>-0.71230000000000004</v>
      </c>
      <c r="CW135" s="230">
        <v>1460</v>
      </c>
      <c r="CX135" s="230">
        <v>2104</v>
      </c>
      <c r="CY135" s="228">
        <v>-644</v>
      </c>
      <c r="CZ135" s="229">
        <v>-0.30599999999999999</v>
      </c>
      <c r="DA135" s="228">
        <v>24.48</v>
      </c>
      <c r="DB135" s="228">
        <v>24.98</v>
      </c>
      <c r="DC135" s="228">
        <v>-0.5</v>
      </c>
      <c r="DD135" s="228">
        <v>-0.5</v>
      </c>
      <c r="DE135" s="228">
        <v>35.1</v>
      </c>
      <c r="DF135" s="228">
        <v>35.18</v>
      </c>
      <c r="DG135" s="228">
        <v>-10.62</v>
      </c>
      <c r="DH135" s="228">
        <v>-0.08</v>
      </c>
      <c r="DI135" s="228">
        <v>24.12</v>
      </c>
      <c r="DJ135" s="228">
        <v>24.72</v>
      </c>
      <c r="DK135" s="228">
        <v>-0.6</v>
      </c>
      <c r="DL135" s="228">
        <v>-0.6</v>
      </c>
      <c r="DM135" s="228">
        <v>25.23</v>
      </c>
      <c r="DN135" s="228">
        <v>25.65</v>
      </c>
      <c r="DO135" s="228">
        <v>-0.42</v>
      </c>
      <c r="DP135" s="228">
        <v>-0.42</v>
      </c>
      <c r="DQ135" s="228">
        <v>0.76</v>
      </c>
      <c r="DR135" s="228">
        <v>0.63</v>
      </c>
      <c r="DS135" s="228">
        <v>0.13</v>
      </c>
      <c r="DT135" s="229">
        <v>0.20630000000000001</v>
      </c>
      <c r="DU135" s="231">
        <v>6200</v>
      </c>
      <c r="DV135" s="231">
        <v>4500</v>
      </c>
      <c r="DW135" s="228">
        <v>0.41</v>
      </c>
      <c r="DX135" s="228">
        <v>0.37</v>
      </c>
      <c r="DY135" s="228">
        <v>0.04</v>
      </c>
      <c r="DZ135" s="229">
        <v>0.1081</v>
      </c>
      <c r="EA135" s="229">
        <v>0.95399999999999996</v>
      </c>
      <c r="EB135" s="230">
        <v>2440050</v>
      </c>
      <c r="EC135" s="229">
        <v>1E-3</v>
      </c>
      <c r="ED135" s="229">
        <v>0.95399999999999996</v>
      </c>
      <c r="EE135" s="228">
        <v>-9.5299999999999994</v>
      </c>
      <c r="EF135" s="229">
        <v>-1.9E-3</v>
      </c>
      <c r="EG135" s="230">
        <v>120786</v>
      </c>
      <c r="EH135" s="230">
        <v>77406</v>
      </c>
      <c r="EI135" s="229">
        <v>0.56040000000000001</v>
      </c>
      <c r="EJ135" s="229">
        <v>0.64049999999999996</v>
      </c>
      <c r="EK135" s="228">
        <v>390.85</v>
      </c>
      <c r="EL135" s="228">
        <v>149.62</v>
      </c>
      <c r="EM135" s="228">
        <v>411.23</v>
      </c>
      <c r="EN135" s="228">
        <v>0</v>
      </c>
      <c r="EO135" s="228">
        <v>951.71</v>
      </c>
      <c r="EP135" s="231">
        <v>1643.22</v>
      </c>
      <c r="EQ135" s="228">
        <v>-691.52</v>
      </c>
      <c r="ER135" s="229">
        <v>-0.42080000000000001</v>
      </c>
      <c r="ES135" s="228">
        <v>112</v>
      </c>
      <c r="ET135" s="228">
        <v>79.11</v>
      </c>
      <c r="EU135" s="231">
        <v>1272.25</v>
      </c>
      <c r="EV135" s="231">
        <v>18620728</v>
      </c>
      <c r="EW135" s="231">
        <v>1463.35</v>
      </c>
      <c r="EX135" s="231">
        <v>2139.0300000000002</v>
      </c>
      <c r="EY135" s="228">
        <v>-675.68</v>
      </c>
      <c r="EZ135" s="229">
        <v>-0.31590000000000001</v>
      </c>
      <c r="FA135" s="229">
        <v>0.1535</v>
      </c>
      <c r="FB135" s="227" t="s">
        <v>568</v>
      </c>
      <c r="FC135">
        <f t="shared" si="2"/>
        <v>1211</v>
      </c>
    </row>
    <row r="136" spans="1:159" ht="17.25" thickBot="1" x14ac:dyDescent="0.3">
      <c r="A136" s="226">
        <v>45869</v>
      </c>
      <c r="B136" s="227" t="s">
        <v>170</v>
      </c>
      <c r="C136" s="227" t="s">
        <v>250</v>
      </c>
      <c r="D136" s="228">
        <v>425</v>
      </c>
      <c r="E136" s="228">
        <v>0</v>
      </c>
      <c r="F136" s="231">
        <v>1935.1</v>
      </c>
      <c r="G136" s="231">
        <v>1995.1</v>
      </c>
      <c r="H136" s="228">
        <v>-60</v>
      </c>
      <c r="I136" s="229">
        <v>-3.0099999999999998E-2</v>
      </c>
      <c r="J136" s="231">
        <v>1929.1</v>
      </c>
      <c r="K136" s="231">
        <v>1984.6</v>
      </c>
      <c r="L136" s="228">
        <v>-55.5</v>
      </c>
      <c r="M136" s="229">
        <v>-2.8000000000000001E-2</v>
      </c>
      <c r="N136" s="231">
        <v>1925.3</v>
      </c>
      <c r="O136" s="231">
        <v>1982.8</v>
      </c>
      <c r="P136" s="228">
        <v>-57.5</v>
      </c>
      <c r="Q136" s="229">
        <v>-2.9000000000000001E-2</v>
      </c>
      <c r="R136" s="231">
        <v>1935.1</v>
      </c>
      <c r="S136" s="231">
        <v>1995.1</v>
      </c>
      <c r="T136" s="228">
        <v>-60</v>
      </c>
      <c r="U136" s="229">
        <v>-3.0099999999999998E-2</v>
      </c>
      <c r="V136" s="231">
        <v>1946</v>
      </c>
      <c r="W136" s="231">
        <v>2006.1</v>
      </c>
      <c r="X136" s="228">
        <v>-60.1</v>
      </c>
      <c r="Y136" s="229">
        <v>-0.03</v>
      </c>
      <c r="Z136" s="228">
        <v>6</v>
      </c>
      <c r="AA136" s="228">
        <v>-1.8</v>
      </c>
      <c r="AB136" s="228">
        <v>7.8</v>
      </c>
      <c r="AC136" s="229">
        <v>3.0999999999999999E-3</v>
      </c>
      <c r="AD136" s="228">
        <v>-3.8</v>
      </c>
      <c r="AE136" s="228">
        <v>-1.8</v>
      </c>
      <c r="AF136" s="228">
        <v>-2</v>
      </c>
      <c r="AG136" s="229">
        <v>-2E-3</v>
      </c>
      <c r="AH136" s="228">
        <v>6</v>
      </c>
      <c r="AI136" s="228">
        <v>10.5</v>
      </c>
      <c r="AJ136" s="228">
        <v>-4.5</v>
      </c>
      <c r="AK136" s="229">
        <v>3.0999999999999999E-3</v>
      </c>
      <c r="AL136" s="228">
        <v>16.899999999999999</v>
      </c>
      <c r="AM136" s="228">
        <v>21.5</v>
      </c>
      <c r="AN136" s="228">
        <v>-4.5999999999999996</v>
      </c>
      <c r="AO136" s="229">
        <v>8.8000000000000005E-3</v>
      </c>
      <c r="AP136" s="231">
        <v>1935.25</v>
      </c>
      <c r="AQ136" s="231">
        <v>1945.75</v>
      </c>
      <c r="AR136" s="228">
        <v>0</v>
      </c>
      <c r="AS136" s="230">
        <v>1688</v>
      </c>
      <c r="AT136" s="230">
        <v>1493</v>
      </c>
      <c r="AU136" s="228">
        <v>195</v>
      </c>
      <c r="AV136" s="229">
        <v>0.13059999999999999</v>
      </c>
      <c r="AW136" s="228">
        <v>700</v>
      </c>
      <c r="AX136" s="228">
        <v>726</v>
      </c>
      <c r="AY136" s="228">
        <v>-26</v>
      </c>
      <c r="AZ136" s="229">
        <v>-3.6200000000000003E-2</v>
      </c>
      <c r="BA136" s="228">
        <v>976</v>
      </c>
      <c r="BB136" s="228">
        <v>762</v>
      </c>
      <c r="BC136" s="228">
        <v>214</v>
      </c>
      <c r="BD136" s="229">
        <v>0.28079999999999999</v>
      </c>
      <c r="BE136" s="228">
        <v>12</v>
      </c>
      <c r="BF136" s="228">
        <v>5</v>
      </c>
      <c r="BG136" s="228">
        <v>7</v>
      </c>
      <c r="BH136" s="229">
        <v>1.5085</v>
      </c>
      <c r="BI136" s="228">
        <v>631</v>
      </c>
      <c r="BJ136" s="228">
        <v>625</v>
      </c>
      <c r="BK136" s="228">
        <v>6</v>
      </c>
      <c r="BL136" s="229">
        <v>0.01</v>
      </c>
      <c r="BM136" s="228">
        <v>581</v>
      </c>
      <c r="BN136" s="228">
        <v>265</v>
      </c>
      <c r="BO136" s="228">
        <v>316</v>
      </c>
      <c r="BP136" s="229">
        <v>1.1930000000000001</v>
      </c>
      <c r="BQ136" s="230">
        <v>2900</v>
      </c>
      <c r="BR136" s="230">
        <v>2383</v>
      </c>
      <c r="BS136" s="228">
        <v>517</v>
      </c>
      <c r="BT136" s="229">
        <v>0.21709999999999999</v>
      </c>
      <c r="BU136" s="230">
        <v>1122881</v>
      </c>
      <c r="BV136" s="230">
        <v>767344</v>
      </c>
      <c r="BW136" s="230">
        <v>355537</v>
      </c>
      <c r="BX136" s="229">
        <v>0.46329999999999999</v>
      </c>
      <c r="BY136" s="230">
        <v>2231</v>
      </c>
      <c r="BZ136" s="230">
        <v>2528</v>
      </c>
      <c r="CA136" s="228">
        <v>-298</v>
      </c>
      <c r="CB136" s="229">
        <v>-0.1178</v>
      </c>
      <c r="CC136" s="228">
        <v>63</v>
      </c>
      <c r="CD136" s="228">
        <v>548</v>
      </c>
      <c r="CE136" s="228">
        <v>-485</v>
      </c>
      <c r="CF136" s="229">
        <v>-0.88590000000000002</v>
      </c>
      <c r="CG136" s="230">
        <v>2218</v>
      </c>
      <c r="CH136" s="230">
        <v>1974</v>
      </c>
      <c r="CI136" s="228">
        <v>245</v>
      </c>
      <c r="CJ136" s="229">
        <v>0.1239</v>
      </c>
      <c r="CK136" s="228">
        <v>13</v>
      </c>
      <c r="CL136" s="228">
        <v>7</v>
      </c>
      <c r="CM136" s="228">
        <v>5</v>
      </c>
      <c r="CN136" s="229">
        <v>0.74709999999999999</v>
      </c>
      <c r="CO136" s="228">
        <v>222</v>
      </c>
      <c r="CP136" s="228">
        <v>564</v>
      </c>
      <c r="CQ136" s="228">
        <v>-342</v>
      </c>
      <c r="CR136" s="229">
        <v>-0.60709999999999997</v>
      </c>
      <c r="CS136" s="228">
        <v>175</v>
      </c>
      <c r="CT136" s="228">
        <v>466</v>
      </c>
      <c r="CU136" s="228">
        <v>-291</v>
      </c>
      <c r="CV136" s="229">
        <v>-0.62509999999999999</v>
      </c>
      <c r="CW136" s="230">
        <v>2627</v>
      </c>
      <c r="CX136" s="230">
        <v>3558</v>
      </c>
      <c r="CY136" s="228">
        <v>-931</v>
      </c>
      <c r="CZ136" s="229">
        <v>-0.26179999999999998</v>
      </c>
      <c r="DA136" s="228">
        <v>32.24</v>
      </c>
      <c r="DB136" s="228">
        <v>31.32</v>
      </c>
      <c r="DC136" s="228">
        <v>0.92</v>
      </c>
      <c r="DD136" s="228">
        <v>0.92</v>
      </c>
      <c r="DE136" s="228">
        <v>33.26</v>
      </c>
      <c r="DF136" s="228">
        <v>33.130000000000003</v>
      </c>
      <c r="DG136" s="228">
        <v>-1.02</v>
      </c>
      <c r="DH136" s="228">
        <v>0.13</v>
      </c>
      <c r="DI136" s="228">
        <v>32.61</v>
      </c>
      <c r="DJ136" s="228">
        <v>31.16</v>
      </c>
      <c r="DK136" s="228">
        <v>1.45</v>
      </c>
      <c r="DL136" s="228">
        <v>1.45</v>
      </c>
      <c r="DM136" s="228">
        <v>31.75</v>
      </c>
      <c r="DN136" s="228">
        <v>31.68</v>
      </c>
      <c r="DO136" s="228">
        <v>7.0000000000000007E-2</v>
      </c>
      <c r="DP136" s="228">
        <v>7.0000000000000007E-2</v>
      </c>
      <c r="DQ136" s="228">
        <v>0.79</v>
      </c>
      <c r="DR136" s="228">
        <v>0.83</v>
      </c>
      <c r="DS136" s="228">
        <v>-0.04</v>
      </c>
      <c r="DT136" s="229">
        <v>-4.82E-2</v>
      </c>
      <c r="DU136" s="231">
        <v>2000</v>
      </c>
      <c r="DV136" s="231">
        <v>1800</v>
      </c>
      <c r="DW136" s="228">
        <v>0.92</v>
      </c>
      <c r="DX136" s="228">
        <v>0.42</v>
      </c>
      <c r="DY136" s="228">
        <v>0.5</v>
      </c>
      <c r="DZ136" s="229">
        <v>1.1904999999999999</v>
      </c>
      <c r="EA136" s="229">
        <v>0.97270000000000001</v>
      </c>
      <c r="EB136" s="230">
        <v>10235700</v>
      </c>
      <c r="EC136" s="229">
        <v>5.1000000000000004E-3</v>
      </c>
      <c r="ED136" s="229">
        <v>0.97270000000000001</v>
      </c>
      <c r="EE136" s="228">
        <v>10.5</v>
      </c>
      <c r="EF136" s="229">
        <v>5.4000000000000003E-3</v>
      </c>
      <c r="EG136" s="230">
        <v>486887</v>
      </c>
      <c r="EH136" s="230">
        <v>428525</v>
      </c>
      <c r="EI136" s="229">
        <v>0.13619999999999999</v>
      </c>
      <c r="EJ136" s="229">
        <v>0.43359999999999999</v>
      </c>
      <c r="EK136" s="228">
        <v>666.78</v>
      </c>
      <c r="EL136" s="228">
        <v>583.05999999999995</v>
      </c>
      <c r="EM136" s="231">
        <v>1693.81</v>
      </c>
      <c r="EN136" s="228">
        <v>0</v>
      </c>
      <c r="EO136" s="231">
        <v>2943.66</v>
      </c>
      <c r="EP136" s="231">
        <v>2462.15</v>
      </c>
      <c r="EQ136" s="228">
        <v>481.51</v>
      </c>
      <c r="ER136" s="229">
        <v>0.1956</v>
      </c>
      <c r="ES136" s="228">
        <v>234.67</v>
      </c>
      <c r="ET136" s="228">
        <v>171.54</v>
      </c>
      <c r="EU136" s="231">
        <v>2230.71</v>
      </c>
      <c r="EV136" s="231">
        <v>48471506</v>
      </c>
      <c r="EW136" s="231">
        <v>2636.92</v>
      </c>
      <c r="EX136" s="231">
        <v>3654.78</v>
      </c>
      <c r="EY136" s="231">
        <v>-1017.86</v>
      </c>
      <c r="EZ136" s="229">
        <v>-0.27850000000000003</v>
      </c>
      <c r="FA136" s="229">
        <v>0.28010000000000002</v>
      </c>
      <c r="FB136" s="227" t="s">
        <v>568</v>
      </c>
      <c r="FC136">
        <f t="shared" si="2"/>
        <v>2168</v>
      </c>
    </row>
    <row r="137" spans="1:159" ht="17.25" thickBot="1" x14ac:dyDescent="0.3">
      <c r="A137" s="226">
        <v>45869</v>
      </c>
      <c r="B137" s="227" t="s">
        <v>162</v>
      </c>
      <c r="C137" s="227" t="s">
        <v>251</v>
      </c>
      <c r="D137" s="228">
        <v>200</v>
      </c>
      <c r="E137" s="228">
        <v>0</v>
      </c>
      <c r="F137" s="231">
        <v>3215.6</v>
      </c>
      <c r="G137" s="231">
        <v>3228.2</v>
      </c>
      <c r="H137" s="228">
        <v>-12.6</v>
      </c>
      <c r="I137" s="229">
        <v>-3.8999999999999998E-3</v>
      </c>
      <c r="J137" s="231">
        <v>3203.1</v>
      </c>
      <c r="K137" s="231">
        <v>3208.9</v>
      </c>
      <c r="L137" s="228">
        <v>-5.8</v>
      </c>
      <c r="M137" s="229">
        <v>-1.8E-3</v>
      </c>
      <c r="N137" s="231">
        <v>3196</v>
      </c>
      <c r="O137" s="231">
        <v>3210.2</v>
      </c>
      <c r="P137" s="228">
        <v>-14.2</v>
      </c>
      <c r="Q137" s="229">
        <v>-4.4000000000000003E-3</v>
      </c>
      <c r="R137" s="231">
        <v>3215.6</v>
      </c>
      <c r="S137" s="231">
        <v>3228.2</v>
      </c>
      <c r="T137" s="228">
        <v>-12.6</v>
      </c>
      <c r="U137" s="229">
        <v>-3.8999999999999998E-3</v>
      </c>
      <c r="V137" s="231">
        <v>3232.8</v>
      </c>
      <c r="W137" s="231">
        <v>3251</v>
      </c>
      <c r="X137" s="228">
        <v>-18.2</v>
      </c>
      <c r="Y137" s="229">
        <v>-5.5999999999999999E-3</v>
      </c>
      <c r="Z137" s="228">
        <v>12.5</v>
      </c>
      <c r="AA137" s="228">
        <v>1.3</v>
      </c>
      <c r="AB137" s="228">
        <v>11.2</v>
      </c>
      <c r="AC137" s="229">
        <v>3.8999999999999998E-3</v>
      </c>
      <c r="AD137" s="228">
        <v>-7.1</v>
      </c>
      <c r="AE137" s="228">
        <v>1.3</v>
      </c>
      <c r="AF137" s="228">
        <v>-8.4</v>
      </c>
      <c r="AG137" s="229">
        <v>-2.2000000000000001E-3</v>
      </c>
      <c r="AH137" s="228">
        <v>12.5</v>
      </c>
      <c r="AI137" s="228">
        <v>19.3</v>
      </c>
      <c r="AJ137" s="228">
        <v>-6.8</v>
      </c>
      <c r="AK137" s="229">
        <v>3.8999999999999998E-3</v>
      </c>
      <c r="AL137" s="228">
        <v>29.7</v>
      </c>
      <c r="AM137" s="228">
        <v>42.1</v>
      </c>
      <c r="AN137" s="228">
        <v>-12.4</v>
      </c>
      <c r="AO137" s="229">
        <v>9.2999999999999992E-3</v>
      </c>
      <c r="AP137" s="231">
        <v>3199.33</v>
      </c>
      <c r="AQ137" s="231">
        <v>3208.73</v>
      </c>
      <c r="AR137" s="228">
        <v>0</v>
      </c>
      <c r="AS137" s="230">
        <v>3444</v>
      </c>
      <c r="AT137" s="230">
        <v>4730</v>
      </c>
      <c r="AU137" s="230">
        <v>-1286</v>
      </c>
      <c r="AV137" s="229">
        <v>-0.27189999999999998</v>
      </c>
      <c r="AW137" s="230">
        <v>1032</v>
      </c>
      <c r="AX137" s="230">
        <v>2073</v>
      </c>
      <c r="AY137" s="230">
        <v>-1041</v>
      </c>
      <c r="AZ137" s="229">
        <v>-0.502</v>
      </c>
      <c r="BA137" s="230">
        <v>2365</v>
      </c>
      <c r="BB137" s="230">
        <v>2637</v>
      </c>
      <c r="BC137" s="228">
        <v>-273</v>
      </c>
      <c r="BD137" s="229">
        <v>-0.10340000000000001</v>
      </c>
      <c r="BE137" s="228">
        <v>47</v>
      </c>
      <c r="BF137" s="228">
        <v>20</v>
      </c>
      <c r="BG137" s="228">
        <v>27</v>
      </c>
      <c r="BH137" s="229">
        <v>1.3513999999999999</v>
      </c>
      <c r="BI137" s="230">
        <v>8638</v>
      </c>
      <c r="BJ137" s="230">
        <v>6262</v>
      </c>
      <c r="BK137" s="230">
        <v>2376</v>
      </c>
      <c r="BL137" s="229">
        <v>0.3795</v>
      </c>
      <c r="BM137" s="230">
        <v>3732</v>
      </c>
      <c r="BN137" s="230">
        <v>2907</v>
      </c>
      <c r="BO137" s="228">
        <v>824</v>
      </c>
      <c r="BP137" s="229">
        <v>0.28349999999999997</v>
      </c>
      <c r="BQ137" s="230">
        <v>15814</v>
      </c>
      <c r="BR137" s="230">
        <v>13899</v>
      </c>
      <c r="BS137" s="230">
        <v>1914</v>
      </c>
      <c r="BT137" s="229">
        <v>0.13769999999999999</v>
      </c>
      <c r="BU137" s="230">
        <v>4592637</v>
      </c>
      <c r="BV137" s="230">
        <v>2299965</v>
      </c>
      <c r="BW137" s="230">
        <v>2292672</v>
      </c>
      <c r="BX137" s="229">
        <v>0.99680000000000002</v>
      </c>
      <c r="BY137" s="230">
        <v>7505</v>
      </c>
      <c r="BZ137" s="230">
        <v>7621</v>
      </c>
      <c r="CA137" s="228">
        <v>-115</v>
      </c>
      <c r="CB137" s="229">
        <v>-1.5100000000000001E-2</v>
      </c>
      <c r="CC137" s="228">
        <v>101</v>
      </c>
      <c r="CD137" s="228">
        <v>571</v>
      </c>
      <c r="CE137" s="228">
        <v>-470</v>
      </c>
      <c r="CF137" s="229">
        <v>-0.82299999999999995</v>
      </c>
      <c r="CG137" s="230">
        <v>7189</v>
      </c>
      <c r="CH137" s="230">
        <v>6747</v>
      </c>
      <c r="CI137" s="228">
        <v>442</v>
      </c>
      <c r="CJ137" s="229">
        <v>6.5500000000000003E-2</v>
      </c>
      <c r="CK137" s="228">
        <v>316</v>
      </c>
      <c r="CL137" s="228">
        <v>302</v>
      </c>
      <c r="CM137" s="228">
        <v>14</v>
      </c>
      <c r="CN137" s="229">
        <v>4.6600000000000003E-2</v>
      </c>
      <c r="CO137" s="230">
        <v>1073</v>
      </c>
      <c r="CP137" s="230">
        <v>1871</v>
      </c>
      <c r="CQ137" s="228">
        <v>-798</v>
      </c>
      <c r="CR137" s="229">
        <v>-0.42659999999999998</v>
      </c>
      <c r="CS137" s="228">
        <v>670</v>
      </c>
      <c r="CT137" s="230">
        <v>1109</v>
      </c>
      <c r="CU137" s="228">
        <v>-438</v>
      </c>
      <c r="CV137" s="229">
        <v>-0.39539999999999997</v>
      </c>
      <c r="CW137" s="230">
        <v>9249</v>
      </c>
      <c r="CX137" s="230">
        <v>10600</v>
      </c>
      <c r="CY137" s="230">
        <v>-1352</v>
      </c>
      <c r="CZ137" s="229">
        <v>-0.1275</v>
      </c>
      <c r="DA137" s="228">
        <v>29.4</v>
      </c>
      <c r="DB137" s="228">
        <v>31.3</v>
      </c>
      <c r="DC137" s="228">
        <v>-1.9</v>
      </c>
      <c r="DD137" s="228">
        <v>-1.9</v>
      </c>
      <c r="DE137" s="228">
        <v>34.369999999999997</v>
      </c>
      <c r="DF137" s="228">
        <v>34.46</v>
      </c>
      <c r="DG137" s="228">
        <v>-4.97</v>
      </c>
      <c r="DH137" s="228">
        <v>-0.09</v>
      </c>
      <c r="DI137" s="228">
        <v>29.23</v>
      </c>
      <c r="DJ137" s="228">
        <v>31.26</v>
      </c>
      <c r="DK137" s="228">
        <v>-2.0299999999999998</v>
      </c>
      <c r="DL137" s="228">
        <v>-2.0299999999999998</v>
      </c>
      <c r="DM137" s="228">
        <v>29.81</v>
      </c>
      <c r="DN137" s="228">
        <v>31.36</v>
      </c>
      <c r="DO137" s="228">
        <v>-1.55</v>
      </c>
      <c r="DP137" s="228">
        <v>-1.55</v>
      </c>
      <c r="DQ137" s="228">
        <v>0.62</v>
      </c>
      <c r="DR137" s="228">
        <v>0.59</v>
      </c>
      <c r="DS137" s="228">
        <v>0.03</v>
      </c>
      <c r="DT137" s="229">
        <v>5.0799999999999998E-2</v>
      </c>
      <c r="DU137" s="231">
        <v>3400</v>
      </c>
      <c r="DV137" s="231">
        <v>3200</v>
      </c>
      <c r="DW137" s="228">
        <v>0.43</v>
      </c>
      <c r="DX137" s="228">
        <v>0.46</v>
      </c>
      <c r="DY137" s="228">
        <v>-0.03</v>
      </c>
      <c r="DZ137" s="229">
        <v>-6.5199999999999994E-2</v>
      </c>
      <c r="EA137" s="229">
        <v>0.98670000000000002</v>
      </c>
      <c r="EB137" s="230">
        <v>21922000</v>
      </c>
      <c r="EC137" s="229">
        <v>6.1000000000000004E-3</v>
      </c>
      <c r="ED137" s="229">
        <v>0.98670000000000002</v>
      </c>
      <c r="EE137" s="228">
        <v>9.4</v>
      </c>
      <c r="EF137" s="229">
        <v>2.8999999999999998E-3</v>
      </c>
      <c r="EG137" s="230">
        <v>2060444</v>
      </c>
      <c r="EH137" s="230">
        <v>1265894</v>
      </c>
      <c r="EI137" s="229">
        <v>0.62770000000000004</v>
      </c>
      <c r="EJ137" s="229">
        <v>0.4486</v>
      </c>
      <c r="EK137" s="231">
        <v>8980.93</v>
      </c>
      <c r="EL137" s="231">
        <v>3663.85</v>
      </c>
      <c r="EM137" s="231">
        <v>3434.06</v>
      </c>
      <c r="EN137" s="228">
        <v>0</v>
      </c>
      <c r="EO137" s="231">
        <v>16078.83</v>
      </c>
      <c r="EP137" s="231">
        <v>14080.7</v>
      </c>
      <c r="EQ137" s="231">
        <v>1998.13</v>
      </c>
      <c r="ER137" s="229">
        <v>0.1419</v>
      </c>
      <c r="ES137" s="231">
        <v>1110.3699999999999</v>
      </c>
      <c r="ET137" s="228">
        <v>643.83000000000004</v>
      </c>
      <c r="EU137" s="231">
        <v>7507.09</v>
      </c>
      <c r="EV137" s="231">
        <v>190580808</v>
      </c>
      <c r="EW137" s="231">
        <v>9261.2900000000009</v>
      </c>
      <c r="EX137" s="231">
        <v>10649.43</v>
      </c>
      <c r="EY137" s="231">
        <v>-1388.14</v>
      </c>
      <c r="EZ137" s="229">
        <v>-0.1303</v>
      </c>
      <c r="FA137" s="229">
        <v>0.15090000000000001</v>
      </c>
      <c r="FB137" s="227" t="s">
        <v>568</v>
      </c>
      <c r="FC137">
        <f t="shared" si="2"/>
        <v>7404</v>
      </c>
    </row>
    <row r="138" spans="1:159" ht="17.25" thickBot="1" x14ac:dyDescent="0.3">
      <c r="A138" s="226">
        <v>45869</v>
      </c>
      <c r="B138" s="227" t="s">
        <v>175</v>
      </c>
      <c r="C138" s="227" t="s">
        <v>252</v>
      </c>
      <c r="D138" s="228">
        <v>2056</v>
      </c>
      <c r="E138" s="228">
        <v>0</v>
      </c>
      <c r="F138" s="228">
        <v>0</v>
      </c>
      <c r="G138" s="228">
        <v>0</v>
      </c>
      <c r="H138" s="228">
        <v>0</v>
      </c>
      <c r="I138" s="229">
        <v>0</v>
      </c>
      <c r="J138" s="228">
        <v>257.5</v>
      </c>
      <c r="K138" s="228">
        <v>257.64999999999998</v>
      </c>
      <c r="L138" s="228">
        <v>-0.15</v>
      </c>
      <c r="M138" s="229">
        <v>-5.9999999999999995E-4</v>
      </c>
      <c r="N138" s="228">
        <v>257.14999999999998</v>
      </c>
      <c r="O138" s="228">
        <v>257.35000000000002</v>
      </c>
      <c r="P138" s="228">
        <v>-0.2</v>
      </c>
      <c r="Q138" s="229">
        <v>-8.0000000000000004E-4</v>
      </c>
      <c r="R138" s="228">
        <v>0</v>
      </c>
      <c r="S138" s="228">
        <v>0</v>
      </c>
      <c r="T138" s="228">
        <v>0</v>
      </c>
      <c r="U138" s="229">
        <v>0</v>
      </c>
      <c r="V138" s="228">
        <v>0</v>
      </c>
      <c r="W138" s="228">
        <v>0</v>
      </c>
      <c r="X138" s="228">
        <v>0</v>
      </c>
      <c r="Y138" s="229">
        <v>0</v>
      </c>
      <c r="Z138" s="228">
        <v>0</v>
      </c>
      <c r="AA138" s="228">
        <v>-0.3</v>
      </c>
      <c r="AB138" s="228">
        <v>0</v>
      </c>
      <c r="AC138" s="229">
        <v>0</v>
      </c>
      <c r="AD138" s="228">
        <v>-0.35</v>
      </c>
      <c r="AE138" s="228">
        <v>-0.3</v>
      </c>
      <c r="AF138" s="228">
        <v>-0.05</v>
      </c>
      <c r="AG138" s="229">
        <v>-1.4E-3</v>
      </c>
      <c r="AH138" s="228">
        <v>0</v>
      </c>
      <c r="AI138" s="228">
        <v>0</v>
      </c>
      <c r="AJ138" s="228">
        <v>0</v>
      </c>
      <c r="AK138" s="229">
        <v>0</v>
      </c>
      <c r="AL138" s="228">
        <v>0</v>
      </c>
      <c r="AM138" s="228">
        <v>0</v>
      </c>
      <c r="AN138" s="228">
        <v>0</v>
      </c>
      <c r="AO138" s="229">
        <v>0</v>
      </c>
      <c r="AP138" s="228">
        <v>256.33999999999997</v>
      </c>
      <c r="AQ138" s="228">
        <v>0</v>
      </c>
      <c r="AR138" s="228">
        <v>0</v>
      </c>
      <c r="AS138" s="228">
        <v>0</v>
      </c>
      <c r="AT138" s="228">
        <v>0</v>
      </c>
      <c r="AU138" s="228">
        <v>0</v>
      </c>
      <c r="AV138" s="229">
        <v>6.9199999999999998E-2</v>
      </c>
      <c r="AW138" s="228">
        <v>0</v>
      </c>
      <c r="AX138" s="228">
        <v>0</v>
      </c>
      <c r="AY138" s="228">
        <v>0</v>
      </c>
      <c r="AZ138" s="229">
        <v>6.9199999999999998E-2</v>
      </c>
      <c r="BA138" s="228">
        <v>0</v>
      </c>
      <c r="BB138" s="228">
        <v>0</v>
      </c>
      <c r="BC138" s="228">
        <v>0</v>
      </c>
      <c r="BD138" s="229">
        <v>0</v>
      </c>
      <c r="BE138" s="228">
        <v>0</v>
      </c>
      <c r="BF138" s="228">
        <v>0</v>
      </c>
      <c r="BG138" s="228">
        <v>0</v>
      </c>
      <c r="BH138" s="229">
        <v>0</v>
      </c>
      <c r="BI138" s="228">
        <v>0</v>
      </c>
      <c r="BJ138" s="228">
        <v>0</v>
      </c>
      <c r="BK138" s="228">
        <v>0</v>
      </c>
      <c r="BL138" s="229">
        <v>-0.42020000000000002</v>
      </c>
      <c r="BM138" s="228">
        <v>0</v>
      </c>
      <c r="BN138" s="228">
        <v>0</v>
      </c>
      <c r="BO138" s="228">
        <v>0</v>
      </c>
      <c r="BP138" s="229">
        <v>-0.32140000000000002</v>
      </c>
      <c r="BQ138" s="228">
        <v>0</v>
      </c>
      <c r="BR138" s="228">
        <v>0</v>
      </c>
      <c r="BS138" s="228">
        <v>0</v>
      </c>
      <c r="BT138" s="229">
        <v>-0.22459999999999999</v>
      </c>
      <c r="BU138" s="230">
        <v>6794339</v>
      </c>
      <c r="BV138" s="230">
        <v>6411027</v>
      </c>
      <c r="BW138" s="230">
        <v>383312</v>
      </c>
      <c r="BX138" s="229">
        <v>5.9799999999999999E-2</v>
      </c>
      <c r="BY138" s="228">
        <v>0</v>
      </c>
      <c r="BZ138" s="228">
        <v>0</v>
      </c>
      <c r="CA138" s="228">
        <v>0</v>
      </c>
      <c r="CB138" s="229">
        <v>-1</v>
      </c>
      <c r="CC138" s="228">
        <v>0</v>
      </c>
      <c r="CD138" s="228">
        <v>0</v>
      </c>
      <c r="CE138" s="228">
        <v>0</v>
      </c>
      <c r="CF138" s="229">
        <v>-0.56089999999999995</v>
      </c>
      <c r="CG138" s="228">
        <v>0</v>
      </c>
      <c r="CH138" s="228">
        <v>0</v>
      </c>
      <c r="CI138" s="228">
        <v>0</v>
      </c>
      <c r="CJ138" s="229">
        <v>0</v>
      </c>
      <c r="CK138" s="228">
        <v>0</v>
      </c>
      <c r="CL138" s="228">
        <v>0</v>
      </c>
      <c r="CM138" s="228">
        <v>0</v>
      </c>
      <c r="CN138" s="229">
        <v>0</v>
      </c>
      <c r="CO138" s="228">
        <v>0</v>
      </c>
      <c r="CP138" s="228">
        <v>0</v>
      </c>
      <c r="CQ138" s="228">
        <v>0</v>
      </c>
      <c r="CR138" s="229">
        <v>-0.19739999999999999</v>
      </c>
      <c r="CS138" s="228">
        <v>0</v>
      </c>
      <c r="CT138" s="228">
        <v>0</v>
      </c>
      <c r="CU138" s="228">
        <v>0</v>
      </c>
      <c r="CV138" s="229">
        <v>-0.1226</v>
      </c>
      <c r="CW138" s="228">
        <v>0</v>
      </c>
      <c r="CX138" s="228">
        <v>0</v>
      </c>
      <c r="CY138" s="228">
        <v>0</v>
      </c>
      <c r="CZ138" s="229">
        <v>-0.43390000000000001</v>
      </c>
      <c r="DA138" s="228">
        <v>36.92</v>
      </c>
      <c r="DB138" s="228">
        <v>36.92</v>
      </c>
      <c r="DC138" s="228">
        <v>0</v>
      </c>
      <c r="DD138" s="228">
        <v>0</v>
      </c>
      <c r="DE138" s="228">
        <v>36.92</v>
      </c>
      <c r="DF138" s="228">
        <v>36.92</v>
      </c>
      <c r="DG138" s="228">
        <v>0</v>
      </c>
      <c r="DH138" s="228">
        <v>0</v>
      </c>
      <c r="DI138" s="228">
        <v>36.92</v>
      </c>
      <c r="DJ138" s="228">
        <v>36.92</v>
      </c>
      <c r="DK138" s="228">
        <v>0</v>
      </c>
      <c r="DL138" s="228">
        <v>0</v>
      </c>
      <c r="DM138" s="228">
        <v>36.92</v>
      </c>
      <c r="DN138" s="228">
        <v>36.92</v>
      </c>
      <c r="DO138" s="228">
        <v>0</v>
      </c>
      <c r="DP138" s="228">
        <v>0</v>
      </c>
      <c r="DQ138" s="228">
        <v>0.42</v>
      </c>
      <c r="DR138" s="228">
        <v>0.38</v>
      </c>
      <c r="DS138" s="228">
        <v>0.04</v>
      </c>
      <c r="DT138" s="229">
        <v>0.1053</v>
      </c>
      <c r="DU138" s="228">
        <v>273.5</v>
      </c>
      <c r="DV138" s="228">
        <v>223.5</v>
      </c>
      <c r="DW138" s="228">
        <v>0.33</v>
      </c>
      <c r="DX138" s="228">
        <v>0.28999999999999998</v>
      </c>
      <c r="DY138" s="228">
        <v>0.04</v>
      </c>
      <c r="DZ138" s="229">
        <v>0.13789999999999999</v>
      </c>
      <c r="EA138" s="229">
        <v>0</v>
      </c>
      <c r="EB138" s="228">
        <v>0</v>
      </c>
      <c r="EC138" s="229">
        <v>0</v>
      </c>
      <c r="ED138" s="229">
        <v>0</v>
      </c>
      <c r="EE138" s="228">
        <v>0</v>
      </c>
      <c r="EF138" s="229">
        <v>0</v>
      </c>
      <c r="EG138" s="230">
        <v>4816772</v>
      </c>
      <c r="EH138" s="230">
        <v>4484907</v>
      </c>
      <c r="EI138" s="229">
        <v>7.3999999999999996E-2</v>
      </c>
      <c r="EJ138" s="229">
        <v>0.70889999999999997</v>
      </c>
      <c r="EK138" s="228">
        <v>122.49</v>
      </c>
      <c r="EL138" s="228">
        <v>40.56</v>
      </c>
      <c r="EM138" s="228">
        <v>166.86</v>
      </c>
      <c r="EN138" s="228">
        <v>0</v>
      </c>
      <c r="EO138" s="228">
        <v>329.91</v>
      </c>
      <c r="EP138" s="228">
        <v>425.81</v>
      </c>
      <c r="EQ138" s="228">
        <v>-95.9</v>
      </c>
      <c r="ER138" s="229">
        <v>-0.22520000000000001</v>
      </c>
      <c r="ES138" s="228">
        <v>0</v>
      </c>
      <c r="ET138" s="228">
        <v>0</v>
      </c>
      <c r="EU138" s="228">
        <v>0</v>
      </c>
      <c r="EV138" s="231">
        <v>131950203</v>
      </c>
      <c r="EW138" s="228">
        <v>0</v>
      </c>
      <c r="EX138" s="228">
        <v>525.66</v>
      </c>
      <c r="EY138" s="228">
        <v>-525.66</v>
      </c>
      <c r="EZ138" s="229">
        <v>-1</v>
      </c>
      <c r="FA138" s="229">
        <v>8.5099999999999995E-2</v>
      </c>
      <c r="FB138" s="227" t="s">
        <v>237</v>
      </c>
      <c r="FC138">
        <f t="shared" si="2"/>
        <v>0</v>
      </c>
    </row>
    <row r="139" spans="1:159" ht="17.25" thickBot="1" x14ac:dyDescent="0.3">
      <c r="A139" s="226">
        <v>45869</v>
      </c>
      <c r="B139" s="227" t="s">
        <v>175</v>
      </c>
      <c r="C139" s="227" t="s">
        <v>253</v>
      </c>
      <c r="D139" s="228">
        <v>3000</v>
      </c>
      <c r="E139" s="228">
        <v>0</v>
      </c>
      <c r="F139" s="228">
        <v>254.4</v>
      </c>
      <c r="G139" s="228">
        <v>257.25</v>
      </c>
      <c r="H139" s="228">
        <v>-2.85</v>
      </c>
      <c r="I139" s="229">
        <v>-1.11E-2</v>
      </c>
      <c r="J139" s="228">
        <v>253.05</v>
      </c>
      <c r="K139" s="228">
        <v>256.55</v>
      </c>
      <c r="L139" s="228">
        <v>-3.5</v>
      </c>
      <c r="M139" s="229">
        <v>-1.3599999999999999E-2</v>
      </c>
      <c r="N139" s="228">
        <v>253.35</v>
      </c>
      <c r="O139" s="228">
        <v>256.45</v>
      </c>
      <c r="P139" s="228">
        <v>-3.1</v>
      </c>
      <c r="Q139" s="229">
        <v>-1.21E-2</v>
      </c>
      <c r="R139" s="228">
        <v>254.4</v>
      </c>
      <c r="S139" s="228">
        <v>257.25</v>
      </c>
      <c r="T139" s="228">
        <v>-2.85</v>
      </c>
      <c r="U139" s="229">
        <v>-1.11E-2</v>
      </c>
      <c r="V139" s="228">
        <v>256.05</v>
      </c>
      <c r="W139" s="228">
        <v>258.3</v>
      </c>
      <c r="X139" s="228">
        <v>-2.25</v>
      </c>
      <c r="Y139" s="229">
        <v>-8.6999999999999994E-3</v>
      </c>
      <c r="Z139" s="228">
        <v>1.35</v>
      </c>
      <c r="AA139" s="228">
        <v>-0.1</v>
      </c>
      <c r="AB139" s="228">
        <v>1.45</v>
      </c>
      <c r="AC139" s="229">
        <v>5.3E-3</v>
      </c>
      <c r="AD139" s="228">
        <v>0.3</v>
      </c>
      <c r="AE139" s="228">
        <v>-0.1</v>
      </c>
      <c r="AF139" s="228">
        <v>0.4</v>
      </c>
      <c r="AG139" s="229">
        <v>1.1999999999999999E-3</v>
      </c>
      <c r="AH139" s="228">
        <v>1.35</v>
      </c>
      <c r="AI139" s="228">
        <v>0.7</v>
      </c>
      <c r="AJ139" s="228">
        <v>0.65</v>
      </c>
      <c r="AK139" s="229">
        <v>5.3E-3</v>
      </c>
      <c r="AL139" s="228">
        <v>3</v>
      </c>
      <c r="AM139" s="228">
        <v>1.75</v>
      </c>
      <c r="AN139" s="228">
        <v>1.25</v>
      </c>
      <c r="AO139" s="229">
        <v>1.1900000000000001E-2</v>
      </c>
      <c r="AP139" s="228">
        <v>253.51</v>
      </c>
      <c r="AQ139" s="228">
        <v>254.41</v>
      </c>
      <c r="AR139" s="228">
        <v>0</v>
      </c>
      <c r="AS139" s="228">
        <v>370</v>
      </c>
      <c r="AT139" s="228">
        <v>460</v>
      </c>
      <c r="AU139" s="228">
        <v>-90</v>
      </c>
      <c r="AV139" s="229">
        <v>-0.19500000000000001</v>
      </c>
      <c r="AW139" s="228">
        <v>166</v>
      </c>
      <c r="AX139" s="228">
        <v>223</v>
      </c>
      <c r="AY139" s="228">
        <v>-57</v>
      </c>
      <c r="AZ139" s="229">
        <v>-0.25659999999999999</v>
      </c>
      <c r="BA139" s="228">
        <v>203</v>
      </c>
      <c r="BB139" s="228">
        <v>235</v>
      </c>
      <c r="BC139" s="228">
        <v>-31</v>
      </c>
      <c r="BD139" s="229">
        <v>-0.1331</v>
      </c>
      <c r="BE139" s="228">
        <v>1</v>
      </c>
      <c r="BF139" s="228">
        <v>2</v>
      </c>
      <c r="BG139" s="228">
        <v>-1</v>
      </c>
      <c r="BH139" s="229">
        <v>-0.55169999999999997</v>
      </c>
      <c r="BI139" s="228">
        <v>230</v>
      </c>
      <c r="BJ139" s="228">
        <v>338</v>
      </c>
      <c r="BK139" s="228">
        <v>-108</v>
      </c>
      <c r="BL139" s="229">
        <v>-0.31950000000000001</v>
      </c>
      <c r="BM139" s="228">
        <v>267</v>
      </c>
      <c r="BN139" s="228">
        <v>365</v>
      </c>
      <c r="BO139" s="228">
        <v>-98</v>
      </c>
      <c r="BP139" s="229">
        <v>-0.26740000000000003</v>
      </c>
      <c r="BQ139" s="228">
        <v>867</v>
      </c>
      <c r="BR139" s="230">
        <v>1163</v>
      </c>
      <c r="BS139" s="228">
        <v>-295</v>
      </c>
      <c r="BT139" s="229">
        <v>-0.25390000000000001</v>
      </c>
      <c r="BU139" s="230">
        <v>2806549</v>
      </c>
      <c r="BV139" s="230">
        <v>3418054</v>
      </c>
      <c r="BW139" s="230">
        <v>-611505</v>
      </c>
      <c r="BX139" s="229">
        <v>-0.1789</v>
      </c>
      <c r="BY139" s="228">
        <v>529</v>
      </c>
      <c r="BZ139" s="228">
        <v>552</v>
      </c>
      <c r="CA139" s="228">
        <v>-23</v>
      </c>
      <c r="CB139" s="229">
        <v>-4.2299999999999997E-2</v>
      </c>
      <c r="CC139" s="228">
        <v>69</v>
      </c>
      <c r="CD139" s="228">
        <v>121</v>
      </c>
      <c r="CE139" s="228">
        <v>-52</v>
      </c>
      <c r="CF139" s="229">
        <v>-0.4294</v>
      </c>
      <c r="CG139" s="228">
        <v>523</v>
      </c>
      <c r="CH139" s="228">
        <v>426</v>
      </c>
      <c r="CI139" s="228">
        <v>97</v>
      </c>
      <c r="CJ139" s="229">
        <v>0.2276</v>
      </c>
      <c r="CK139" s="228">
        <v>6</v>
      </c>
      <c r="CL139" s="228">
        <v>6</v>
      </c>
      <c r="CM139" s="228">
        <v>0</v>
      </c>
      <c r="CN139" s="229">
        <v>4.1099999999999998E-2</v>
      </c>
      <c r="CO139" s="228">
        <v>151</v>
      </c>
      <c r="CP139" s="228">
        <v>352</v>
      </c>
      <c r="CQ139" s="228">
        <v>-200</v>
      </c>
      <c r="CR139" s="229">
        <v>-0.5696</v>
      </c>
      <c r="CS139" s="228">
        <v>233</v>
      </c>
      <c r="CT139" s="228">
        <v>370</v>
      </c>
      <c r="CU139" s="228">
        <v>-137</v>
      </c>
      <c r="CV139" s="229">
        <v>-0.36909999999999998</v>
      </c>
      <c r="CW139" s="228">
        <v>913</v>
      </c>
      <c r="CX139" s="230">
        <v>1274</v>
      </c>
      <c r="CY139" s="228">
        <v>-360</v>
      </c>
      <c r="CZ139" s="229">
        <v>-0.28289999999999998</v>
      </c>
      <c r="DA139" s="228">
        <v>26.7</v>
      </c>
      <c r="DB139" s="228">
        <v>28.57</v>
      </c>
      <c r="DC139" s="228">
        <v>-1.87</v>
      </c>
      <c r="DD139" s="228">
        <v>-1.87</v>
      </c>
      <c r="DE139" s="228">
        <v>45.41</v>
      </c>
      <c r="DF139" s="228">
        <v>45.48</v>
      </c>
      <c r="DG139" s="228">
        <v>-18.71</v>
      </c>
      <c r="DH139" s="228">
        <v>-7.0000000000000007E-2</v>
      </c>
      <c r="DI139" s="228">
        <v>27.04</v>
      </c>
      <c r="DJ139" s="228">
        <v>29.43</v>
      </c>
      <c r="DK139" s="228">
        <v>-2.39</v>
      </c>
      <c r="DL139" s="228">
        <v>-2.39</v>
      </c>
      <c r="DM139" s="228">
        <v>26.45</v>
      </c>
      <c r="DN139" s="228">
        <v>28.22</v>
      </c>
      <c r="DO139" s="228">
        <v>-1.77</v>
      </c>
      <c r="DP139" s="228">
        <v>-1.77</v>
      </c>
      <c r="DQ139" s="228">
        <v>1.54</v>
      </c>
      <c r="DR139" s="228">
        <v>1.05</v>
      </c>
      <c r="DS139" s="228">
        <v>0.49</v>
      </c>
      <c r="DT139" s="229">
        <v>0.4667</v>
      </c>
      <c r="DU139" s="228">
        <v>280</v>
      </c>
      <c r="DV139" s="228">
        <v>240</v>
      </c>
      <c r="DW139" s="228">
        <v>1.1599999999999999</v>
      </c>
      <c r="DX139" s="228">
        <v>1.08</v>
      </c>
      <c r="DY139" s="228">
        <v>0.08</v>
      </c>
      <c r="DZ139" s="229">
        <v>7.4099999999999999E-2</v>
      </c>
      <c r="EA139" s="229">
        <v>0.88490000000000002</v>
      </c>
      <c r="EB139" s="230">
        <v>16956000</v>
      </c>
      <c r="EC139" s="229">
        <v>4.1000000000000003E-3</v>
      </c>
      <c r="ED139" s="229">
        <v>0.88490000000000002</v>
      </c>
      <c r="EE139" s="228">
        <v>0.9</v>
      </c>
      <c r="EF139" s="229">
        <v>3.5999999999999999E-3</v>
      </c>
      <c r="EG139" s="230">
        <v>1335224</v>
      </c>
      <c r="EH139" s="230">
        <v>1556174</v>
      </c>
      <c r="EI139" s="229">
        <v>-0.14199999999999999</v>
      </c>
      <c r="EJ139" s="229">
        <v>0.4758</v>
      </c>
      <c r="EK139" s="228">
        <v>241.67</v>
      </c>
      <c r="EL139" s="228">
        <v>266.19</v>
      </c>
      <c r="EM139" s="228">
        <v>369.66</v>
      </c>
      <c r="EN139" s="228">
        <v>0</v>
      </c>
      <c r="EO139" s="228">
        <v>877.52</v>
      </c>
      <c r="EP139" s="231">
        <v>1182.83</v>
      </c>
      <c r="EQ139" s="228">
        <v>-305.31</v>
      </c>
      <c r="ER139" s="229">
        <v>-0.2581</v>
      </c>
      <c r="ES139" s="228">
        <v>163.36000000000001</v>
      </c>
      <c r="ET139" s="228">
        <v>224.09</v>
      </c>
      <c r="EU139" s="228">
        <v>528.54999999999995</v>
      </c>
      <c r="EV139" s="231">
        <v>109606743</v>
      </c>
      <c r="EW139" s="228">
        <v>916.01</v>
      </c>
      <c r="EX139" s="231">
        <v>1310.6199999999999</v>
      </c>
      <c r="EY139" s="228">
        <v>-394.61</v>
      </c>
      <c r="EZ139" s="229">
        <v>-0.30109999999999998</v>
      </c>
      <c r="FA139" s="229">
        <v>0.32750000000000001</v>
      </c>
      <c r="FB139" s="227" t="s">
        <v>568</v>
      </c>
      <c r="FC139">
        <f t="shared" si="2"/>
        <v>460</v>
      </c>
    </row>
    <row r="140" spans="1:159" ht="17.25" thickBot="1" x14ac:dyDescent="0.3">
      <c r="A140" s="226">
        <v>45869</v>
      </c>
      <c r="B140" s="227" t="s">
        <v>170</v>
      </c>
      <c r="C140" s="227" t="s">
        <v>674</v>
      </c>
      <c r="D140" s="228">
        <v>225</v>
      </c>
      <c r="E140" s="228">
        <v>0</v>
      </c>
      <c r="F140" s="231">
        <v>2567.6</v>
      </c>
      <c r="G140" s="231">
        <v>2573.1</v>
      </c>
      <c r="H140" s="228">
        <v>-5.5</v>
      </c>
      <c r="I140" s="229">
        <v>-2.0999999999999999E-3</v>
      </c>
      <c r="J140" s="231">
        <v>2567.1999999999998</v>
      </c>
      <c r="K140" s="231">
        <v>2575.5</v>
      </c>
      <c r="L140" s="228">
        <v>-8.3000000000000007</v>
      </c>
      <c r="M140" s="229">
        <v>-3.2000000000000002E-3</v>
      </c>
      <c r="N140" s="231">
        <v>2572.1999999999998</v>
      </c>
      <c r="O140" s="231">
        <v>2571.4</v>
      </c>
      <c r="P140" s="228">
        <v>0.8</v>
      </c>
      <c r="Q140" s="229">
        <v>2.9999999999999997E-4</v>
      </c>
      <c r="R140" s="231">
        <v>2567.6</v>
      </c>
      <c r="S140" s="231">
        <v>2573.1</v>
      </c>
      <c r="T140" s="228">
        <v>-5.5</v>
      </c>
      <c r="U140" s="229">
        <v>-2.0999999999999999E-3</v>
      </c>
      <c r="V140" s="231">
        <v>2570.6</v>
      </c>
      <c r="W140" s="231">
        <v>2575.5</v>
      </c>
      <c r="X140" s="228">
        <v>-4.9000000000000004</v>
      </c>
      <c r="Y140" s="229">
        <v>-1.9E-3</v>
      </c>
      <c r="Z140" s="228">
        <v>0.4</v>
      </c>
      <c r="AA140" s="228">
        <v>-4.0999999999999996</v>
      </c>
      <c r="AB140" s="228">
        <v>4.5</v>
      </c>
      <c r="AC140" s="229">
        <v>2.0000000000000001E-4</v>
      </c>
      <c r="AD140" s="228">
        <v>5</v>
      </c>
      <c r="AE140" s="228">
        <v>-4.0999999999999996</v>
      </c>
      <c r="AF140" s="228">
        <v>9.1</v>
      </c>
      <c r="AG140" s="229">
        <v>1.9E-3</v>
      </c>
      <c r="AH140" s="228">
        <v>0.4</v>
      </c>
      <c r="AI140" s="228">
        <v>-2.4</v>
      </c>
      <c r="AJ140" s="228">
        <v>2.8</v>
      </c>
      <c r="AK140" s="229">
        <v>2.0000000000000001E-4</v>
      </c>
      <c r="AL140" s="228">
        <v>3.4</v>
      </c>
      <c r="AM140" s="228">
        <v>0</v>
      </c>
      <c r="AN140" s="228">
        <v>3.4</v>
      </c>
      <c r="AO140" s="229">
        <v>1.2999999999999999E-3</v>
      </c>
      <c r="AP140" s="231">
        <v>2573.54</v>
      </c>
      <c r="AQ140" s="231">
        <v>2572.4499999999998</v>
      </c>
      <c r="AR140" s="228">
        <v>0</v>
      </c>
      <c r="AS140" s="228">
        <v>498</v>
      </c>
      <c r="AT140" s="228">
        <v>416</v>
      </c>
      <c r="AU140" s="228">
        <v>82</v>
      </c>
      <c r="AV140" s="229">
        <v>0.19689999999999999</v>
      </c>
      <c r="AW140" s="228">
        <v>174</v>
      </c>
      <c r="AX140" s="228">
        <v>175</v>
      </c>
      <c r="AY140" s="228">
        <v>0</v>
      </c>
      <c r="AZ140" s="229">
        <v>-1.6999999999999999E-3</v>
      </c>
      <c r="BA140" s="228">
        <v>321</v>
      </c>
      <c r="BB140" s="228">
        <v>241</v>
      </c>
      <c r="BC140" s="228">
        <v>80</v>
      </c>
      <c r="BD140" s="229">
        <v>0.33289999999999997</v>
      </c>
      <c r="BE140" s="228">
        <v>2</v>
      </c>
      <c r="BF140" s="228">
        <v>0</v>
      </c>
      <c r="BG140" s="228">
        <v>2</v>
      </c>
      <c r="BH140" s="229">
        <v>6.8</v>
      </c>
      <c r="BI140" s="228">
        <v>475</v>
      </c>
      <c r="BJ140" s="228">
        <v>499</v>
      </c>
      <c r="BK140" s="228">
        <v>-24</v>
      </c>
      <c r="BL140" s="229">
        <v>-4.87E-2</v>
      </c>
      <c r="BM140" s="228">
        <v>247</v>
      </c>
      <c r="BN140" s="228">
        <v>168</v>
      </c>
      <c r="BO140" s="228">
        <v>79</v>
      </c>
      <c r="BP140" s="229">
        <v>0.47110000000000002</v>
      </c>
      <c r="BQ140" s="230">
        <v>1220</v>
      </c>
      <c r="BR140" s="230">
        <v>1083</v>
      </c>
      <c r="BS140" s="228">
        <v>137</v>
      </c>
      <c r="BT140" s="229">
        <v>0.12620000000000001</v>
      </c>
      <c r="BU140" s="230">
        <v>466670</v>
      </c>
      <c r="BV140" s="230">
        <v>774538</v>
      </c>
      <c r="BW140" s="230">
        <v>-307868</v>
      </c>
      <c r="BX140" s="229">
        <v>-0.39750000000000002</v>
      </c>
      <c r="BY140" s="228">
        <v>414</v>
      </c>
      <c r="BZ140" s="228">
        <v>474</v>
      </c>
      <c r="CA140" s="228">
        <v>-60</v>
      </c>
      <c r="CB140" s="229">
        <v>-0.1273</v>
      </c>
      <c r="CC140" s="228">
        <v>50</v>
      </c>
      <c r="CD140" s="228">
        <v>104</v>
      </c>
      <c r="CE140" s="228">
        <v>-54</v>
      </c>
      <c r="CF140" s="229">
        <v>-0.52159999999999995</v>
      </c>
      <c r="CG140" s="228">
        <v>410</v>
      </c>
      <c r="CH140" s="228">
        <v>367</v>
      </c>
      <c r="CI140" s="228">
        <v>43</v>
      </c>
      <c r="CJ140" s="229">
        <v>0.1162</v>
      </c>
      <c r="CK140" s="228">
        <v>4</v>
      </c>
      <c r="CL140" s="228">
        <v>3</v>
      </c>
      <c r="CM140" s="228">
        <v>1</v>
      </c>
      <c r="CN140" s="229">
        <v>0.4</v>
      </c>
      <c r="CO140" s="228">
        <v>80</v>
      </c>
      <c r="CP140" s="228">
        <v>248</v>
      </c>
      <c r="CQ140" s="228">
        <v>-168</v>
      </c>
      <c r="CR140" s="229">
        <v>-0.67659999999999998</v>
      </c>
      <c r="CS140" s="228">
        <v>45</v>
      </c>
      <c r="CT140" s="228">
        <v>174</v>
      </c>
      <c r="CU140" s="228">
        <v>-129</v>
      </c>
      <c r="CV140" s="229">
        <v>-0.73899999999999999</v>
      </c>
      <c r="CW140" s="228">
        <v>539</v>
      </c>
      <c r="CX140" s="228">
        <v>896</v>
      </c>
      <c r="CY140" s="228">
        <v>-357</v>
      </c>
      <c r="CZ140" s="229">
        <v>-0.3982</v>
      </c>
      <c r="DA140" s="228">
        <v>37.68</v>
      </c>
      <c r="DB140" s="228">
        <v>38.950000000000003</v>
      </c>
      <c r="DC140" s="228">
        <v>-1.27</v>
      </c>
      <c r="DD140" s="228">
        <v>-1.27</v>
      </c>
      <c r="DE140" s="228">
        <v>37.03</v>
      </c>
      <c r="DF140" s="228">
        <v>37.119999999999997</v>
      </c>
      <c r="DG140" s="228">
        <v>0.65</v>
      </c>
      <c r="DH140" s="228">
        <v>-0.09</v>
      </c>
      <c r="DI140" s="228">
        <v>37.450000000000003</v>
      </c>
      <c r="DJ140" s="228">
        <v>39.18</v>
      </c>
      <c r="DK140" s="228">
        <v>-1.73</v>
      </c>
      <c r="DL140" s="228">
        <v>-1.73</v>
      </c>
      <c r="DM140" s="228">
        <v>38.159999999999997</v>
      </c>
      <c r="DN140" s="228">
        <v>38.450000000000003</v>
      </c>
      <c r="DO140" s="228">
        <v>-0.28999999999999998</v>
      </c>
      <c r="DP140" s="228">
        <v>-0.28999999999999998</v>
      </c>
      <c r="DQ140" s="228">
        <v>0.56999999999999995</v>
      </c>
      <c r="DR140" s="228">
        <v>0.7</v>
      </c>
      <c r="DS140" s="228">
        <v>-0.13</v>
      </c>
      <c r="DT140" s="229">
        <v>-0.1857</v>
      </c>
      <c r="DU140" s="231">
        <v>2600</v>
      </c>
      <c r="DV140" s="231">
        <v>2500</v>
      </c>
      <c r="DW140" s="228">
        <v>0.52</v>
      </c>
      <c r="DX140" s="228">
        <v>0.34</v>
      </c>
      <c r="DY140" s="228">
        <v>0.18</v>
      </c>
      <c r="DZ140" s="229">
        <v>0.52939999999999998</v>
      </c>
      <c r="EA140" s="229">
        <v>0.89249999999999996</v>
      </c>
      <c r="EB140" s="230">
        <v>1440225</v>
      </c>
      <c r="EC140" s="229">
        <v>-1.8E-3</v>
      </c>
      <c r="ED140" s="229">
        <v>0.89249999999999996</v>
      </c>
      <c r="EE140" s="228">
        <v>-1.0900000000000001</v>
      </c>
      <c r="EF140" s="229">
        <v>-4.0000000000000002E-4</v>
      </c>
      <c r="EG140" s="230">
        <v>129557</v>
      </c>
      <c r="EH140" s="230">
        <v>429513</v>
      </c>
      <c r="EI140" s="229">
        <v>-0.69840000000000002</v>
      </c>
      <c r="EJ140" s="229">
        <v>0.27760000000000001</v>
      </c>
      <c r="EK140" s="228">
        <v>503.92</v>
      </c>
      <c r="EL140" s="228">
        <v>246.06</v>
      </c>
      <c r="EM140" s="228">
        <v>498.95</v>
      </c>
      <c r="EN140" s="228">
        <v>0</v>
      </c>
      <c r="EO140" s="231">
        <v>1248.92</v>
      </c>
      <c r="EP140" s="231">
        <v>1116.75</v>
      </c>
      <c r="EQ140" s="228">
        <v>132.16999999999999</v>
      </c>
      <c r="ER140" s="229">
        <v>0.11840000000000001</v>
      </c>
      <c r="ES140" s="228">
        <v>84.41</v>
      </c>
      <c r="ET140" s="228">
        <v>43.17</v>
      </c>
      <c r="EU140" s="228">
        <v>413.59</v>
      </c>
      <c r="EV140" s="231">
        <v>22523583</v>
      </c>
      <c r="EW140" s="228">
        <v>541.16999999999996</v>
      </c>
      <c r="EX140" s="228">
        <v>899.37</v>
      </c>
      <c r="EY140" s="228">
        <v>-358.2</v>
      </c>
      <c r="EZ140" s="229">
        <v>-0.39829999999999999</v>
      </c>
      <c r="FA140" s="229">
        <v>9.3299999999999994E-2</v>
      </c>
      <c r="FB140" s="227" t="s">
        <v>568</v>
      </c>
      <c r="FC140">
        <f t="shared" si="2"/>
        <v>364</v>
      </c>
    </row>
    <row r="141" spans="1:159" ht="17.25" thickBot="1" x14ac:dyDescent="0.3">
      <c r="A141" s="226">
        <v>45869</v>
      </c>
      <c r="B141" s="227" t="s">
        <v>168</v>
      </c>
      <c r="C141" s="227" t="s">
        <v>254</v>
      </c>
      <c r="D141" s="228">
        <v>1200</v>
      </c>
      <c r="E141" s="228">
        <v>0</v>
      </c>
      <c r="F141" s="228">
        <v>705.25</v>
      </c>
      <c r="G141" s="228">
        <v>700.25</v>
      </c>
      <c r="H141" s="228">
        <v>5</v>
      </c>
      <c r="I141" s="229">
        <v>7.1000000000000004E-3</v>
      </c>
      <c r="J141" s="228">
        <v>709.8</v>
      </c>
      <c r="K141" s="228">
        <v>703.05</v>
      </c>
      <c r="L141" s="228">
        <v>6.75</v>
      </c>
      <c r="M141" s="229">
        <v>9.5999999999999992E-3</v>
      </c>
      <c r="N141" s="228">
        <v>708.15</v>
      </c>
      <c r="O141" s="228">
        <v>703.15</v>
      </c>
      <c r="P141" s="228">
        <v>5</v>
      </c>
      <c r="Q141" s="229">
        <v>7.1000000000000004E-3</v>
      </c>
      <c r="R141" s="228">
        <v>705.25</v>
      </c>
      <c r="S141" s="228">
        <v>700.25</v>
      </c>
      <c r="T141" s="228">
        <v>5</v>
      </c>
      <c r="U141" s="229">
        <v>7.1000000000000004E-3</v>
      </c>
      <c r="V141" s="228">
        <v>710</v>
      </c>
      <c r="W141" s="228">
        <v>704</v>
      </c>
      <c r="X141" s="228">
        <v>6</v>
      </c>
      <c r="Y141" s="229">
        <v>8.5000000000000006E-3</v>
      </c>
      <c r="Z141" s="228">
        <v>-4.55</v>
      </c>
      <c r="AA141" s="228">
        <v>0.1</v>
      </c>
      <c r="AB141" s="228">
        <v>-4.6500000000000004</v>
      </c>
      <c r="AC141" s="229">
        <v>-6.4000000000000003E-3</v>
      </c>
      <c r="AD141" s="228">
        <v>-1.65</v>
      </c>
      <c r="AE141" s="228">
        <v>0.1</v>
      </c>
      <c r="AF141" s="228">
        <v>-1.75</v>
      </c>
      <c r="AG141" s="229">
        <v>-2.3E-3</v>
      </c>
      <c r="AH141" s="228">
        <v>-4.55</v>
      </c>
      <c r="AI141" s="228">
        <v>-2.8</v>
      </c>
      <c r="AJ141" s="228">
        <v>-1.75</v>
      </c>
      <c r="AK141" s="229">
        <v>-6.4000000000000003E-3</v>
      </c>
      <c r="AL141" s="228">
        <v>0.2</v>
      </c>
      <c r="AM141" s="228">
        <v>0.95</v>
      </c>
      <c r="AN141" s="228">
        <v>-0.75</v>
      </c>
      <c r="AO141" s="229">
        <v>2.9999999999999997E-4</v>
      </c>
      <c r="AP141" s="228">
        <v>707.63</v>
      </c>
      <c r="AQ141" s="228">
        <v>705.03</v>
      </c>
      <c r="AR141" s="228">
        <v>0</v>
      </c>
      <c r="AS141" s="228">
        <v>499</v>
      </c>
      <c r="AT141" s="228">
        <v>762</v>
      </c>
      <c r="AU141" s="228">
        <v>-262</v>
      </c>
      <c r="AV141" s="229">
        <v>-0.34439999999999998</v>
      </c>
      <c r="AW141" s="228">
        <v>181</v>
      </c>
      <c r="AX141" s="228">
        <v>361</v>
      </c>
      <c r="AY141" s="228">
        <v>-179</v>
      </c>
      <c r="AZ141" s="229">
        <v>-0.49690000000000001</v>
      </c>
      <c r="BA141" s="228">
        <v>316</v>
      </c>
      <c r="BB141" s="228">
        <v>400</v>
      </c>
      <c r="BC141" s="228">
        <v>-84</v>
      </c>
      <c r="BD141" s="229">
        <v>-0.2107</v>
      </c>
      <c r="BE141" s="228">
        <v>2</v>
      </c>
      <c r="BF141" s="228">
        <v>1</v>
      </c>
      <c r="BG141" s="228">
        <v>1</v>
      </c>
      <c r="BH141" s="229">
        <v>0.8125</v>
      </c>
      <c r="BI141" s="228">
        <v>386</v>
      </c>
      <c r="BJ141" s="228">
        <v>225</v>
      </c>
      <c r="BK141" s="228">
        <v>160</v>
      </c>
      <c r="BL141" s="229">
        <v>0.71130000000000004</v>
      </c>
      <c r="BM141" s="228">
        <v>136</v>
      </c>
      <c r="BN141" s="228">
        <v>123</v>
      </c>
      <c r="BO141" s="228">
        <v>13</v>
      </c>
      <c r="BP141" s="229">
        <v>0.10299999999999999</v>
      </c>
      <c r="BQ141" s="230">
        <v>1021</v>
      </c>
      <c r="BR141" s="230">
        <v>1111</v>
      </c>
      <c r="BS141" s="228">
        <v>-89</v>
      </c>
      <c r="BT141" s="229">
        <v>-8.0399999999999999E-2</v>
      </c>
      <c r="BU141" s="230">
        <v>2907932</v>
      </c>
      <c r="BV141" s="230">
        <v>2219628</v>
      </c>
      <c r="BW141" s="230">
        <v>688304</v>
      </c>
      <c r="BX141" s="229">
        <v>0.31009999999999999</v>
      </c>
      <c r="BY141" s="230">
        <v>1478</v>
      </c>
      <c r="BZ141" s="230">
        <v>1501</v>
      </c>
      <c r="CA141" s="228">
        <v>-24</v>
      </c>
      <c r="CB141" s="229">
        <v>-1.5699999999999999E-2</v>
      </c>
      <c r="CC141" s="228">
        <v>31</v>
      </c>
      <c r="CD141" s="228">
        <v>95</v>
      </c>
      <c r="CE141" s="228">
        <v>-65</v>
      </c>
      <c r="CF141" s="229">
        <v>-0.67910000000000004</v>
      </c>
      <c r="CG141" s="230">
        <v>1472</v>
      </c>
      <c r="CH141" s="230">
        <v>1401</v>
      </c>
      <c r="CI141" s="228">
        <v>71</v>
      </c>
      <c r="CJ141" s="229">
        <v>5.0999999999999997E-2</v>
      </c>
      <c r="CK141" s="228">
        <v>6</v>
      </c>
      <c r="CL141" s="228">
        <v>6</v>
      </c>
      <c r="CM141" s="228">
        <v>0</v>
      </c>
      <c r="CN141" s="229">
        <v>4.5499999999999999E-2</v>
      </c>
      <c r="CO141" s="228">
        <v>86</v>
      </c>
      <c r="CP141" s="228">
        <v>416</v>
      </c>
      <c r="CQ141" s="228">
        <v>-330</v>
      </c>
      <c r="CR141" s="229">
        <v>-0.79290000000000005</v>
      </c>
      <c r="CS141" s="228">
        <v>66</v>
      </c>
      <c r="CT141" s="228">
        <v>239</v>
      </c>
      <c r="CU141" s="228">
        <v>-174</v>
      </c>
      <c r="CV141" s="229">
        <v>-0.72619999999999996</v>
      </c>
      <c r="CW141" s="230">
        <v>1630</v>
      </c>
      <c r="CX141" s="230">
        <v>2157</v>
      </c>
      <c r="CY141" s="228">
        <v>-527</v>
      </c>
      <c r="CZ141" s="229">
        <v>-0.2445</v>
      </c>
      <c r="DA141" s="228">
        <v>27.04</v>
      </c>
      <c r="DB141" s="228">
        <v>27.11</v>
      </c>
      <c r="DC141" s="228">
        <v>-7.0000000000000007E-2</v>
      </c>
      <c r="DD141" s="228">
        <v>-7.0000000000000007E-2</v>
      </c>
      <c r="DE141" s="228">
        <v>27.4</v>
      </c>
      <c r="DF141" s="228">
        <v>27.44</v>
      </c>
      <c r="DG141" s="228">
        <v>-0.36</v>
      </c>
      <c r="DH141" s="228">
        <v>-0.04</v>
      </c>
      <c r="DI141" s="228">
        <v>27.07</v>
      </c>
      <c r="DJ141" s="228">
        <v>27.16</v>
      </c>
      <c r="DK141" s="228">
        <v>-0.09</v>
      </c>
      <c r="DL141" s="228">
        <v>-0.09</v>
      </c>
      <c r="DM141" s="228">
        <v>26.9</v>
      </c>
      <c r="DN141" s="228">
        <v>26.99</v>
      </c>
      <c r="DO141" s="228">
        <v>-0.09</v>
      </c>
      <c r="DP141" s="228">
        <v>-0.09</v>
      </c>
      <c r="DQ141" s="228">
        <v>0.76</v>
      </c>
      <c r="DR141" s="228">
        <v>0.56999999999999995</v>
      </c>
      <c r="DS141" s="228">
        <v>0.19</v>
      </c>
      <c r="DT141" s="229">
        <v>0.33329999999999999</v>
      </c>
      <c r="DU141" s="228">
        <v>740</v>
      </c>
      <c r="DV141" s="228">
        <v>640</v>
      </c>
      <c r="DW141" s="228">
        <v>0.35</v>
      </c>
      <c r="DX141" s="228">
        <v>0.55000000000000004</v>
      </c>
      <c r="DY141" s="228">
        <v>-0.2</v>
      </c>
      <c r="DZ141" s="229">
        <v>-0.36359999999999998</v>
      </c>
      <c r="EA141" s="229">
        <v>0.97970000000000002</v>
      </c>
      <c r="EB141" s="230">
        <v>19939200</v>
      </c>
      <c r="EC141" s="229">
        <v>-4.1000000000000003E-3</v>
      </c>
      <c r="ED141" s="229">
        <v>0.97970000000000002</v>
      </c>
      <c r="EE141" s="228">
        <v>-2.6</v>
      </c>
      <c r="EF141" s="229">
        <v>-3.7000000000000002E-3</v>
      </c>
      <c r="EG141" s="230">
        <v>1617324</v>
      </c>
      <c r="EH141" s="230">
        <v>1597529</v>
      </c>
      <c r="EI141" s="229">
        <v>1.24E-2</v>
      </c>
      <c r="EJ141" s="229">
        <v>0.55620000000000003</v>
      </c>
      <c r="EK141" s="228">
        <v>401.21</v>
      </c>
      <c r="EL141" s="228">
        <v>135.66999999999999</v>
      </c>
      <c r="EM141" s="228">
        <v>500.01</v>
      </c>
      <c r="EN141" s="228">
        <v>0</v>
      </c>
      <c r="EO141" s="231">
        <v>1036.8900000000001</v>
      </c>
      <c r="EP141" s="231">
        <v>1110.81</v>
      </c>
      <c r="EQ141" s="228">
        <v>-73.92</v>
      </c>
      <c r="ER141" s="229">
        <v>-6.6500000000000004E-2</v>
      </c>
      <c r="ES141" s="228">
        <v>89.12</v>
      </c>
      <c r="ET141" s="228">
        <v>63.57</v>
      </c>
      <c r="EU141" s="231">
        <v>1477.93</v>
      </c>
      <c r="EV141" s="231">
        <v>105777701</v>
      </c>
      <c r="EW141" s="231">
        <v>1630.62</v>
      </c>
      <c r="EX141" s="231">
        <v>2170.77</v>
      </c>
      <c r="EY141" s="228">
        <v>-540.15</v>
      </c>
      <c r="EZ141" s="229">
        <v>-0.24879999999999999</v>
      </c>
      <c r="FA141" s="229">
        <v>0.2185</v>
      </c>
      <c r="FB141" s="227" t="s">
        <v>556</v>
      </c>
      <c r="FC141">
        <f t="shared" si="2"/>
        <v>1447</v>
      </c>
    </row>
    <row r="142" spans="1:159" ht="17.25" thickBot="1" x14ac:dyDescent="0.3">
      <c r="A142" s="226">
        <v>45869</v>
      </c>
      <c r="B142" s="227" t="s">
        <v>162</v>
      </c>
      <c r="C142" s="227" t="s">
        <v>255</v>
      </c>
      <c r="D142" s="228">
        <v>50</v>
      </c>
      <c r="E142" s="228">
        <v>0</v>
      </c>
      <c r="F142" s="231">
        <v>12551</v>
      </c>
      <c r="G142" s="231">
        <v>12542</v>
      </c>
      <c r="H142" s="228">
        <v>9</v>
      </c>
      <c r="I142" s="229">
        <v>6.9999999999999999E-4</v>
      </c>
      <c r="J142" s="231">
        <v>12608</v>
      </c>
      <c r="K142" s="231">
        <v>12618</v>
      </c>
      <c r="L142" s="228">
        <v>-10</v>
      </c>
      <c r="M142" s="229">
        <v>-8.0000000000000004E-4</v>
      </c>
      <c r="N142" s="231">
        <v>12624</v>
      </c>
      <c r="O142" s="231">
        <v>12621</v>
      </c>
      <c r="P142" s="228">
        <v>3</v>
      </c>
      <c r="Q142" s="229">
        <v>2.0000000000000001E-4</v>
      </c>
      <c r="R142" s="231">
        <v>12551</v>
      </c>
      <c r="S142" s="231">
        <v>12542</v>
      </c>
      <c r="T142" s="228">
        <v>9</v>
      </c>
      <c r="U142" s="229">
        <v>6.9999999999999999E-4</v>
      </c>
      <c r="V142" s="231">
        <v>12611</v>
      </c>
      <c r="W142" s="231">
        <v>12601</v>
      </c>
      <c r="X142" s="228">
        <v>10</v>
      </c>
      <c r="Y142" s="229">
        <v>8.0000000000000004E-4</v>
      </c>
      <c r="Z142" s="228">
        <v>-57</v>
      </c>
      <c r="AA142" s="228">
        <v>3</v>
      </c>
      <c r="AB142" s="228">
        <v>-60</v>
      </c>
      <c r="AC142" s="229">
        <v>-4.4999999999999997E-3</v>
      </c>
      <c r="AD142" s="228">
        <v>16</v>
      </c>
      <c r="AE142" s="228">
        <v>3</v>
      </c>
      <c r="AF142" s="228">
        <v>13</v>
      </c>
      <c r="AG142" s="229">
        <v>1.2999999999999999E-3</v>
      </c>
      <c r="AH142" s="228">
        <v>-57</v>
      </c>
      <c r="AI142" s="228">
        <v>-76</v>
      </c>
      <c r="AJ142" s="228">
        <v>19</v>
      </c>
      <c r="AK142" s="229">
        <v>-4.4999999999999997E-3</v>
      </c>
      <c r="AL142" s="228">
        <v>3</v>
      </c>
      <c r="AM142" s="228">
        <v>-17</v>
      </c>
      <c r="AN142" s="228">
        <v>20</v>
      </c>
      <c r="AO142" s="229">
        <v>2.0000000000000001E-4</v>
      </c>
      <c r="AP142" s="231">
        <v>12580.4</v>
      </c>
      <c r="AQ142" s="231">
        <v>12517.63</v>
      </c>
      <c r="AR142" s="228">
        <v>0</v>
      </c>
      <c r="AS142" s="230">
        <v>2747</v>
      </c>
      <c r="AT142" s="230">
        <v>2766</v>
      </c>
      <c r="AU142" s="228">
        <v>-20</v>
      </c>
      <c r="AV142" s="229">
        <v>-7.1000000000000004E-3</v>
      </c>
      <c r="AW142" s="228">
        <v>670</v>
      </c>
      <c r="AX142" s="230">
        <v>1308</v>
      </c>
      <c r="AY142" s="228">
        <v>-638</v>
      </c>
      <c r="AZ142" s="229">
        <v>-0.48780000000000001</v>
      </c>
      <c r="BA142" s="230">
        <v>2056</v>
      </c>
      <c r="BB142" s="230">
        <v>1451</v>
      </c>
      <c r="BC142" s="228">
        <v>605</v>
      </c>
      <c r="BD142" s="229">
        <v>0.4173</v>
      </c>
      <c r="BE142" s="228">
        <v>20</v>
      </c>
      <c r="BF142" s="228">
        <v>7</v>
      </c>
      <c r="BG142" s="228">
        <v>13</v>
      </c>
      <c r="BH142" s="229">
        <v>1.9455</v>
      </c>
      <c r="BI142" s="230">
        <v>9012</v>
      </c>
      <c r="BJ142" s="230">
        <v>6712</v>
      </c>
      <c r="BK142" s="230">
        <v>2300</v>
      </c>
      <c r="BL142" s="229">
        <v>0.3427</v>
      </c>
      <c r="BM142" s="230">
        <v>3876</v>
      </c>
      <c r="BN142" s="230">
        <v>2469</v>
      </c>
      <c r="BO142" s="230">
        <v>1407</v>
      </c>
      <c r="BP142" s="229">
        <v>0.56979999999999997</v>
      </c>
      <c r="BQ142" s="230">
        <v>15634</v>
      </c>
      <c r="BR142" s="230">
        <v>11947</v>
      </c>
      <c r="BS142" s="230">
        <v>3688</v>
      </c>
      <c r="BT142" s="229">
        <v>0.30869999999999997</v>
      </c>
      <c r="BU142" s="230">
        <v>718581</v>
      </c>
      <c r="BV142" s="230">
        <v>209599</v>
      </c>
      <c r="BW142" s="230">
        <v>508982</v>
      </c>
      <c r="BX142" s="229">
        <v>2.4283999999999999</v>
      </c>
      <c r="BY142" s="230">
        <v>3871</v>
      </c>
      <c r="BZ142" s="230">
        <v>3765</v>
      </c>
      <c r="CA142" s="228">
        <v>105</v>
      </c>
      <c r="CB142" s="229">
        <v>2.8000000000000001E-2</v>
      </c>
      <c r="CC142" s="228">
        <v>91</v>
      </c>
      <c r="CD142" s="228">
        <v>319</v>
      </c>
      <c r="CE142" s="228">
        <v>-228</v>
      </c>
      <c r="CF142" s="229">
        <v>-0.71540000000000004</v>
      </c>
      <c r="CG142" s="230">
        <v>3846</v>
      </c>
      <c r="CH142" s="230">
        <v>3426</v>
      </c>
      <c r="CI142" s="228">
        <v>421</v>
      </c>
      <c r="CJ142" s="229">
        <v>0.1229</v>
      </c>
      <c r="CK142" s="228">
        <v>24</v>
      </c>
      <c r="CL142" s="228">
        <v>21</v>
      </c>
      <c r="CM142" s="228">
        <v>4</v>
      </c>
      <c r="CN142" s="229">
        <v>0.17680000000000001</v>
      </c>
      <c r="CO142" s="230">
        <v>1052</v>
      </c>
      <c r="CP142" s="230">
        <v>3596</v>
      </c>
      <c r="CQ142" s="230">
        <v>-2544</v>
      </c>
      <c r="CR142" s="229">
        <v>-0.70740000000000003</v>
      </c>
      <c r="CS142" s="228">
        <v>541</v>
      </c>
      <c r="CT142" s="230">
        <v>1187</v>
      </c>
      <c r="CU142" s="228">
        <v>-646</v>
      </c>
      <c r="CV142" s="229">
        <v>-0.54449999999999998</v>
      </c>
      <c r="CW142" s="230">
        <v>5464</v>
      </c>
      <c r="CX142" s="230">
        <v>8549</v>
      </c>
      <c r="CY142" s="230">
        <v>-3085</v>
      </c>
      <c r="CZ142" s="229">
        <v>-0.3609</v>
      </c>
      <c r="DA142" s="228">
        <v>22.13</v>
      </c>
      <c r="DB142" s="228">
        <v>22.66</v>
      </c>
      <c r="DC142" s="228">
        <v>-0.53</v>
      </c>
      <c r="DD142" s="228">
        <v>-0.53</v>
      </c>
      <c r="DE142" s="228">
        <v>24.69</v>
      </c>
      <c r="DF142" s="228">
        <v>24.76</v>
      </c>
      <c r="DG142" s="228">
        <v>-2.56</v>
      </c>
      <c r="DH142" s="228">
        <v>-7.0000000000000007E-2</v>
      </c>
      <c r="DI142" s="228">
        <v>21.8</v>
      </c>
      <c r="DJ142" s="228">
        <v>22.61</v>
      </c>
      <c r="DK142" s="228">
        <v>-0.81</v>
      </c>
      <c r="DL142" s="228">
        <v>-0.81</v>
      </c>
      <c r="DM142" s="228">
        <v>22.93</v>
      </c>
      <c r="DN142" s="228">
        <v>22.8</v>
      </c>
      <c r="DO142" s="228">
        <v>0.13</v>
      </c>
      <c r="DP142" s="228">
        <v>0.13</v>
      </c>
      <c r="DQ142" s="228">
        <v>0.51</v>
      </c>
      <c r="DR142" s="228">
        <v>0.33</v>
      </c>
      <c r="DS142" s="228">
        <v>0.18</v>
      </c>
      <c r="DT142" s="229">
        <v>0.54549999999999998</v>
      </c>
      <c r="DU142" s="231">
        <v>12800</v>
      </c>
      <c r="DV142" s="231">
        <v>12000</v>
      </c>
      <c r="DW142" s="228">
        <v>0.43</v>
      </c>
      <c r="DX142" s="228">
        <v>0.37</v>
      </c>
      <c r="DY142" s="228">
        <v>0.06</v>
      </c>
      <c r="DZ142" s="229">
        <v>0.16220000000000001</v>
      </c>
      <c r="EA142" s="229">
        <v>0.97709999999999997</v>
      </c>
      <c r="EB142" s="230">
        <v>2745700</v>
      </c>
      <c r="EC142" s="229">
        <v>-5.7999999999999996E-3</v>
      </c>
      <c r="ED142" s="229">
        <v>0.97709999999999997</v>
      </c>
      <c r="EE142" s="228">
        <v>-62.77</v>
      </c>
      <c r="EF142" s="229">
        <v>-5.0000000000000001E-3</v>
      </c>
      <c r="EG142" s="230">
        <v>374923</v>
      </c>
      <c r="EH142" s="230">
        <v>96018</v>
      </c>
      <c r="EI142" s="229">
        <v>2.9047000000000001</v>
      </c>
      <c r="EJ142" s="229">
        <v>0.52180000000000004</v>
      </c>
      <c r="EK142" s="231">
        <v>9312.64</v>
      </c>
      <c r="EL142" s="231">
        <v>3812.81</v>
      </c>
      <c r="EM142" s="231">
        <v>2742.68</v>
      </c>
      <c r="EN142" s="228">
        <v>0</v>
      </c>
      <c r="EO142" s="231">
        <v>15868.13</v>
      </c>
      <c r="EP142" s="231">
        <v>12079.64</v>
      </c>
      <c r="EQ142" s="231">
        <v>3788.49</v>
      </c>
      <c r="ER142" s="229">
        <v>0.31359999999999999</v>
      </c>
      <c r="ES142" s="231">
        <v>1090.56</v>
      </c>
      <c r="ET142" s="228">
        <v>518.59</v>
      </c>
      <c r="EU142" s="231">
        <v>3870.72</v>
      </c>
      <c r="EV142" s="231">
        <v>26231219</v>
      </c>
      <c r="EW142" s="231">
        <v>5479.87</v>
      </c>
      <c r="EX142" s="231">
        <v>8622.7999999999993</v>
      </c>
      <c r="EY142" s="231">
        <v>-3142.93</v>
      </c>
      <c r="EZ142" s="229">
        <v>-0.36449999999999999</v>
      </c>
      <c r="FA142" s="229">
        <v>0.16600000000000001</v>
      </c>
      <c r="FB142" s="227" t="s">
        <v>555</v>
      </c>
      <c r="FC142">
        <f t="shared" si="2"/>
        <v>3780</v>
      </c>
    </row>
    <row r="143" spans="1:159" ht="17.25" thickBot="1" x14ac:dyDescent="0.3">
      <c r="A143" s="226">
        <v>45869</v>
      </c>
      <c r="B143" s="227" t="s">
        <v>170</v>
      </c>
      <c r="C143" s="227" t="s">
        <v>604</v>
      </c>
      <c r="D143" s="228">
        <v>525</v>
      </c>
      <c r="E143" s="228">
        <v>0</v>
      </c>
      <c r="F143" s="231">
        <v>1251.5</v>
      </c>
      <c r="G143" s="231">
        <v>1270.8</v>
      </c>
      <c r="H143" s="228">
        <v>-19.3</v>
      </c>
      <c r="I143" s="229">
        <v>-1.52E-2</v>
      </c>
      <c r="J143" s="231">
        <v>1246</v>
      </c>
      <c r="K143" s="231">
        <v>1264.5999999999999</v>
      </c>
      <c r="L143" s="228">
        <v>-18.600000000000001</v>
      </c>
      <c r="M143" s="229">
        <v>-1.47E-2</v>
      </c>
      <c r="N143" s="231">
        <v>1244.4000000000001</v>
      </c>
      <c r="O143" s="231">
        <v>1263.3</v>
      </c>
      <c r="P143" s="228">
        <v>-18.899999999999999</v>
      </c>
      <c r="Q143" s="229">
        <v>-1.4999999999999999E-2</v>
      </c>
      <c r="R143" s="231">
        <v>1251.5</v>
      </c>
      <c r="S143" s="231">
        <v>1270.8</v>
      </c>
      <c r="T143" s="228">
        <v>-19.3</v>
      </c>
      <c r="U143" s="229">
        <v>-1.52E-2</v>
      </c>
      <c r="V143" s="231">
        <v>1252.3</v>
      </c>
      <c r="W143" s="231">
        <v>1275.0999999999999</v>
      </c>
      <c r="X143" s="228">
        <v>-22.8</v>
      </c>
      <c r="Y143" s="229">
        <v>-1.7899999999999999E-2</v>
      </c>
      <c r="Z143" s="228">
        <v>5.5</v>
      </c>
      <c r="AA143" s="228">
        <v>-1.3</v>
      </c>
      <c r="AB143" s="228">
        <v>6.8</v>
      </c>
      <c r="AC143" s="229">
        <v>4.4000000000000003E-3</v>
      </c>
      <c r="AD143" s="228">
        <v>-1.6</v>
      </c>
      <c r="AE143" s="228">
        <v>-1.3</v>
      </c>
      <c r="AF143" s="228">
        <v>-0.3</v>
      </c>
      <c r="AG143" s="229">
        <v>-1.2999999999999999E-3</v>
      </c>
      <c r="AH143" s="228">
        <v>5.5</v>
      </c>
      <c r="AI143" s="228">
        <v>6.2</v>
      </c>
      <c r="AJ143" s="228">
        <v>-0.7</v>
      </c>
      <c r="AK143" s="229">
        <v>4.4000000000000003E-3</v>
      </c>
      <c r="AL143" s="228">
        <v>6.3</v>
      </c>
      <c r="AM143" s="228">
        <v>10.5</v>
      </c>
      <c r="AN143" s="228">
        <v>-4.2</v>
      </c>
      <c r="AO143" s="229">
        <v>5.1000000000000004E-3</v>
      </c>
      <c r="AP143" s="231">
        <v>1250.8800000000001</v>
      </c>
      <c r="AQ143" s="231">
        <v>1258.33</v>
      </c>
      <c r="AR143" s="228">
        <v>0</v>
      </c>
      <c r="AS143" s="228">
        <v>694</v>
      </c>
      <c r="AT143" s="228">
        <v>970</v>
      </c>
      <c r="AU143" s="228">
        <v>-275</v>
      </c>
      <c r="AV143" s="229">
        <v>-0.28370000000000001</v>
      </c>
      <c r="AW143" s="228">
        <v>260</v>
      </c>
      <c r="AX143" s="228">
        <v>466</v>
      </c>
      <c r="AY143" s="228">
        <v>-205</v>
      </c>
      <c r="AZ143" s="229">
        <v>-0.44130000000000003</v>
      </c>
      <c r="BA143" s="228">
        <v>422</v>
      </c>
      <c r="BB143" s="228">
        <v>503</v>
      </c>
      <c r="BC143" s="228">
        <v>-82</v>
      </c>
      <c r="BD143" s="229">
        <v>-0.16209999999999999</v>
      </c>
      <c r="BE143" s="228">
        <v>13</v>
      </c>
      <c r="BF143" s="228">
        <v>1</v>
      </c>
      <c r="BG143" s="228">
        <v>12</v>
      </c>
      <c r="BH143" s="229">
        <v>13.9231</v>
      </c>
      <c r="BI143" s="228">
        <v>212</v>
      </c>
      <c r="BJ143" s="228">
        <v>282</v>
      </c>
      <c r="BK143" s="228">
        <v>-70</v>
      </c>
      <c r="BL143" s="229">
        <v>-0.247</v>
      </c>
      <c r="BM143" s="228">
        <v>114</v>
      </c>
      <c r="BN143" s="228">
        <v>122</v>
      </c>
      <c r="BO143" s="228">
        <v>-9</v>
      </c>
      <c r="BP143" s="229">
        <v>-7.0400000000000004E-2</v>
      </c>
      <c r="BQ143" s="230">
        <v>1020</v>
      </c>
      <c r="BR143" s="230">
        <v>1374</v>
      </c>
      <c r="BS143" s="228">
        <v>-353</v>
      </c>
      <c r="BT143" s="229">
        <v>-0.25719999999999998</v>
      </c>
      <c r="BU143" s="230">
        <v>2305823</v>
      </c>
      <c r="BV143" s="230">
        <v>892383</v>
      </c>
      <c r="BW143" s="230">
        <v>1413440</v>
      </c>
      <c r="BX143" s="229">
        <v>1.5839000000000001</v>
      </c>
      <c r="BY143" s="230">
        <v>1336</v>
      </c>
      <c r="BZ143" s="230">
        <v>1436</v>
      </c>
      <c r="CA143" s="228">
        <v>-99</v>
      </c>
      <c r="CB143" s="229">
        <v>-6.9199999999999998E-2</v>
      </c>
      <c r="CC143" s="228">
        <v>191</v>
      </c>
      <c r="CD143" s="228">
        <v>233</v>
      </c>
      <c r="CE143" s="228">
        <v>-43</v>
      </c>
      <c r="CF143" s="229">
        <v>-0.18279999999999999</v>
      </c>
      <c r="CG143" s="230">
        <v>1325</v>
      </c>
      <c r="CH143" s="230">
        <v>1197</v>
      </c>
      <c r="CI143" s="228">
        <v>128</v>
      </c>
      <c r="CJ143" s="229">
        <v>0.10680000000000001</v>
      </c>
      <c r="CK143" s="228">
        <v>11</v>
      </c>
      <c r="CL143" s="228">
        <v>5</v>
      </c>
      <c r="CM143" s="228">
        <v>6</v>
      </c>
      <c r="CN143" s="229">
        <v>1.1899</v>
      </c>
      <c r="CO143" s="228">
        <v>87</v>
      </c>
      <c r="CP143" s="228">
        <v>291</v>
      </c>
      <c r="CQ143" s="228">
        <v>-204</v>
      </c>
      <c r="CR143" s="229">
        <v>-0.70230000000000004</v>
      </c>
      <c r="CS143" s="228">
        <v>60</v>
      </c>
      <c r="CT143" s="228">
        <v>134</v>
      </c>
      <c r="CU143" s="228">
        <v>-73</v>
      </c>
      <c r="CV143" s="229">
        <v>-0.55020000000000002</v>
      </c>
      <c r="CW143" s="230">
        <v>1483</v>
      </c>
      <c r="CX143" s="230">
        <v>1860</v>
      </c>
      <c r="CY143" s="228">
        <v>-377</v>
      </c>
      <c r="CZ143" s="229">
        <v>-0.20269999999999999</v>
      </c>
      <c r="DA143" s="228">
        <v>30.24</v>
      </c>
      <c r="DB143" s="228">
        <v>29.57</v>
      </c>
      <c r="DC143" s="228">
        <v>0.67</v>
      </c>
      <c r="DD143" s="228">
        <v>0.67</v>
      </c>
      <c r="DE143" s="228">
        <v>43.39</v>
      </c>
      <c r="DF143" s="228">
        <v>43.45</v>
      </c>
      <c r="DG143" s="228">
        <v>-13.15</v>
      </c>
      <c r="DH143" s="228">
        <v>-0.06</v>
      </c>
      <c r="DI143" s="228">
        <v>30.25</v>
      </c>
      <c r="DJ143" s="228">
        <v>29.52</v>
      </c>
      <c r="DK143" s="228">
        <v>0.73</v>
      </c>
      <c r="DL143" s="228">
        <v>0.73</v>
      </c>
      <c r="DM143" s="228">
        <v>30.21</v>
      </c>
      <c r="DN143" s="228">
        <v>29.66</v>
      </c>
      <c r="DO143" s="228">
        <v>0.55000000000000004</v>
      </c>
      <c r="DP143" s="228">
        <v>0.55000000000000004</v>
      </c>
      <c r="DQ143" s="228">
        <v>0.69</v>
      </c>
      <c r="DR143" s="228">
        <v>0.46</v>
      </c>
      <c r="DS143" s="228">
        <v>0.23</v>
      </c>
      <c r="DT143" s="229">
        <v>0.5</v>
      </c>
      <c r="DU143" s="231">
        <v>1400</v>
      </c>
      <c r="DV143" s="231">
        <v>1300</v>
      </c>
      <c r="DW143" s="228">
        <v>0.54</v>
      </c>
      <c r="DX143" s="228">
        <v>0.43</v>
      </c>
      <c r="DY143" s="228">
        <v>0.11</v>
      </c>
      <c r="DZ143" s="229">
        <v>0.25580000000000003</v>
      </c>
      <c r="EA143" s="229">
        <v>0.87509999999999999</v>
      </c>
      <c r="EB143" s="230">
        <v>9607500</v>
      </c>
      <c r="EC143" s="229">
        <v>5.7000000000000002E-3</v>
      </c>
      <c r="ED143" s="229">
        <v>0.87509999999999999</v>
      </c>
      <c r="EE143" s="228">
        <v>7.45</v>
      </c>
      <c r="EF143" s="229">
        <v>6.0000000000000001E-3</v>
      </c>
      <c r="EG143" s="230">
        <v>1002807</v>
      </c>
      <c r="EH143" s="230">
        <v>513137</v>
      </c>
      <c r="EI143" s="229">
        <v>0.95430000000000004</v>
      </c>
      <c r="EJ143" s="229">
        <v>0.43490000000000001</v>
      </c>
      <c r="EK143" s="228">
        <v>226.33</v>
      </c>
      <c r="EL143" s="228">
        <v>113.8</v>
      </c>
      <c r="EM143" s="228">
        <v>696.7</v>
      </c>
      <c r="EN143" s="228">
        <v>0</v>
      </c>
      <c r="EO143" s="231">
        <v>1036.83</v>
      </c>
      <c r="EP143" s="231">
        <v>1400.73</v>
      </c>
      <c r="EQ143" s="228">
        <v>-363.9</v>
      </c>
      <c r="ER143" s="229">
        <v>-0.25979999999999998</v>
      </c>
      <c r="ES143" s="228">
        <v>91.03</v>
      </c>
      <c r="ET143" s="228">
        <v>59.5</v>
      </c>
      <c r="EU143" s="231">
        <v>1336.42</v>
      </c>
      <c r="EV143" s="231">
        <v>148272870</v>
      </c>
      <c r="EW143" s="231">
        <v>1486.94</v>
      </c>
      <c r="EX143" s="231">
        <v>1898.11</v>
      </c>
      <c r="EY143" s="228">
        <v>-411.17</v>
      </c>
      <c r="EZ143" s="229">
        <v>-0.21659999999999999</v>
      </c>
      <c r="FA143" s="229">
        <v>7.9899999999999999E-2</v>
      </c>
      <c r="FB143" s="227" t="s">
        <v>568</v>
      </c>
      <c r="FC143">
        <f t="shared" si="2"/>
        <v>1145</v>
      </c>
    </row>
    <row r="144" spans="1:159" ht="17.25" thickBot="1" x14ac:dyDescent="0.3">
      <c r="A144" s="226">
        <v>45869</v>
      </c>
      <c r="B144" s="227" t="s">
        <v>215</v>
      </c>
      <c r="C144" s="227" t="s">
        <v>675</v>
      </c>
      <c r="D144" s="228">
        <v>175</v>
      </c>
      <c r="E144" s="228">
        <v>0</v>
      </c>
      <c r="F144" s="231">
        <v>2779</v>
      </c>
      <c r="G144" s="231">
        <v>2774.2</v>
      </c>
      <c r="H144" s="228">
        <v>4.8</v>
      </c>
      <c r="I144" s="229">
        <v>1.6999999999999999E-3</v>
      </c>
      <c r="J144" s="231">
        <v>2771.2</v>
      </c>
      <c r="K144" s="231">
        <v>2759.7</v>
      </c>
      <c r="L144" s="228">
        <v>11.5</v>
      </c>
      <c r="M144" s="229">
        <v>4.1999999999999997E-3</v>
      </c>
      <c r="N144" s="231">
        <v>2764.3</v>
      </c>
      <c r="O144" s="231">
        <v>2760</v>
      </c>
      <c r="P144" s="228">
        <v>4.3</v>
      </c>
      <c r="Q144" s="229">
        <v>1.6000000000000001E-3</v>
      </c>
      <c r="R144" s="231">
        <v>2779</v>
      </c>
      <c r="S144" s="231">
        <v>2774.2</v>
      </c>
      <c r="T144" s="228">
        <v>4.8</v>
      </c>
      <c r="U144" s="229">
        <v>1.6999999999999999E-3</v>
      </c>
      <c r="V144" s="231">
        <v>2794.7</v>
      </c>
      <c r="W144" s="231">
        <v>2789.1</v>
      </c>
      <c r="X144" s="228">
        <v>5.6</v>
      </c>
      <c r="Y144" s="229">
        <v>2E-3</v>
      </c>
      <c r="Z144" s="228">
        <v>7.8</v>
      </c>
      <c r="AA144" s="228">
        <v>0.3</v>
      </c>
      <c r="AB144" s="228">
        <v>7.5</v>
      </c>
      <c r="AC144" s="229">
        <v>2.8E-3</v>
      </c>
      <c r="AD144" s="228">
        <v>-6.9</v>
      </c>
      <c r="AE144" s="228">
        <v>0.3</v>
      </c>
      <c r="AF144" s="228">
        <v>-7.2</v>
      </c>
      <c r="AG144" s="229">
        <v>-2.5000000000000001E-3</v>
      </c>
      <c r="AH144" s="228">
        <v>7.8</v>
      </c>
      <c r="AI144" s="228">
        <v>14.5</v>
      </c>
      <c r="AJ144" s="228">
        <v>-6.7</v>
      </c>
      <c r="AK144" s="229">
        <v>2.8E-3</v>
      </c>
      <c r="AL144" s="228">
        <v>23.5</v>
      </c>
      <c r="AM144" s="228">
        <v>29.4</v>
      </c>
      <c r="AN144" s="228">
        <v>-5.9</v>
      </c>
      <c r="AO144" s="229">
        <v>8.5000000000000006E-3</v>
      </c>
      <c r="AP144" s="231">
        <v>2777.87</v>
      </c>
      <c r="AQ144" s="231">
        <v>2792.41</v>
      </c>
      <c r="AR144" s="228">
        <v>0</v>
      </c>
      <c r="AS144" s="228">
        <v>664</v>
      </c>
      <c r="AT144" s="228">
        <v>789</v>
      </c>
      <c r="AU144" s="228">
        <v>-125</v>
      </c>
      <c r="AV144" s="229">
        <v>-0.1588</v>
      </c>
      <c r="AW144" s="228">
        <v>250</v>
      </c>
      <c r="AX144" s="228">
        <v>345</v>
      </c>
      <c r="AY144" s="228">
        <v>-95</v>
      </c>
      <c r="AZ144" s="229">
        <v>-0.27489999999999998</v>
      </c>
      <c r="BA144" s="228">
        <v>401</v>
      </c>
      <c r="BB144" s="228">
        <v>439</v>
      </c>
      <c r="BC144" s="228">
        <v>-38</v>
      </c>
      <c r="BD144" s="229">
        <v>-8.5900000000000004E-2</v>
      </c>
      <c r="BE144" s="228">
        <v>12</v>
      </c>
      <c r="BF144" s="228">
        <v>5</v>
      </c>
      <c r="BG144" s="228">
        <v>7</v>
      </c>
      <c r="BH144" s="229">
        <v>1.5049999999999999</v>
      </c>
      <c r="BI144" s="230">
        <v>1473</v>
      </c>
      <c r="BJ144" s="230">
        <v>1502</v>
      </c>
      <c r="BK144" s="228">
        <v>-28</v>
      </c>
      <c r="BL144" s="229">
        <v>-1.8700000000000001E-2</v>
      </c>
      <c r="BM144" s="228">
        <v>463</v>
      </c>
      <c r="BN144" s="228">
        <v>530</v>
      </c>
      <c r="BO144" s="228">
        <v>-66</v>
      </c>
      <c r="BP144" s="229">
        <v>-0.1255</v>
      </c>
      <c r="BQ144" s="230">
        <v>2600</v>
      </c>
      <c r="BR144" s="230">
        <v>2820</v>
      </c>
      <c r="BS144" s="228">
        <v>-220</v>
      </c>
      <c r="BT144" s="229">
        <v>-7.8E-2</v>
      </c>
      <c r="BU144" s="230">
        <v>2293686</v>
      </c>
      <c r="BV144" s="230">
        <v>1620446</v>
      </c>
      <c r="BW144" s="230">
        <v>673240</v>
      </c>
      <c r="BX144" s="229">
        <v>0.41549999999999998</v>
      </c>
      <c r="BY144" s="228">
        <v>851</v>
      </c>
      <c r="BZ144" s="228">
        <v>932</v>
      </c>
      <c r="CA144" s="228">
        <v>-81</v>
      </c>
      <c r="CB144" s="229">
        <v>-8.6999999999999994E-2</v>
      </c>
      <c r="CC144" s="228">
        <v>63</v>
      </c>
      <c r="CD144" s="228">
        <v>192</v>
      </c>
      <c r="CE144" s="228">
        <v>-130</v>
      </c>
      <c r="CF144" s="229">
        <v>-0.67449999999999999</v>
      </c>
      <c r="CG144" s="228">
        <v>824</v>
      </c>
      <c r="CH144" s="228">
        <v>717</v>
      </c>
      <c r="CI144" s="228">
        <v>106</v>
      </c>
      <c r="CJ144" s="229">
        <v>0.1484</v>
      </c>
      <c r="CK144" s="228">
        <v>28</v>
      </c>
      <c r="CL144" s="228">
        <v>23</v>
      </c>
      <c r="CM144" s="228">
        <v>5</v>
      </c>
      <c r="CN144" s="229">
        <v>0.1996</v>
      </c>
      <c r="CO144" s="228">
        <v>289</v>
      </c>
      <c r="CP144" s="228">
        <v>839</v>
      </c>
      <c r="CQ144" s="228">
        <v>-550</v>
      </c>
      <c r="CR144" s="229">
        <v>-0.65539999999999998</v>
      </c>
      <c r="CS144" s="228">
        <v>160</v>
      </c>
      <c r="CT144" s="228">
        <v>388</v>
      </c>
      <c r="CU144" s="228">
        <v>-228</v>
      </c>
      <c r="CV144" s="229">
        <v>-0.58799999999999997</v>
      </c>
      <c r="CW144" s="230">
        <v>1300</v>
      </c>
      <c r="CX144" s="230">
        <v>2159</v>
      </c>
      <c r="CY144" s="228">
        <v>-859</v>
      </c>
      <c r="CZ144" s="229">
        <v>-0.39789999999999998</v>
      </c>
      <c r="DA144" s="228">
        <v>37.340000000000003</v>
      </c>
      <c r="DB144" s="228">
        <v>36.79</v>
      </c>
      <c r="DC144" s="228">
        <v>0.55000000000000004</v>
      </c>
      <c r="DD144" s="228">
        <v>0.55000000000000004</v>
      </c>
      <c r="DE144" s="228">
        <v>65.180000000000007</v>
      </c>
      <c r="DF144" s="228">
        <v>65.34</v>
      </c>
      <c r="DG144" s="228">
        <v>-27.84</v>
      </c>
      <c r="DH144" s="228">
        <v>-0.16</v>
      </c>
      <c r="DI144" s="228">
        <v>37.06</v>
      </c>
      <c r="DJ144" s="228">
        <v>36.659999999999997</v>
      </c>
      <c r="DK144" s="228">
        <v>0.4</v>
      </c>
      <c r="DL144" s="228">
        <v>0.4</v>
      </c>
      <c r="DM144" s="228">
        <v>38.19</v>
      </c>
      <c r="DN144" s="228">
        <v>37.25</v>
      </c>
      <c r="DO144" s="228">
        <v>0.94</v>
      </c>
      <c r="DP144" s="228">
        <v>0.94</v>
      </c>
      <c r="DQ144" s="228">
        <v>0.55000000000000004</v>
      </c>
      <c r="DR144" s="228">
        <v>0.46</v>
      </c>
      <c r="DS144" s="228">
        <v>0.09</v>
      </c>
      <c r="DT144" s="229">
        <v>0.19570000000000001</v>
      </c>
      <c r="DU144" s="231">
        <v>3000</v>
      </c>
      <c r="DV144" s="231">
        <v>2600</v>
      </c>
      <c r="DW144" s="228">
        <v>0.31</v>
      </c>
      <c r="DX144" s="228">
        <v>0.35</v>
      </c>
      <c r="DY144" s="228">
        <v>-0.04</v>
      </c>
      <c r="DZ144" s="229">
        <v>-0.1143</v>
      </c>
      <c r="EA144" s="229">
        <v>0.93159999999999998</v>
      </c>
      <c r="EB144" s="230">
        <v>2663850</v>
      </c>
      <c r="EC144" s="229">
        <v>5.3E-3</v>
      </c>
      <c r="ED144" s="229">
        <v>0.93159999999999998</v>
      </c>
      <c r="EE144" s="228">
        <v>14.54</v>
      </c>
      <c r="EF144" s="229">
        <v>5.1999999999999998E-3</v>
      </c>
      <c r="EG144" s="230">
        <v>372848</v>
      </c>
      <c r="EH144" s="230">
        <v>293012</v>
      </c>
      <c r="EI144" s="229">
        <v>0.27250000000000002</v>
      </c>
      <c r="EJ144" s="229">
        <v>0.16259999999999999</v>
      </c>
      <c r="EK144" s="231">
        <v>1595.35</v>
      </c>
      <c r="EL144" s="228">
        <v>458.22</v>
      </c>
      <c r="EM144" s="228">
        <v>665.56</v>
      </c>
      <c r="EN144" s="228">
        <v>0</v>
      </c>
      <c r="EO144" s="231">
        <v>2719.13</v>
      </c>
      <c r="EP144" s="231">
        <v>2898.72</v>
      </c>
      <c r="EQ144" s="228">
        <v>-179.58</v>
      </c>
      <c r="ER144" s="229">
        <v>-6.2E-2</v>
      </c>
      <c r="ES144" s="228">
        <v>317.17</v>
      </c>
      <c r="ET144" s="228">
        <v>162.21</v>
      </c>
      <c r="EU144" s="228">
        <v>851.47</v>
      </c>
      <c r="EV144" s="231">
        <v>12239606</v>
      </c>
      <c r="EW144" s="231">
        <v>1330.86</v>
      </c>
      <c r="EX144" s="231">
        <v>2291.8000000000002</v>
      </c>
      <c r="EY144" s="228">
        <v>-960.94</v>
      </c>
      <c r="EZ144" s="229">
        <v>-0.41930000000000001</v>
      </c>
      <c r="FA144" s="229">
        <v>0.38229999999999997</v>
      </c>
      <c r="FB144" s="227" t="s">
        <v>556</v>
      </c>
      <c r="FC144">
        <f t="shared" si="2"/>
        <v>788</v>
      </c>
    </row>
    <row r="145" spans="1:159" ht="17.25" thickBot="1" x14ac:dyDescent="0.3">
      <c r="A145" s="226">
        <v>45869</v>
      </c>
      <c r="B145" s="227" t="s">
        <v>175</v>
      </c>
      <c r="C145" s="227" t="s">
        <v>517</v>
      </c>
      <c r="D145" s="228">
        <v>125</v>
      </c>
      <c r="E145" s="228">
        <v>0</v>
      </c>
      <c r="F145" s="231">
        <v>7697.5</v>
      </c>
      <c r="G145" s="231">
        <v>7793.5</v>
      </c>
      <c r="H145" s="228">
        <v>-96</v>
      </c>
      <c r="I145" s="229">
        <v>-1.23E-2</v>
      </c>
      <c r="J145" s="231">
        <v>7693</v>
      </c>
      <c r="K145" s="231">
        <v>7787</v>
      </c>
      <c r="L145" s="228">
        <v>-94</v>
      </c>
      <c r="M145" s="229">
        <v>-1.21E-2</v>
      </c>
      <c r="N145" s="231">
        <v>7682.5</v>
      </c>
      <c r="O145" s="231">
        <v>7783</v>
      </c>
      <c r="P145" s="228">
        <v>-100.5</v>
      </c>
      <c r="Q145" s="229">
        <v>-1.29E-2</v>
      </c>
      <c r="R145" s="231">
        <v>7697.5</v>
      </c>
      <c r="S145" s="231">
        <v>7793.5</v>
      </c>
      <c r="T145" s="228">
        <v>-96</v>
      </c>
      <c r="U145" s="229">
        <v>-1.23E-2</v>
      </c>
      <c r="V145" s="231">
        <v>7744.5</v>
      </c>
      <c r="W145" s="231">
        <v>7837.5</v>
      </c>
      <c r="X145" s="228">
        <v>-93</v>
      </c>
      <c r="Y145" s="229">
        <v>-1.1900000000000001E-2</v>
      </c>
      <c r="Z145" s="228">
        <v>4.5</v>
      </c>
      <c r="AA145" s="228">
        <v>-4</v>
      </c>
      <c r="AB145" s="228">
        <v>8.5</v>
      </c>
      <c r="AC145" s="229">
        <v>5.9999999999999995E-4</v>
      </c>
      <c r="AD145" s="228">
        <v>-10.5</v>
      </c>
      <c r="AE145" s="228">
        <v>-4</v>
      </c>
      <c r="AF145" s="228">
        <v>-6.5</v>
      </c>
      <c r="AG145" s="229">
        <v>-1.4E-3</v>
      </c>
      <c r="AH145" s="228">
        <v>4.5</v>
      </c>
      <c r="AI145" s="228">
        <v>6.5</v>
      </c>
      <c r="AJ145" s="228">
        <v>-2</v>
      </c>
      <c r="AK145" s="229">
        <v>5.9999999999999995E-4</v>
      </c>
      <c r="AL145" s="228">
        <v>51.5</v>
      </c>
      <c r="AM145" s="228">
        <v>50.5</v>
      </c>
      <c r="AN145" s="228">
        <v>1</v>
      </c>
      <c r="AO145" s="229">
        <v>6.7000000000000002E-3</v>
      </c>
      <c r="AP145" s="231">
        <v>7733.79</v>
      </c>
      <c r="AQ145" s="231">
        <v>7744.11</v>
      </c>
      <c r="AR145" s="228">
        <v>0</v>
      </c>
      <c r="AS145" s="230">
        <v>1134</v>
      </c>
      <c r="AT145" s="230">
        <v>1110</v>
      </c>
      <c r="AU145" s="228">
        <v>23</v>
      </c>
      <c r="AV145" s="229">
        <v>2.1100000000000001E-2</v>
      </c>
      <c r="AW145" s="228">
        <v>488</v>
      </c>
      <c r="AX145" s="228">
        <v>530</v>
      </c>
      <c r="AY145" s="228">
        <v>-42</v>
      </c>
      <c r="AZ145" s="229">
        <v>-7.9899999999999999E-2</v>
      </c>
      <c r="BA145" s="228">
        <v>633</v>
      </c>
      <c r="BB145" s="228">
        <v>569</v>
      </c>
      <c r="BC145" s="228">
        <v>64</v>
      </c>
      <c r="BD145" s="229">
        <v>0.1128</v>
      </c>
      <c r="BE145" s="228">
        <v>13</v>
      </c>
      <c r="BF145" s="228">
        <v>11</v>
      </c>
      <c r="BG145" s="228">
        <v>2</v>
      </c>
      <c r="BH145" s="229">
        <v>0.13450000000000001</v>
      </c>
      <c r="BI145" s="230">
        <v>2645</v>
      </c>
      <c r="BJ145" s="230">
        <v>2971</v>
      </c>
      <c r="BK145" s="228">
        <v>-326</v>
      </c>
      <c r="BL145" s="229">
        <v>-0.10979999999999999</v>
      </c>
      <c r="BM145" s="230">
        <v>1532</v>
      </c>
      <c r="BN145" s="230">
        <v>2027</v>
      </c>
      <c r="BO145" s="228">
        <v>-495</v>
      </c>
      <c r="BP145" s="229">
        <v>-0.24440000000000001</v>
      </c>
      <c r="BQ145" s="230">
        <v>5310</v>
      </c>
      <c r="BR145" s="230">
        <v>6108</v>
      </c>
      <c r="BS145" s="228">
        <v>-798</v>
      </c>
      <c r="BT145" s="229">
        <v>-0.13070000000000001</v>
      </c>
      <c r="BU145" s="230">
        <v>318438</v>
      </c>
      <c r="BV145" s="230">
        <v>288950</v>
      </c>
      <c r="BW145" s="230">
        <v>29488</v>
      </c>
      <c r="BX145" s="229">
        <v>0.1021</v>
      </c>
      <c r="BY145" s="230">
        <v>1754</v>
      </c>
      <c r="BZ145" s="230">
        <v>1975</v>
      </c>
      <c r="CA145" s="228">
        <v>-221</v>
      </c>
      <c r="CB145" s="229">
        <v>-0.11210000000000001</v>
      </c>
      <c r="CC145" s="228">
        <v>248</v>
      </c>
      <c r="CD145" s="228">
        <v>484</v>
      </c>
      <c r="CE145" s="228">
        <v>-236</v>
      </c>
      <c r="CF145" s="229">
        <v>-0.48720000000000002</v>
      </c>
      <c r="CG145" s="230">
        <v>1727</v>
      </c>
      <c r="CH145" s="230">
        <v>1469</v>
      </c>
      <c r="CI145" s="228">
        <v>258</v>
      </c>
      <c r="CJ145" s="229">
        <v>0.1754</v>
      </c>
      <c r="CK145" s="228">
        <v>27</v>
      </c>
      <c r="CL145" s="228">
        <v>21</v>
      </c>
      <c r="CM145" s="228">
        <v>5</v>
      </c>
      <c r="CN145" s="229">
        <v>0.23769999999999999</v>
      </c>
      <c r="CO145" s="228">
        <v>650</v>
      </c>
      <c r="CP145" s="230">
        <v>2106</v>
      </c>
      <c r="CQ145" s="230">
        <v>-1455</v>
      </c>
      <c r="CR145" s="229">
        <v>-0.69110000000000005</v>
      </c>
      <c r="CS145" s="228">
        <v>452</v>
      </c>
      <c r="CT145" s="230">
        <v>1294</v>
      </c>
      <c r="CU145" s="228">
        <v>-843</v>
      </c>
      <c r="CV145" s="229">
        <v>-0.65090000000000003</v>
      </c>
      <c r="CW145" s="230">
        <v>2856</v>
      </c>
      <c r="CX145" s="230">
        <v>5375</v>
      </c>
      <c r="CY145" s="230">
        <v>-2519</v>
      </c>
      <c r="CZ145" s="229">
        <v>-0.46870000000000001</v>
      </c>
      <c r="DA145" s="228">
        <v>39.14</v>
      </c>
      <c r="DB145" s="228">
        <v>38.42</v>
      </c>
      <c r="DC145" s="228">
        <v>0.72</v>
      </c>
      <c r="DD145" s="228">
        <v>0.72</v>
      </c>
      <c r="DE145" s="228">
        <v>48.62</v>
      </c>
      <c r="DF145" s="228">
        <v>48.72</v>
      </c>
      <c r="DG145" s="228">
        <v>-9.48</v>
      </c>
      <c r="DH145" s="228">
        <v>-0.1</v>
      </c>
      <c r="DI145" s="228">
        <v>39.03</v>
      </c>
      <c r="DJ145" s="228">
        <v>38.5</v>
      </c>
      <c r="DK145" s="228">
        <v>0.53</v>
      </c>
      <c r="DL145" s="228">
        <v>0.53</v>
      </c>
      <c r="DM145" s="228">
        <v>39.33</v>
      </c>
      <c r="DN145" s="228">
        <v>38.299999999999997</v>
      </c>
      <c r="DO145" s="228">
        <v>1.03</v>
      </c>
      <c r="DP145" s="228">
        <v>1.03</v>
      </c>
      <c r="DQ145" s="228">
        <v>0.69</v>
      </c>
      <c r="DR145" s="228">
        <v>0.61</v>
      </c>
      <c r="DS145" s="228">
        <v>0.08</v>
      </c>
      <c r="DT145" s="229">
        <v>0.13109999999999999</v>
      </c>
      <c r="DU145" s="231">
        <v>9000</v>
      </c>
      <c r="DV145" s="231">
        <v>8000</v>
      </c>
      <c r="DW145" s="228">
        <v>0.57999999999999996</v>
      </c>
      <c r="DX145" s="228">
        <v>0.68</v>
      </c>
      <c r="DY145" s="228">
        <v>-0.1</v>
      </c>
      <c r="DZ145" s="229">
        <v>-0.14710000000000001</v>
      </c>
      <c r="EA145" s="229">
        <v>0.87590000000000001</v>
      </c>
      <c r="EB145" s="230">
        <v>1936625</v>
      </c>
      <c r="EC145" s="229">
        <v>2E-3</v>
      </c>
      <c r="ED145" s="229">
        <v>0.87590000000000001</v>
      </c>
      <c r="EE145" s="228">
        <v>10.32</v>
      </c>
      <c r="EF145" s="229">
        <v>1.2999999999999999E-3</v>
      </c>
      <c r="EG145" s="230">
        <v>120330</v>
      </c>
      <c r="EH145" s="230">
        <v>95807</v>
      </c>
      <c r="EI145" s="229">
        <v>0.25600000000000001</v>
      </c>
      <c r="EJ145" s="229">
        <v>0.37790000000000001</v>
      </c>
      <c r="EK145" s="231">
        <v>2861.03</v>
      </c>
      <c r="EL145" s="231">
        <v>1541.13</v>
      </c>
      <c r="EM145" s="231">
        <v>1139.81</v>
      </c>
      <c r="EN145" s="228">
        <v>0</v>
      </c>
      <c r="EO145" s="231">
        <v>5541.97</v>
      </c>
      <c r="EP145" s="231">
        <v>6352.87</v>
      </c>
      <c r="EQ145" s="228">
        <v>-810.9</v>
      </c>
      <c r="ER145" s="229">
        <v>-0.12759999999999999</v>
      </c>
      <c r="ES145" s="228">
        <v>711.68</v>
      </c>
      <c r="ET145" s="228">
        <v>446.82</v>
      </c>
      <c r="EU145" s="231">
        <v>1753.75</v>
      </c>
      <c r="EV145" s="231">
        <v>10180563</v>
      </c>
      <c r="EW145" s="231">
        <v>2912.25</v>
      </c>
      <c r="EX145" s="231">
        <v>5699.02</v>
      </c>
      <c r="EY145" s="231">
        <v>-2786.77</v>
      </c>
      <c r="EZ145" s="229">
        <v>-0.48899999999999999</v>
      </c>
      <c r="FA145" s="229">
        <v>0.3644</v>
      </c>
      <c r="FB145" s="227" t="s">
        <v>568</v>
      </c>
      <c r="FC145">
        <f t="shared" si="2"/>
        <v>1506</v>
      </c>
    </row>
    <row r="146" spans="1:159" ht="17.25" thickBot="1" x14ac:dyDescent="0.3">
      <c r="A146" s="226">
        <v>45869</v>
      </c>
      <c r="B146" s="227" t="s">
        <v>175</v>
      </c>
      <c r="C146" s="227" t="s">
        <v>257</v>
      </c>
      <c r="D146" s="228">
        <v>800</v>
      </c>
      <c r="E146" s="228">
        <v>0</v>
      </c>
      <c r="F146" s="231">
        <v>1507</v>
      </c>
      <c r="G146" s="231">
        <v>1515.7</v>
      </c>
      <c r="H146" s="228">
        <v>-8.6999999999999993</v>
      </c>
      <c r="I146" s="229">
        <v>-5.7000000000000002E-3</v>
      </c>
      <c r="J146" s="231">
        <v>1501.4</v>
      </c>
      <c r="K146" s="231">
        <v>1508.2</v>
      </c>
      <c r="L146" s="228">
        <v>-6.8</v>
      </c>
      <c r="M146" s="229">
        <v>-4.4999999999999997E-3</v>
      </c>
      <c r="N146" s="231">
        <v>1497.2</v>
      </c>
      <c r="O146" s="231">
        <v>1506.5</v>
      </c>
      <c r="P146" s="228">
        <v>-9.3000000000000007</v>
      </c>
      <c r="Q146" s="229">
        <v>-6.1999999999999998E-3</v>
      </c>
      <c r="R146" s="231">
        <v>1507</v>
      </c>
      <c r="S146" s="231">
        <v>1515.7</v>
      </c>
      <c r="T146" s="228">
        <v>-8.6999999999999993</v>
      </c>
      <c r="U146" s="229">
        <v>-5.7000000000000002E-3</v>
      </c>
      <c r="V146" s="231">
        <v>1514.6</v>
      </c>
      <c r="W146" s="231">
        <v>1519</v>
      </c>
      <c r="X146" s="228">
        <v>-4.4000000000000004</v>
      </c>
      <c r="Y146" s="229">
        <v>-2.8999999999999998E-3</v>
      </c>
      <c r="Z146" s="228">
        <v>5.6</v>
      </c>
      <c r="AA146" s="228">
        <v>-1.7</v>
      </c>
      <c r="AB146" s="228">
        <v>7.3</v>
      </c>
      <c r="AC146" s="229">
        <v>3.7000000000000002E-3</v>
      </c>
      <c r="AD146" s="228">
        <v>-4.2</v>
      </c>
      <c r="AE146" s="228">
        <v>-1.7</v>
      </c>
      <c r="AF146" s="228">
        <v>-2.5</v>
      </c>
      <c r="AG146" s="229">
        <v>-2.8E-3</v>
      </c>
      <c r="AH146" s="228">
        <v>5.6</v>
      </c>
      <c r="AI146" s="228">
        <v>7.5</v>
      </c>
      <c r="AJ146" s="228">
        <v>-1.9</v>
      </c>
      <c r="AK146" s="229">
        <v>3.7000000000000002E-3</v>
      </c>
      <c r="AL146" s="228">
        <v>13.2</v>
      </c>
      <c r="AM146" s="228">
        <v>10.8</v>
      </c>
      <c r="AN146" s="228">
        <v>2.4</v>
      </c>
      <c r="AO146" s="229">
        <v>8.8000000000000005E-3</v>
      </c>
      <c r="AP146" s="231">
        <v>1498.02</v>
      </c>
      <c r="AQ146" s="231">
        <v>1507.3</v>
      </c>
      <c r="AR146" s="228">
        <v>0</v>
      </c>
      <c r="AS146" s="228">
        <v>361</v>
      </c>
      <c r="AT146" s="228">
        <v>596</v>
      </c>
      <c r="AU146" s="228">
        <v>-235</v>
      </c>
      <c r="AV146" s="229">
        <v>-0.39429999999999998</v>
      </c>
      <c r="AW146" s="228">
        <v>160</v>
      </c>
      <c r="AX146" s="228">
        <v>243</v>
      </c>
      <c r="AY146" s="228">
        <v>-83</v>
      </c>
      <c r="AZ146" s="229">
        <v>-0.34029999999999999</v>
      </c>
      <c r="BA146" s="228">
        <v>197</v>
      </c>
      <c r="BB146" s="228">
        <v>352</v>
      </c>
      <c r="BC146" s="228">
        <v>-154</v>
      </c>
      <c r="BD146" s="229">
        <v>-0.43869999999999998</v>
      </c>
      <c r="BE146" s="228">
        <v>3</v>
      </c>
      <c r="BF146" s="228">
        <v>1</v>
      </c>
      <c r="BG146" s="228">
        <v>2</v>
      </c>
      <c r="BH146" s="229">
        <v>1.3332999999999999</v>
      </c>
      <c r="BI146" s="228">
        <v>121</v>
      </c>
      <c r="BJ146" s="228">
        <v>311</v>
      </c>
      <c r="BK146" s="228">
        <v>-190</v>
      </c>
      <c r="BL146" s="229">
        <v>-0.61180000000000001</v>
      </c>
      <c r="BM146" s="228">
        <v>168</v>
      </c>
      <c r="BN146" s="228">
        <v>143</v>
      </c>
      <c r="BO146" s="228">
        <v>26</v>
      </c>
      <c r="BP146" s="229">
        <v>0.17910000000000001</v>
      </c>
      <c r="BQ146" s="228">
        <v>650</v>
      </c>
      <c r="BR146" s="230">
        <v>1050</v>
      </c>
      <c r="BS146" s="228">
        <v>-400</v>
      </c>
      <c r="BT146" s="229">
        <v>-0.38069999999999998</v>
      </c>
      <c r="BU146" s="230">
        <v>331473</v>
      </c>
      <c r="BV146" s="230">
        <v>670853</v>
      </c>
      <c r="BW146" s="230">
        <v>-339380</v>
      </c>
      <c r="BX146" s="229">
        <v>-0.50590000000000002</v>
      </c>
      <c r="BY146" s="228">
        <v>786</v>
      </c>
      <c r="BZ146" s="228">
        <v>948</v>
      </c>
      <c r="CA146" s="228">
        <v>-162</v>
      </c>
      <c r="CB146" s="229">
        <v>-0.1704</v>
      </c>
      <c r="CC146" s="228">
        <v>139</v>
      </c>
      <c r="CD146" s="228">
        <v>198</v>
      </c>
      <c r="CE146" s="228">
        <v>-59</v>
      </c>
      <c r="CF146" s="229">
        <v>-0.29880000000000001</v>
      </c>
      <c r="CG146" s="228">
        <v>782</v>
      </c>
      <c r="CH146" s="228">
        <v>747</v>
      </c>
      <c r="CI146" s="228">
        <v>35</v>
      </c>
      <c r="CJ146" s="229">
        <v>4.7300000000000002E-2</v>
      </c>
      <c r="CK146" s="228">
        <v>4</v>
      </c>
      <c r="CL146" s="228">
        <v>3</v>
      </c>
      <c r="CM146" s="228">
        <v>1</v>
      </c>
      <c r="CN146" s="229">
        <v>0.25929999999999997</v>
      </c>
      <c r="CO146" s="228">
        <v>49</v>
      </c>
      <c r="CP146" s="228">
        <v>213</v>
      </c>
      <c r="CQ146" s="228">
        <v>-164</v>
      </c>
      <c r="CR146" s="229">
        <v>-0.77100000000000002</v>
      </c>
      <c r="CS146" s="228">
        <v>52</v>
      </c>
      <c r="CT146" s="228">
        <v>157</v>
      </c>
      <c r="CU146" s="228">
        <v>-105</v>
      </c>
      <c r="CV146" s="229">
        <v>-0.67049999999999998</v>
      </c>
      <c r="CW146" s="228">
        <v>887</v>
      </c>
      <c r="CX146" s="230">
        <v>1318</v>
      </c>
      <c r="CY146" s="228">
        <v>-431</v>
      </c>
      <c r="CZ146" s="229">
        <v>-0.32690000000000002</v>
      </c>
      <c r="DA146" s="228">
        <v>29.44</v>
      </c>
      <c r="DB146" s="228">
        <v>30.14</v>
      </c>
      <c r="DC146" s="228">
        <v>-0.7</v>
      </c>
      <c r="DD146" s="228">
        <v>-0.7</v>
      </c>
      <c r="DE146" s="228">
        <v>31.85</v>
      </c>
      <c r="DF146" s="228">
        <v>31.93</v>
      </c>
      <c r="DG146" s="228">
        <v>-2.41</v>
      </c>
      <c r="DH146" s="228">
        <v>-0.08</v>
      </c>
      <c r="DI146" s="228">
        <v>29.4</v>
      </c>
      <c r="DJ146" s="228">
        <v>30.01</v>
      </c>
      <c r="DK146" s="228">
        <v>-0.61</v>
      </c>
      <c r="DL146" s="228">
        <v>-0.61</v>
      </c>
      <c r="DM146" s="228">
        <v>29.49</v>
      </c>
      <c r="DN146" s="228">
        <v>30.29</v>
      </c>
      <c r="DO146" s="228">
        <v>-0.8</v>
      </c>
      <c r="DP146" s="228">
        <v>-0.8</v>
      </c>
      <c r="DQ146" s="228">
        <v>1.06</v>
      </c>
      <c r="DR146" s="228">
        <v>0.74</v>
      </c>
      <c r="DS146" s="228">
        <v>0.32</v>
      </c>
      <c r="DT146" s="229">
        <v>0.43240000000000001</v>
      </c>
      <c r="DU146" s="231">
        <v>1640</v>
      </c>
      <c r="DV146" s="231">
        <v>1500</v>
      </c>
      <c r="DW146" s="228">
        <v>1.4</v>
      </c>
      <c r="DX146" s="228">
        <v>0.46</v>
      </c>
      <c r="DY146" s="228">
        <v>0.94</v>
      </c>
      <c r="DZ146" s="229">
        <v>2.0434999999999999</v>
      </c>
      <c r="EA146" s="229">
        <v>0.85009999999999997</v>
      </c>
      <c r="EB146" s="230">
        <v>4978400</v>
      </c>
      <c r="EC146" s="229">
        <v>6.4999999999999997E-3</v>
      </c>
      <c r="ED146" s="229">
        <v>0.85009999999999997</v>
      </c>
      <c r="EE146" s="228">
        <v>9.2799999999999994</v>
      </c>
      <c r="EF146" s="229">
        <v>6.1999999999999998E-3</v>
      </c>
      <c r="EG146" s="230">
        <v>171240</v>
      </c>
      <c r="EH146" s="230">
        <v>355663</v>
      </c>
      <c r="EI146" s="229">
        <v>-0.51849999999999996</v>
      </c>
      <c r="EJ146" s="229">
        <v>0.51659999999999995</v>
      </c>
      <c r="EK146" s="228">
        <v>127.96</v>
      </c>
      <c r="EL146" s="228">
        <v>166.7</v>
      </c>
      <c r="EM146" s="228">
        <v>360.29</v>
      </c>
      <c r="EN146" s="228">
        <v>0</v>
      </c>
      <c r="EO146" s="228">
        <v>654.95000000000005</v>
      </c>
      <c r="EP146" s="231">
        <v>1057.44</v>
      </c>
      <c r="EQ146" s="228">
        <v>-402.49</v>
      </c>
      <c r="ER146" s="229">
        <v>-0.38059999999999999</v>
      </c>
      <c r="ES146" s="228">
        <v>52</v>
      </c>
      <c r="ET146" s="228">
        <v>50.32</v>
      </c>
      <c r="EU146" s="228">
        <v>786.43</v>
      </c>
      <c r="EV146" s="231">
        <v>67819703</v>
      </c>
      <c r="EW146" s="228">
        <v>888.76</v>
      </c>
      <c r="EX146" s="231">
        <v>1340.94</v>
      </c>
      <c r="EY146" s="228">
        <v>-452.18</v>
      </c>
      <c r="EZ146" s="229">
        <v>-0.3372</v>
      </c>
      <c r="FA146" s="229">
        <v>8.6800000000000002E-2</v>
      </c>
      <c r="FB146" s="227" t="s">
        <v>568</v>
      </c>
      <c r="FC146">
        <f t="shared" si="2"/>
        <v>647</v>
      </c>
    </row>
    <row r="147" spans="1:159" ht="17.25" thickBot="1" x14ac:dyDescent="0.3">
      <c r="A147" s="226">
        <v>45869</v>
      </c>
      <c r="B147" s="227" t="s">
        <v>193</v>
      </c>
      <c r="C147" s="227" t="s">
        <v>258</v>
      </c>
      <c r="D147" s="228">
        <v>400</v>
      </c>
      <c r="E147" s="228">
        <v>0</v>
      </c>
      <c r="F147" s="228">
        <v>0</v>
      </c>
      <c r="G147" s="228">
        <v>0</v>
      </c>
      <c r="H147" s="228">
        <v>0</v>
      </c>
      <c r="I147" s="229">
        <v>0</v>
      </c>
      <c r="J147" s="231">
        <v>1358.1</v>
      </c>
      <c r="K147" s="231">
        <v>1412.4</v>
      </c>
      <c r="L147" s="228">
        <v>-54.3</v>
      </c>
      <c r="M147" s="229">
        <v>-3.8399999999999997E-2</v>
      </c>
      <c r="N147" s="231">
        <v>1356.2</v>
      </c>
      <c r="O147" s="231">
        <v>1417</v>
      </c>
      <c r="P147" s="228">
        <v>-60.8</v>
      </c>
      <c r="Q147" s="229">
        <v>-4.2900000000000001E-2</v>
      </c>
      <c r="R147" s="228">
        <v>0</v>
      </c>
      <c r="S147" s="228">
        <v>0</v>
      </c>
      <c r="T147" s="228">
        <v>0</v>
      </c>
      <c r="U147" s="229">
        <v>0</v>
      </c>
      <c r="V147" s="228">
        <v>0</v>
      </c>
      <c r="W147" s="228">
        <v>0</v>
      </c>
      <c r="X147" s="228">
        <v>0</v>
      </c>
      <c r="Y147" s="229">
        <v>0</v>
      </c>
      <c r="Z147" s="228">
        <v>0</v>
      </c>
      <c r="AA147" s="228">
        <v>4.5999999999999996</v>
      </c>
      <c r="AB147" s="228">
        <v>0</v>
      </c>
      <c r="AC147" s="229">
        <v>0</v>
      </c>
      <c r="AD147" s="228">
        <v>-1.9</v>
      </c>
      <c r="AE147" s="228">
        <v>4.5999999999999996</v>
      </c>
      <c r="AF147" s="228">
        <v>-6.5</v>
      </c>
      <c r="AG147" s="229">
        <v>-1.4E-3</v>
      </c>
      <c r="AH147" s="228">
        <v>0</v>
      </c>
      <c r="AI147" s="228">
        <v>0</v>
      </c>
      <c r="AJ147" s="228">
        <v>0</v>
      </c>
      <c r="AK147" s="229">
        <v>0</v>
      </c>
      <c r="AL147" s="228">
        <v>0</v>
      </c>
      <c r="AM147" s="228">
        <v>0</v>
      </c>
      <c r="AN147" s="228">
        <v>0</v>
      </c>
      <c r="AO147" s="229">
        <v>0</v>
      </c>
      <c r="AP147" s="231">
        <v>1376.47</v>
      </c>
      <c r="AQ147" s="228">
        <v>0</v>
      </c>
      <c r="AR147" s="228">
        <v>0</v>
      </c>
      <c r="AS147" s="228">
        <v>0</v>
      </c>
      <c r="AT147" s="228">
        <v>0</v>
      </c>
      <c r="AU147" s="228">
        <v>0</v>
      </c>
      <c r="AV147" s="229">
        <v>1.4999999999999999E-2</v>
      </c>
      <c r="AW147" s="228">
        <v>0</v>
      </c>
      <c r="AX147" s="228">
        <v>0</v>
      </c>
      <c r="AY147" s="228">
        <v>0</v>
      </c>
      <c r="AZ147" s="229">
        <v>1.4999999999999999E-2</v>
      </c>
      <c r="BA147" s="228">
        <v>0</v>
      </c>
      <c r="BB147" s="228">
        <v>0</v>
      </c>
      <c r="BC147" s="228">
        <v>0</v>
      </c>
      <c r="BD147" s="229">
        <v>0</v>
      </c>
      <c r="BE147" s="228">
        <v>0</v>
      </c>
      <c r="BF147" s="228">
        <v>0</v>
      </c>
      <c r="BG147" s="228">
        <v>0</v>
      </c>
      <c r="BH147" s="229">
        <v>0</v>
      </c>
      <c r="BI147" s="228">
        <v>0</v>
      </c>
      <c r="BJ147" s="228">
        <v>0</v>
      </c>
      <c r="BK147" s="228">
        <v>0</v>
      </c>
      <c r="BL147" s="229">
        <v>-0.51080000000000003</v>
      </c>
      <c r="BM147" s="228">
        <v>0</v>
      </c>
      <c r="BN147" s="228">
        <v>0</v>
      </c>
      <c r="BO147" s="228">
        <v>0</v>
      </c>
      <c r="BP147" s="229">
        <v>-0.44690000000000002</v>
      </c>
      <c r="BQ147" s="228">
        <v>0</v>
      </c>
      <c r="BR147" s="228">
        <v>0</v>
      </c>
      <c r="BS147" s="228">
        <v>0</v>
      </c>
      <c r="BT147" s="229">
        <v>-0.41860000000000003</v>
      </c>
      <c r="BU147" s="230">
        <v>647895</v>
      </c>
      <c r="BV147" s="230">
        <v>446982</v>
      </c>
      <c r="BW147" s="230">
        <v>200913</v>
      </c>
      <c r="BX147" s="229">
        <v>0.44950000000000001</v>
      </c>
      <c r="BY147" s="228">
        <v>0</v>
      </c>
      <c r="BZ147" s="228">
        <v>0</v>
      </c>
      <c r="CA147" s="228">
        <v>0</v>
      </c>
      <c r="CB147" s="229">
        <v>-1</v>
      </c>
      <c r="CC147" s="228">
        <v>0</v>
      </c>
      <c r="CD147" s="228">
        <v>0</v>
      </c>
      <c r="CE147" s="228">
        <v>0</v>
      </c>
      <c r="CF147" s="229">
        <v>-0.47410000000000002</v>
      </c>
      <c r="CG147" s="228">
        <v>0</v>
      </c>
      <c r="CH147" s="228">
        <v>0</v>
      </c>
      <c r="CI147" s="228">
        <v>0</v>
      </c>
      <c r="CJ147" s="229">
        <v>0</v>
      </c>
      <c r="CK147" s="228">
        <v>0</v>
      </c>
      <c r="CL147" s="228">
        <v>0</v>
      </c>
      <c r="CM147" s="228">
        <v>0</v>
      </c>
      <c r="CN147" s="229">
        <v>0</v>
      </c>
      <c r="CO147" s="228">
        <v>0</v>
      </c>
      <c r="CP147" s="228">
        <v>0</v>
      </c>
      <c r="CQ147" s="228">
        <v>0</v>
      </c>
      <c r="CR147" s="229">
        <v>-0.31480000000000002</v>
      </c>
      <c r="CS147" s="228">
        <v>0</v>
      </c>
      <c r="CT147" s="228">
        <v>0</v>
      </c>
      <c r="CU147" s="228">
        <v>0</v>
      </c>
      <c r="CV147" s="229">
        <v>-0.17380000000000001</v>
      </c>
      <c r="CW147" s="228">
        <v>0</v>
      </c>
      <c r="CX147" s="228">
        <v>0</v>
      </c>
      <c r="CY147" s="228">
        <v>0</v>
      </c>
      <c r="CZ147" s="229">
        <v>-0.37390000000000001</v>
      </c>
      <c r="DA147" s="228">
        <v>45.05</v>
      </c>
      <c r="DB147" s="228">
        <v>45.05</v>
      </c>
      <c r="DC147" s="228">
        <v>0</v>
      </c>
      <c r="DD147" s="228">
        <v>0</v>
      </c>
      <c r="DE147" s="228">
        <v>45.05</v>
      </c>
      <c r="DF147" s="228">
        <v>45.05</v>
      </c>
      <c r="DG147" s="228">
        <v>0</v>
      </c>
      <c r="DH147" s="228">
        <v>0</v>
      </c>
      <c r="DI147" s="228">
        <v>45.05</v>
      </c>
      <c r="DJ147" s="228">
        <v>45.05</v>
      </c>
      <c r="DK147" s="228">
        <v>0</v>
      </c>
      <c r="DL147" s="228">
        <v>0</v>
      </c>
      <c r="DM147" s="228">
        <v>45.05</v>
      </c>
      <c r="DN147" s="228">
        <v>45.05</v>
      </c>
      <c r="DO147" s="228">
        <v>0</v>
      </c>
      <c r="DP147" s="228">
        <v>0</v>
      </c>
      <c r="DQ147" s="228">
        <v>0.56999999999999995</v>
      </c>
      <c r="DR147" s="228">
        <v>0.47</v>
      </c>
      <c r="DS147" s="228">
        <v>0.1</v>
      </c>
      <c r="DT147" s="229">
        <v>0.21279999999999999</v>
      </c>
      <c r="DU147" s="231">
        <v>1600</v>
      </c>
      <c r="DV147" s="231">
        <v>1400</v>
      </c>
      <c r="DW147" s="228">
        <v>0.38</v>
      </c>
      <c r="DX147" s="228">
        <v>0.34</v>
      </c>
      <c r="DY147" s="228">
        <v>0.04</v>
      </c>
      <c r="DZ147" s="229">
        <v>0.1176</v>
      </c>
      <c r="EA147" s="229">
        <v>0</v>
      </c>
      <c r="EB147" s="228">
        <v>0</v>
      </c>
      <c r="EC147" s="229">
        <v>0</v>
      </c>
      <c r="ED147" s="229">
        <v>0</v>
      </c>
      <c r="EE147" s="228">
        <v>0</v>
      </c>
      <c r="EF147" s="229">
        <v>0</v>
      </c>
      <c r="EG147" s="230">
        <v>356276</v>
      </c>
      <c r="EH147" s="230">
        <v>184377</v>
      </c>
      <c r="EI147" s="229">
        <v>0.93230000000000002</v>
      </c>
      <c r="EJ147" s="229">
        <v>0.54990000000000006</v>
      </c>
      <c r="EK147" s="228">
        <v>231.91</v>
      </c>
      <c r="EL147" s="228">
        <v>83.85</v>
      </c>
      <c r="EM147" s="228">
        <v>104.61</v>
      </c>
      <c r="EN147" s="228">
        <v>0</v>
      </c>
      <c r="EO147" s="228">
        <v>420.37</v>
      </c>
      <c r="EP147" s="228">
        <v>725.83</v>
      </c>
      <c r="EQ147" s="228">
        <v>-305.45999999999998</v>
      </c>
      <c r="ER147" s="229">
        <v>-0.42080000000000001</v>
      </c>
      <c r="ES147" s="228">
        <v>0</v>
      </c>
      <c r="ET147" s="228">
        <v>0</v>
      </c>
      <c r="EU147" s="228">
        <v>0</v>
      </c>
      <c r="EV147" s="231">
        <v>13335005</v>
      </c>
      <c r="EW147" s="228">
        <v>0</v>
      </c>
      <c r="EX147" s="228">
        <v>547.84</v>
      </c>
      <c r="EY147" s="228">
        <v>-547.84</v>
      </c>
      <c r="EZ147" s="229">
        <v>-1</v>
      </c>
      <c r="FA147" s="229">
        <v>0.17280000000000001</v>
      </c>
      <c r="FB147" s="227" t="s">
        <v>237</v>
      </c>
      <c r="FC147">
        <f t="shared" si="2"/>
        <v>0</v>
      </c>
    </row>
    <row r="148" spans="1:159" ht="17.25" thickBot="1" x14ac:dyDescent="0.3">
      <c r="A148" s="226">
        <v>45869</v>
      </c>
      <c r="B148" s="227" t="s">
        <v>181</v>
      </c>
      <c r="C148" s="227" t="s">
        <v>563</v>
      </c>
      <c r="D148" s="228">
        <v>140</v>
      </c>
      <c r="E148" s="228">
        <v>0</v>
      </c>
      <c r="F148" s="231">
        <v>12920.65</v>
      </c>
      <c r="G148" s="231">
        <v>13058.7</v>
      </c>
      <c r="H148" s="228">
        <v>-138.05000000000001</v>
      </c>
      <c r="I148" s="229">
        <v>-1.06E-2</v>
      </c>
      <c r="J148" s="231">
        <v>12867.1</v>
      </c>
      <c r="K148" s="231">
        <v>13009.65</v>
      </c>
      <c r="L148" s="228">
        <v>-142.55000000000001</v>
      </c>
      <c r="M148" s="229">
        <v>-1.0999999999999999E-2</v>
      </c>
      <c r="N148" s="231">
        <v>12883.05</v>
      </c>
      <c r="O148" s="231">
        <v>13025</v>
      </c>
      <c r="P148" s="228">
        <v>-141.94999999999999</v>
      </c>
      <c r="Q148" s="229">
        <v>-1.09E-2</v>
      </c>
      <c r="R148" s="231">
        <v>12920.65</v>
      </c>
      <c r="S148" s="231">
        <v>13058.7</v>
      </c>
      <c r="T148" s="228">
        <v>-138.05000000000001</v>
      </c>
      <c r="U148" s="229">
        <v>-1.06E-2</v>
      </c>
      <c r="V148" s="231">
        <v>12970.65</v>
      </c>
      <c r="W148" s="231">
        <v>13101.05</v>
      </c>
      <c r="X148" s="228">
        <v>-130.4</v>
      </c>
      <c r="Y148" s="229">
        <v>-0.01</v>
      </c>
      <c r="Z148" s="228">
        <v>53.55</v>
      </c>
      <c r="AA148" s="228">
        <v>15.35</v>
      </c>
      <c r="AB148" s="228">
        <v>38.200000000000003</v>
      </c>
      <c r="AC148" s="229">
        <v>4.1999999999999997E-3</v>
      </c>
      <c r="AD148" s="228">
        <v>15.95</v>
      </c>
      <c r="AE148" s="228">
        <v>15.35</v>
      </c>
      <c r="AF148" s="228">
        <v>0.6</v>
      </c>
      <c r="AG148" s="229">
        <v>1.1999999999999999E-3</v>
      </c>
      <c r="AH148" s="228">
        <v>53.55</v>
      </c>
      <c r="AI148" s="228">
        <v>49.05</v>
      </c>
      <c r="AJ148" s="228">
        <v>4.5</v>
      </c>
      <c r="AK148" s="229">
        <v>4.1999999999999997E-3</v>
      </c>
      <c r="AL148" s="228">
        <v>103.55</v>
      </c>
      <c r="AM148" s="228">
        <v>91.4</v>
      </c>
      <c r="AN148" s="228">
        <v>12.15</v>
      </c>
      <c r="AO148" s="229">
        <v>8.0000000000000002E-3</v>
      </c>
      <c r="AP148" s="231">
        <v>12881.81</v>
      </c>
      <c r="AQ148" s="231">
        <v>12927.03</v>
      </c>
      <c r="AR148" s="228">
        <v>0</v>
      </c>
      <c r="AS148" s="230">
        <v>3050</v>
      </c>
      <c r="AT148" s="230">
        <v>1793</v>
      </c>
      <c r="AU148" s="230">
        <v>1257</v>
      </c>
      <c r="AV148" s="229">
        <v>0.70089999999999997</v>
      </c>
      <c r="AW148" s="230">
        <v>1205</v>
      </c>
      <c r="AX148" s="228">
        <v>972</v>
      </c>
      <c r="AY148" s="228">
        <v>233</v>
      </c>
      <c r="AZ148" s="229">
        <v>0.2402</v>
      </c>
      <c r="BA148" s="230">
        <v>1792</v>
      </c>
      <c r="BB148" s="228">
        <v>800</v>
      </c>
      <c r="BC148" s="228">
        <v>992</v>
      </c>
      <c r="BD148" s="229">
        <v>1.2403999999999999</v>
      </c>
      <c r="BE148" s="228">
        <v>53</v>
      </c>
      <c r="BF148" s="228">
        <v>22</v>
      </c>
      <c r="BG148" s="228">
        <v>31</v>
      </c>
      <c r="BH148" s="229">
        <v>1.4417</v>
      </c>
      <c r="BI148" s="230">
        <v>1035613</v>
      </c>
      <c r="BJ148" s="230">
        <v>285149</v>
      </c>
      <c r="BK148" s="230">
        <v>750464</v>
      </c>
      <c r="BL148" s="229">
        <v>2.6318000000000001</v>
      </c>
      <c r="BM148" s="230">
        <v>948137</v>
      </c>
      <c r="BN148" s="230">
        <v>252761</v>
      </c>
      <c r="BO148" s="230">
        <v>695377</v>
      </c>
      <c r="BP148" s="229">
        <v>2.7511000000000001</v>
      </c>
      <c r="BQ148" s="230">
        <v>1986800</v>
      </c>
      <c r="BR148" s="230">
        <v>539703</v>
      </c>
      <c r="BS148" s="230">
        <v>1447097</v>
      </c>
      <c r="BT148" s="229">
        <v>2.6812999999999998</v>
      </c>
      <c r="BU148" s="228">
        <v>0</v>
      </c>
      <c r="BV148" s="228">
        <v>0</v>
      </c>
      <c r="BW148" s="228">
        <v>0</v>
      </c>
      <c r="BX148" s="229">
        <v>0</v>
      </c>
      <c r="BY148" s="230">
        <v>2860</v>
      </c>
      <c r="BZ148" s="230">
        <v>3328</v>
      </c>
      <c r="CA148" s="228">
        <v>-468</v>
      </c>
      <c r="CB148" s="229">
        <v>-0.1406</v>
      </c>
      <c r="CC148" s="228">
        <v>499</v>
      </c>
      <c r="CD148" s="230">
        <v>1123</v>
      </c>
      <c r="CE148" s="228">
        <v>-624</v>
      </c>
      <c r="CF148" s="229">
        <v>-0.5554</v>
      </c>
      <c r="CG148" s="230">
        <v>2816</v>
      </c>
      <c r="CH148" s="230">
        <v>2172</v>
      </c>
      <c r="CI148" s="228">
        <v>644</v>
      </c>
      <c r="CJ148" s="229">
        <v>0.2964</v>
      </c>
      <c r="CK148" s="228">
        <v>44</v>
      </c>
      <c r="CL148" s="228">
        <v>33</v>
      </c>
      <c r="CM148" s="228">
        <v>11</v>
      </c>
      <c r="CN148" s="229">
        <v>0.33329999999999999</v>
      </c>
      <c r="CO148" s="230">
        <v>1921</v>
      </c>
      <c r="CP148" s="230">
        <v>25305</v>
      </c>
      <c r="CQ148" s="230">
        <v>-23384</v>
      </c>
      <c r="CR148" s="229">
        <v>-0.92410000000000003</v>
      </c>
      <c r="CS148" s="230">
        <v>2303</v>
      </c>
      <c r="CT148" s="230">
        <v>19272</v>
      </c>
      <c r="CU148" s="230">
        <v>-16969</v>
      </c>
      <c r="CV148" s="229">
        <v>-0.88049999999999995</v>
      </c>
      <c r="CW148" s="230">
        <v>7084</v>
      </c>
      <c r="CX148" s="230">
        <v>47905</v>
      </c>
      <c r="CY148" s="230">
        <v>-40821</v>
      </c>
      <c r="CZ148" s="229">
        <v>-0.85209999999999997</v>
      </c>
      <c r="DA148" s="228">
        <v>18.89</v>
      </c>
      <c r="DB148" s="228">
        <v>17.68</v>
      </c>
      <c r="DC148" s="228">
        <v>1.21</v>
      </c>
      <c r="DD148" s="228">
        <v>1.21</v>
      </c>
      <c r="DE148" s="228">
        <v>24.04</v>
      </c>
      <c r="DF148" s="228">
        <v>24.06</v>
      </c>
      <c r="DG148" s="228">
        <v>-5.15</v>
      </c>
      <c r="DH148" s="228">
        <v>-0.02</v>
      </c>
      <c r="DI148" s="228">
        <v>18.21</v>
      </c>
      <c r="DJ148" s="228">
        <v>17.18</v>
      </c>
      <c r="DK148" s="228">
        <v>1.03</v>
      </c>
      <c r="DL148" s="228">
        <v>1.03</v>
      </c>
      <c r="DM148" s="228">
        <v>19.64</v>
      </c>
      <c r="DN148" s="228">
        <v>18.25</v>
      </c>
      <c r="DO148" s="228">
        <v>1.39</v>
      </c>
      <c r="DP148" s="228">
        <v>1.39</v>
      </c>
      <c r="DQ148" s="228">
        <v>1.2</v>
      </c>
      <c r="DR148" s="228">
        <v>0.76</v>
      </c>
      <c r="DS148" s="228">
        <v>0.44</v>
      </c>
      <c r="DT148" s="229">
        <v>0.57889999999999997</v>
      </c>
      <c r="DU148" s="231">
        <v>12875</v>
      </c>
      <c r="DV148" s="231">
        <v>12850</v>
      </c>
      <c r="DW148" s="228">
        <v>0.92</v>
      </c>
      <c r="DX148" s="228">
        <v>0.89</v>
      </c>
      <c r="DY148" s="228">
        <v>0.03</v>
      </c>
      <c r="DZ148" s="229">
        <v>3.3700000000000001E-2</v>
      </c>
      <c r="EA148" s="229">
        <v>0.85140000000000005</v>
      </c>
      <c r="EB148" s="230">
        <v>1706600</v>
      </c>
      <c r="EC148" s="229">
        <v>2.8999999999999998E-3</v>
      </c>
      <c r="ED148" s="229">
        <v>0.85140000000000005</v>
      </c>
      <c r="EE148" s="228">
        <v>45.22</v>
      </c>
      <c r="EF148" s="229">
        <v>3.5000000000000001E-3</v>
      </c>
      <c r="EG148" s="228">
        <v>0</v>
      </c>
      <c r="EH148" s="228">
        <v>0</v>
      </c>
      <c r="EI148" s="229">
        <v>0</v>
      </c>
      <c r="EJ148" s="229">
        <v>0</v>
      </c>
      <c r="EK148" s="231">
        <v>1044717.35</v>
      </c>
      <c r="EL148" s="231">
        <v>940253.9</v>
      </c>
      <c r="EM148" s="231">
        <v>3047.42</v>
      </c>
      <c r="EN148" s="228">
        <v>0</v>
      </c>
      <c r="EO148" s="231">
        <v>1988018.67</v>
      </c>
      <c r="EP148" s="231">
        <v>546048.30000000005</v>
      </c>
      <c r="EQ148" s="231">
        <v>1441970.37</v>
      </c>
      <c r="ER148" s="229">
        <v>2.6406999999999998</v>
      </c>
      <c r="ES148" s="231">
        <v>1974.34</v>
      </c>
      <c r="ET148" s="231">
        <v>2207.75</v>
      </c>
      <c r="EU148" s="231">
        <v>2860.03</v>
      </c>
      <c r="EV148" s="228">
        <v>0</v>
      </c>
      <c r="EW148" s="231">
        <v>7042.12</v>
      </c>
      <c r="EX148" s="231">
        <v>48655.040000000001</v>
      </c>
      <c r="EY148" s="231">
        <v>-41612.92</v>
      </c>
      <c r="EZ148" s="229">
        <v>-0.85529999999999995</v>
      </c>
      <c r="FA148" s="229">
        <v>0</v>
      </c>
      <c r="FB148" s="227" t="s">
        <v>568</v>
      </c>
      <c r="FC148">
        <f>BY232-CC232</f>
        <v>0</v>
      </c>
    </row>
    <row r="149" spans="1:159" ht="17.25" thickBot="1" x14ac:dyDescent="0.3">
      <c r="A149" s="226">
        <v>45869</v>
      </c>
      <c r="B149" s="227" t="s">
        <v>162</v>
      </c>
      <c r="C149" s="227" t="s">
        <v>559</v>
      </c>
      <c r="D149" s="228">
        <v>6150</v>
      </c>
      <c r="E149" s="228">
        <v>0</v>
      </c>
      <c r="F149" s="228">
        <v>97.68</v>
      </c>
      <c r="G149" s="228">
        <v>99.23</v>
      </c>
      <c r="H149" s="228">
        <v>-1.55</v>
      </c>
      <c r="I149" s="229">
        <v>-1.5599999999999999E-2</v>
      </c>
      <c r="J149" s="228">
        <v>97.17</v>
      </c>
      <c r="K149" s="228">
        <v>98.92</v>
      </c>
      <c r="L149" s="228">
        <v>-1.75</v>
      </c>
      <c r="M149" s="229">
        <v>-1.77E-2</v>
      </c>
      <c r="N149" s="228">
        <v>97.07</v>
      </c>
      <c r="O149" s="228">
        <v>98.81</v>
      </c>
      <c r="P149" s="228">
        <v>-1.74</v>
      </c>
      <c r="Q149" s="229">
        <v>-1.7600000000000001E-2</v>
      </c>
      <c r="R149" s="228">
        <v>97.68</v>
      </c>
      <c r="S149" s="228">
        <v>99.23</v>
      </c>
      <c r="T149" s="228">
        <v>-1.55</v>
      </c>
      <c r="U149" s="229">
        <v>-1.5599999999999999E-2</v>
      </c>
      <c r="V149" s="228">
        <v>98.26</v>
      </c>
      <c r="W149" s="228">
        <v>99.8</v>
      </c>
      <c r="X149" s="228">
        <v>-1.54</v>
      </c>
      <c r="Y149" s="229">
        <v>-1.54E-2</v>
      </c>
      <c r="Z149" s="228">
        <v>0.51</v>
      </c>
      <c r="AA149" s="228">
        <v>-0.11</v>
      </c>
      <c r="AB149" s="228">
        <v>0.62</v>
      </c>
      <c r="AC149" s="229">
        <v>5.1999999999999998E-3</v>
      </c>
      <c r="AD149" s="228">
        <v>-0.1</v>
      </c>
      <c r="AE149" s="228">
        <v>-0.11</v>
      </c>
      <c r="AF149" s="228">
        <v>0.01</v>
      </c>
      <c r="AG149" s="229">
        <v>-1E-3</v>
      </c>
      <c r="AH149" s="228">
        <v>0.51</v>
      </c>
      <c r="AI149" s="228">
        <v>0.31</v>
      </c>
      <c r="AJ149" s="228">
        <v>0.2</v>
      </c>
      <c r="AK149" s="229">
        <v>5.1999999999999998E-3</v>
      </c>
      <c r="AL149" s="228">
        <v>1.0900000000000001</v>
      </c>
      <c r="AM149" s="228">
        <v>0.88</v>
      </c>
      <c r="AN149" s="228">
        <v>0.21</v>
      </c>
      <c r="AO149" s="229">
        <v>1.12E-2</v>
      </c>
      <c r="AP149" s="228">
        <v>97.54</v>
      </c>
      <c r="AQ149" s="228">
        <v>97.94</v>
      </c>
      <c r="AR149" s="228">
        <v>0</v>
      </c>
      <c r="AS149" s="228">
        <v>846</v>
      </c>
      <c r="AT149" s="228">
        <v>947</v>
      </c>
      <c r="AU149" s="228">
        <v>-101</v>
      </c>
      <c r="AV149" s="229">
        <v>-0.1071</v>
      </c>
      <c r="AW149" s="228">
        <v>371</v>
      </c>
      <c r="AX149" s="228">
        <v>395</v>
      </c>
      <c r="AY149" s="228">
        <v>-23</v>
      </c>
      <c r="AZ149" s="229">
        <v>-5.9499999999999997E-2</v>
      </c>
      <c r="BA149" s="228">
        <v>458</v>
      </c>
      <c r="BB149" s="228">
        <v>539</v>
      </c>
      <c r="BC149" s="228">
        <v>-81</v>
      </c>
      <c r="BD149" s="229">
        <v>-0.15090000000000001</v>
      </c>
      <c r="BE149" s="228">
        <v>17</v>
      </c>
      <c r="BF149" s="228">
        <v>13</v>
      </c>
      <c r="BG149" s="228">
        <v>3</v>
      </c>
      <c r="BH149" s="229">
        <v>0.2591</v>
      </c>
      <c r="BI149" s="228">
        <v>251</v>
      </c>
      <c r="BJ149" s="228">
        <v>378</v>
      </c>
      <c r="BK149" s="228">
        <v>-127</v>
      </c>
      <c r="BL149" s="229">
        <v>-0.33650000000000002</v>
      </c>
      <c r="BM149" s="228">
        <v>239</v>
      </c>
      <c r="BN149" s="228">
        <v>252</v>
      </c>
      <c r="BO149" s="228">
        <v>-14</v>
      </c>
      <c r="BP149" s="229">
        <v>-5.5199999999999999E-2</v>
      </c>
      <c r="BQ149" s="230">
        <v>1336</v>
      </c>
      <c r="BR149" s="230">
        <v>1578</v>
      </c>
      <c r="BS149" s="228">
        <v>-243</v>
      </c>
      <c r="BT149" s="229">
        <v>-0.15379999999999999</v>
      </c>
      <c r="BU149" s="230">
        <v>18075661</v>
      </c>
      <c r="BV149" s="230">
        <v>16851928</v>
      </c>
      <c r="BW149" s="230">
        <v>1223733</v>
      </c>
      <c r="BX149" s="229">
        <v>7.2599999999999998E-2</v>
      </c>
      <c r="BY149" s="230">
        <v>1521</v>
      </c>
      <c r="BZ149" s="230">
        <v>1568</v>
      </c>
      <c r="CA149" s="228">
        <v>-47</v>
      </c>
      <c r="CB149" s="229">
        <v>-2.98E-2</v>
      </c>
      <c r="CC149" s="228">
        <v>89</v>
      </c>
      <c r="CD149" s="228">
        <v>272</v>
      </c>
      <c r="CE149" s="228">
        <v>-183</v>
      </c>
      <c r="CF149" s="229">
        <v>-0.67330000000000001</v>
      </c>
      <c r="CG149" s="230">
        <v>1493</v>
      </c>
      <c r="CH149" s="230">
        <v>1273</v>
      </c>
      <c r="CI149" s="228">
        <v>220</v>
      </c>
      <c r="CJ149" s="229">
        <v>0.17299999999999999</v>
      </c>
      <c r="CK149" s="228">
        <v>29</v>
      </c>
      <c r="CL149" s="228">
        <v>23</v>
      </c>
      <c r="CM149" s="228">
        <v>6</v>
      </c>
      <c r="CN149" s="229">
        <v>0.2467</v>
      </c>
      <c r="CO149" s="228">
        <v>186</v>
      </c>
      <c r="CP149" s="228">
        <v>425</v>
      </c>
      <c r="CQ149" s="228">
        <v>-240</v>
      </c>
      <c r="CR149" s="229">
        <v>-0.5635</v>
      </c>
      <c r="CS149" s="228">
        <v>128</v>
      </c>
      <c r="CT149" s="228">
        <v>259</v>
      </c>
      <c r="CU149" s="228">
        <v>-132</v>
      </c>
      <c r="CV149" s="229">
        <v>-0.50690000000000002</v>
      </c>
      <c r="CW149" s="230">
        <v>1835</v>
      </c>
      <c r="CX149" s="230">
        <v>2253</v>
      </c>
      <c r="CY149" s="228">
        <v>-418</v>
      </c>
      <c r="CZ149" s="229">
        <v>-0.1855</v>
      </c>
      <c r="DA149" s="228">
        <v>36.549999999999997</v>
      </c>
      <c r="DB149" s="228">
        <v>34.57</v>
      </c>
      <c r="DC149" s="228">
        <v>1.98</v>
      </c>
      <c r="DD149" s="228">
        <v>1.98</v>
      </c>
      <c r="DE149" s="228">
        <v>41.97</v>
      </c>
      <c r="DF149" s="228">
        <v>42.02</v>
      </c>
      <c r="DG149" s="228">
        <v>-5.42</v>
      </c>
      <c r="DH149" s="228">
        <v>-0.05</v>
      </c>
      <c r="DI149" s="228">
        <v>36.520000000000003</v>
      </c>
      <c r="DJ149" s="228">
        <v>34.71</v>
      </c>
      <c r="DK149" s="228">
        <v>1.81</v>
      </c>
      <c r="DL149" s="228">
        <v>1.81</v>
      </c>
      <c r="DM149" s="228">
        <v>36.590000000000003</v>
      </c>
      <c r="DN149" s="228">
        <v>34.35</v>
      </c>
      <c r="DO149" s="228">
        <v>2.2400000000000002</v>
      </c>
      <c r="DP149" s="228">
        <v>2.2400000000000002</v>
      </c>
      <c r="DQ149" s="228">
        <v>0.69</v>
      </c>
      <c r="DR149" s="228">
        <v>0.61</v>
      </c>
      <c r="DS149" s="228">
        <v>0.08</v>
      </c>
      <c r="DT149" s="229">
        <v>0.13109999999999999</v>
      </c>
      <c r="DU149" s="228">
        <v>106.65</v>
      </c>
      <c r="DV149" s="228">
        <v>100</v>
      </c>
      <c r="DW149" s="228">
        <v>0.95</v>
      </c>
      <c r="DX149" s="228">
        <v>0.67</v>
      </c>
      <c r="DY149" s="228">
        <v>0.28000000000000003</v>
      </c>
      <c r="DZ149" s="229">
        <v>0.41789999999999999</v>
      </c>
      <c r="EA149" s="229">
        <v>0.94469999999999998</v>
      </c>
      <c r="EB149" s="230">
        <v>132618600</v>
      </c>
      <c r="EC149" s="229">
        <v>6.3E-3</v>
      </c>
      <c r="ED149" s="229">
        <v>0.94469999999999998</v>
      </c>
      <c r="EE149" s="228">
        <v>0.4</v>
      </c>
      <c r="EF149" s="229">
        <v>4.1000000000000003E-3</v>
      </c>
      <c r="EG149" s="230">
        <v>8647125</v>
      </c>
      <c r="EH149" s="230">
        <v>8450126</v>
      </c>
      <c r="EI149" s="229">
        <v>2.3300000000000001E-2</v>
      </c>
      <c r="EJ149" s="229">
        <v>0.47839999999999999</v>
      </c>
      <c r="EK149" s="228">
        <v>267.11</v>
      </c>
      <c r="EL149" s="228">
        <v>247.68</v>
      </c>
      <c r="EM149" s="228">
        <v>846.82</v>
      </c>
      <c r="EN149" s="228">
        <v>0</v>
      </c>
      <c r="EO149" s="231">
        <v>1361.61</v>
      </c>
      <c r="EP149" s="231">
        <v>1642.17</v>
      </c>
      <c r="EQ149" s="228">
        <v>-280.57</v>
      </c>
      <c r="ER149" s="229">
        <v>-0.17080000000000001</v>
      </c>
      <c r="ES149" s="228">
        <v>201.71</v>
      </c>
      <c r="ET149" s="228">
        <v>129.66999999999999</v>
      </c>
      <c r="EU149" s="231">
        <v>1521.34</v>
      </c>
      <c r="EV149" s="231">
        <v>883911758</v>
      </c>
      <c r="EW149" s="231">
        <v>1852.73</v>
      </c>
      <c r="EX149" s="231">
        <v>2319.6</v>
      </c>
      <c r="EY149" s="228">
        <v>-466.87</v>
      </c>
      <c r="EZ149" s="229">
        <v>-0.20130000000000001</v>
      </c>
      <c r="FA149" s="229">
        <v>0.21249999999999999</v>
      </c>
      <c r="FB149" s="227" t="s">
        <v>568</v>
      </c>
      <c r="FC149">
        <f t="shared" ref="FC149:FC194" si="3">BY231-CC231</f>
        <v>793</v>
      </c>
    </row>
    <row r="150" spans="1:159" ht="17.25" thickBot="1" x14ac:dyDescent="0.3">
      <c r="A150" s="226">
        <v>45869</v>
      </c>
      <c r="B150" s="227" t="s">
        <v>221</v>
      </c>
      <c r="C150" s="227" t="s">
        <v>487</v>
      </c>
      <c r="D150" s="228">
        <v>275</v>
      </c>
      <c r="E150" s="228">
        <v>0</v>
      </c>
      <c r="F150" s="231">
        <v>2799</v>
      </c>
      <c r="G150" s="231">
        <v>2819.2</v>
      </c>
      <c r="H150" s="228">
        <v>-20.2</v>
      </c>
      <c r="I150" s="229">
        <v>-7.1999999999999998E-3</v>
      </c>
      <c r="J150" s="231">
        <v>2790.2</v>
      </c>
      <c r="K150" s="231">
        <v>2806.6</v>
      </c>
      <c r="L150" s="228">
        <v>-16.399999999999999</v>
      </c>
      <c r="M150" s="229">
        <v>-5.7999999999999996E-3</v>
      </c>
      <c r="N150" s="231">
        <v>2789.8</v>
      </c>
      <c r="O150" s="231">
        <v>2806.3</v>
      </c>
      <c r="P150" s="228">
        <v>-16.5</v>
      </c>
      <c r="Q150" s="229">
        <v>-5.8999999999999999E-3</v>
      </c>
      <c r="R150" s="231">
        <v>2799</v>
      </c>
      <c r="S150" s="231">
        <v>2819.2</v>
      </c>
      <c r="T150" s="228">
        <v>-20.2</v>
      </c>
      <c r="U150" s="229">
        <v>-7.1999999999999998E-3</v>
      </c>
      <c r="V150" s="231">
        <v>2811.5</v>
      </c>
      <c r="W150" s="231">
        <v>2835.8</v>
      </c>
      <c r="X150" s="228">
        <v>-24.3</v>
      </c>
      <c r="Y150" s="229">
        <v>-8.6E-3</v>
      </c>
      <c r="Z150" s="228">
        <v>8.8000000000000007</v>
      </c>
      <c r="AA150" s="228">
        <v>-0.3</v>
      </c>
      <c r="AB150" s="228">
        <v>9.1</v>
      </c>
      <c r="AC150" s="229">
        <v>3.2000000000000002E-3</v>
      </c>
      <c r="AD150" s="228">
        <v>-0.4</v>
      </c>
      <c r="AE150" s="228">
        <v>-0.3</v>
      </c>
      <c r="AF150" s="228">
        <v>-0.1</v>
      </c>
      <c r="AG150" s="229">
        <v>-1E-4</v>
      </c>
      <c r="AH150" s="228">
        <v>8.8000000000000007</v>
      </c>
      <c r="AI150" s="228">
        <v>12.6</v>
      </c>
      <c r="AJ150" s="228">
        <v>-3.8</v>
      </c>
      <c r="AK150" s="229">
        <v>3.2000000000000002E-3</v>
      </c>
      <c r="AL150" s="228">
        <v>21.3</v>
      </c>
      <c r="AM150" s="228">
        <v>29.2</v>
      </c>
      <c r="AN150" s="228">
        <v>-7.9</v>
      </c>
      <c r="AO150" s="229">
        <v>7.6E-3</v>
      </c>
      <c r="AP150" s="231">
        <v>2783.45</v>
      </c>
      <c r="AQ150" s="231">
        <v>2795</v>
      </c>
      <c r="AR150" s="228">
        <v>0</v>
      </c>
      <c r="AS150" s="228">
        <v>731</v>
      </c>
      <c r="AT150" s="228">
        <v>836</v>
      </c>
      <c r="AU150" s="228">
        <v>-105</v>
      </c>
      <c r="AV150" s="229">
        <v>-0.12559999999999999</v>
      </c>
      <c r="AW150" s="228">
        <v>290</v>
      </c>
      <c r="AX150" s="228">
        <v>366</v>
      </c>
      <c r="AY150" s="228">
        <v>-76</v>
      </c>
      <c r="AZ150" s="229">
        <v>-0.20830000000000001</v>
      </c>
      <c r="BA150" s="228">
        <v>440</v>
      </c>
      <c r="BB150" s="228">
        <v>464</v>
      </c>
      <c r="BC150" s="228">
        <v>-24</v>
      </c>
      <c r="BD150" s="229">
        <v>-5.28E-2</v>
      </c>
      <c r="BE150" s="228">
        <v>2</v>
      </c>
      <c r="BF150" s="228">
        <v>7</v>
      </c>
      <c r="BG150" s="228">
        <v>-4</v>
      </c>
      <c r="BH150" s="229">
        <v>-0.66279999999999994</v>
      </c>
      <c r="BI150" s="228">
        <v>480</v>
      </c>
      <c r="BJ150" s="230">
        <v>1379</v>
      </c>
      <c r="BK150" s="228">
        <v>-898</v>
      </c>
      <c r="BL150" s="229">
        <v>-0.65169999999999995</v>
      </c>
      <c r="BM150" s="228">
        <v>283</v>
      </c>
      <c r="BN150" s="228">
        <v>541</v>
      </c>
      <c r="BO150" s="228">
        <v>-258</v>
      </c>
      <c r="BP150" s="229">
        <v>-0.47720000000000001</v>
      </c>
      <c r="BQ150" s="230">
        <v>1494</v>
      </c>
      <c r="BR150" s="230">
        <v>2756</v>
      </c>
      <c r="BS150" s="230">
        <v>-1262</v>
      </c>
      <c r="BT150" s="229">
        <v>-0.45779999999999998</v>
      </c>
      <c r="BU150" s="230">
        <v>545357</v>
      </c>
      <c r="BV150" s="230">
        <v>884812</v>
      </c>
      <c r="BW150" s="230">
        <v>-339455</v>
      </c>
      <c r="BX150" s="229">
        <v>-0.3836</v>
      </c>
      <c r="BY150" s="230">
        <v>1140</v>
      </c>
      <c r="BZ150" s="230">
        <v>1286</v>
      </c>
      <c r="CA150" s="228">
        <v>-147</v>
      </c>
      <c r="CB150" s="229">
        <v>-0.114</v>
      </c>
      <c r="CC150" s="228">
        <v>143</v>
      </c>
      <c r="CD150" s="228">
        <v>293</v>
      </c>
      <c r="CE150" s="228">
        <v>-151</v>
      </c>
      <c r="CF150" s="229">
        <v>-0.51349999999999996</v>
      </c>
      <c r="CG150" s="230">
        <v>1132</v>
      </c>
      <c r="CH150" s="228">
        <v>986</v>
      </c>
      <c r="CI150" s="228">
        <v>146</v>
      </c>
      <c r="CJ150" s="229">
        <v>0.14760000000000001</v>
      </c>
      <c r="CK150" s="228">
        <v>8</v>
      </c>
      <c r="CL150" s="228">
        <v>7</v>
      </c>
      <c r="CM150" s="228">
        <v>1</v>
      </c>
      <c r="CN150" s="229">
        <v>0.14940000000000001</v>
      </c>
      <c r="CO150" s="228">
        <v>103</v>
      </c>
      <c r="CP150" s="228">
        <v>352</v>
      </c>
      <c r="CQ150" s="228">
        <v>-249</v>
      </c>
      <c r="CR150" s="229">
        <v>-0.70709999999999995</v>
      </c>
      <c r="CS150" s="228">
        <v>70</v>
      </c>
      <c r="CT150" s="228">
        <v>297</v>
      </c>
      <c r="CU150" s="228">
        <v>-227</v>
      </c>
      <c r="CV150" s="229">
        <v>-0.76349999999999996</v>
      </c>
      <c r="CW150" s="230">
        <v>1313</v>
      </c>
      <c r="CX150" s="230">
        <v>1935</v>
      </c>
      <c r="CY150" s="228">
        <v>-622</v>
      </c>
      <c r="CZ150" s="229">
        <v>-0.3216</v>
      </c>
      <c r="DA150" s="228">
        <v>29.52</v>
      </c>
      <c r="DB150" s="228">
        <v>29.07</v>
      </c>
      <c r="DC150" s="228">
        <v>0.45</v>
      </c>
      <c r="DD150" s="228">
        <v>0.45</v>
      </c>
      <c r="DE150" s="228">
        <v>38.700000000000003</v>
      </c>
      <c r="DF150" s="228">
        <v>38.79</v>
      </c>
      <c r="DG150" s="228">
        <v>-9.18</v>
      </c>
      <c r="DH150" s="228">
        <v>-0.09</v>
      </c>
      <c r="DI150" s="228">
        <v>29.55</v>
      </c>
      <c r="DJ150" s="228">
        <v>29.05</v>
      </c>
      <c r="DK150" s="228">
        <v>0.5</v>
      </c>
      <c r="DL150" s="228">
        <v>0.5</v>
      </c>
      <c r="DM150" s="228">
        <v>29.48</v>
      </c>
      <c r="DN150" s="228">
        <v>29.12</v>
      </c>
      <c r="DO150" s="228">
        <v>0.36</v>
      </c>
      <c r="DP150" s="228">
        <v>0.36</v>
      </c>
      <c r="DQ150" s="228">
        <v>0.68</v>
      </c>
      <c r="DR150" s="228">
        <v>0.84</v>
      </c>
      <c r="DS150" s="228">
        <v>-0.16</v>
      </c>
      <c r="DT150" s="229">
        <v>-0.1905</v>
      </c>
      <c r="DU150" s="231">
        <v>2800</v>
      </c>
      <c r="DV150" s="231">
        <v>2700</v>
      </c>
      <c r="DW150" s="228">
        <v>0.59</v>
      </c>
      <c r="DX150" s="228">
        <v>0.39</v>
      </c>
      <c r="DY150" s="228">
        <v>0.2</v>
      </c>
      <c r="DZ150" s="229">
        <v>0.51280000000000003</v>
      </c>
      <c r="EA150" s="229">
        <v>0.88880000000000003</v>
      </c>
      <c r="EB150" s="230">
        <v>3547775</v>
      </c>
      <c r="EC150" s="229">
        <v>3.3E-3</v>
      </c>
      <c r="ED150" s="229">
        <v>0.88880000000000003</v>
      </c>
      <c r="EE150" s="228">
        <v>11.55</v>
      </c>
      <c r="EF150" s="229">
        <v>4.1000000000000003E-3</v>
      </c>
      <c r="EG150" s="230">
        <v>265065</v>
      </c>
      <c r="EH150" s="230">
        <v>481216</v>
      </c>
      <c r="EI150" s="229">
        <v>-0.44919999999999999</v>
      </c>
      <c r="EJ150" s="229">
        <v>0.48599999999999999</v>
      </c>
      <c r="EK150" s="228">
        <v>495.54</v>
      </c>
      <c r="EL150" s="228">
        <v>279.3</v>
      </c>
      <c r="EM150" s="228">
        <v>729.16</v>
      </c>
      <c r="EN150" s="228">
        <v>0</v>
      </c>
      <c r="EO150" s="231">
        <v>1504</v>
      </c>
      <c r="EP150" s="231">
        <v>2794.64</v>
      </c>
      <c r="EQ150" s="231">
        <v>-1290.6400000000001</v>
      </c>
      <c r="ER150" s="229">
        <v>-0.46179999999999999</v>
      </c>
      <c r="ES150" s="228">
        <v>106.3</v>
      </c>
      <c r="ET150" s="228">
        <v>67.489999999999995</v>
      </c>
      <c r="EU150" s="231">
        <v>1139.6099999999999</v>
      </c>
      <c r="EV150" s="231">
        <v>22754935</v>
      </c>
      <c r="EW150" s="231">
        <v>1313.41</v>
      </c>
      <c r="EX150" s="231">
        <v>1936.61</v>
      </c>
      <c r="EY150" s="228">
        <v>-623.20000000000005</v>
      </c>
      <c r="EZ150" s="229">
        <v>-0.32179999999999997</v>
      </c>
      <c r="FA150" s="229">
        <v>0.20619999999999999</v>
      </c>
      <c r="FB150" s="227" t="s">
        <v>568</v>
      </c>
      <c r="FC150">
        <f t="shared" si="3"/>
        <v>0</v>
      </c>
    </row>
    <row r="151" spans="1:159" ht="17.25" thickBot="1" x14ac:dyDescent="0.3">
      <c r="A151" s="226">
        <v>45869</v>
      </c>
      <c r="B151" s="227" t="s">
        <v>175</v>
      </c>
      <c r="C151" s="227" t="s">
        <v>262</v>
      </c>
      <c r="D151" s="228">
        <v>275</v>
      </c>
      <c r="E151" s="228">
        <v>0</v>
      </c>
      <c r="F151" s="231">
        <v>2620</v>
      </c>
      <c r="G151" s="231">
        <v>2633.1</v>
      </c>
      <c r="H151" s="228">
        <v>-13.1</v>
      </c>
      <c r="I151" s="229">
        <v>-5.0000000000000001E-3</v>
      </c>
      <c r="J151" s="231">
        <v>2612.3000000000002</v>
      </c>
      <c r="K151" s="231">
        <v>2633.2</v>
      </c>
      <c r="L151" s="228">
        <v>-20.9</v>
      </c>
      <c r="M151" s="229">
        <v>-7.9000000000000008E-3</v>
      </c>
      <c r="N151" s="231">
        <v>2605.1999999999998</v>
      </c>
      <c r="O151" s="231">
        <v>2620.6999999999998</v>
      </c>
      <c r="P151" s="228">
        <v>-15.5</v>
      </c>
      <c r="Q151" s="229">
        <v>-5.8999999999999999E-3</v>
      </c>
      <c r="R151" s="231">
        <v>2620</v>
      </c>
      <c r="S151" s="231">
        <v>2633.1</v>
      </c>
      <c r="T151" s="228">
        <v>-13.1</v>
      </c>
      <c r="U151" s="229">
        <v>-5.0000000000000001E-3</v>
      </c>
      <c r="V151" s="231">
        <v>2625.8</v>
      </c>
      <c r="W151" s="231">
        <v>2641.4</v>
      </c>
      <c r="X151" s="228">
        <v>-15.6</v>
      </c>
      <c r="Y151" s="229">
        <v>-5.8999999999999999E-3</v>
      </c>
      <c r="Z151" s="228">
        <v>7.7</v>
      </c>
      <c r="AA151" s="228">
        <v>-12.5</v>
      </c>
      <c r="AB151" s="228">
        <v>20.2</v>
      </c>
      <c r="AC151" s="229">
        <v>2.8999999999999998E-3</v>
      </c>
      <c r="AD151" s="228">
        <v>-7.1</v>
      </c>
      <c r="AE151" s="228">
        <v>-12.5</v>
      </c>
      <c r="AF151" s="228">
        <v>5.4</v>
      </c>
      <c r="AG151" s="229">
        <v>-2.7000000000000001E-3</v>
      </c>
      <c r="AH151" s="228">
        <v>7.7</v>
      </c>
      <c r="AI151" s="228">
        <v>-0.1</v>
      </c>
      <c r="AJ151" s="228">
        <v>7.8</v>
      </c>
      <c r="AK151" s="229">
        <v>2.8999999999999998E-3</v>
      </c>
      <c r="AL151" s="228">
        <v>13.5</v>
      </c>
      <c r="AM151" s="228">
        <v>8.1999999999999993</v>
      </c>
      <c r="AN151" s="228">
        <v>5.3</v>
      </c>
      <c r="AO151" s="229">
        <v>5.1999999999999998E-3</v>
      </c>
      <c r="AP151" s="231">
        <v>2610.92</v>
      </c>
      <c r="AQ151" s="231">
        <v>2626.18</v>
      </c>
      <c r="AR151" s="228">
        <v>0</v>
      </c>
      <c r="AS151" s="228">
        <v>810</v>
      </c>
      <c r="AT151" s="228">
        <v>659</v>
      </c>
      <c r="AU151" s="228">
        <v>151</v>
      </c>
      <c r="AV151" s="229">
        <v>0.2286</v>
      </c>
      <c r="AW151" s="228">
        <v>364</v>
      </c>
      <c r="AX151" s="228">
        <v>313</v>
      </c>
      <c r="AY151" s="228">
        <v>51</v>
      </c>
      <c r="AZ151" s="229">
        <v>0.1623</v>
      </c>
      <c r="BA151" s="228">
        <v>445</v>
      </c>
      <c r="BB151" s="228">
        <v>345</v>
      </c>
      <c r="BC151" s="228">
        <v>99</v>
      </c>
      <c r="BD151" s="229">
        <v>0.28760000000000002</v>
      </c>
      <c r="BE151" s="228">
        <v>1</v>
      </c>
      <c r="BF151" s="228">
        <v>1</v>
      </c>
      <c r="BG151" s="228">
        <v>1</v>
      </c>
      <c r="BH151" s="229">
        <v>0.72729999999999995</v>
      </c>
      <c r="BI151" s="228">
        <v>574</v>
      </c>
      <c r="BJ151" s="228">
        <v>430</v>
      </c>
      <c r="BK151" s="228">
        <v>143</v>
      </c>
      <c r="BL151" s="229">
        <v>0.33329999999999999</v>
      </c>
      <c r="BM151" s="228">
        <v>248</v>
      </c>
      <c r="BN151" s="228">
        <v>230</v>
      </c>
      <c r="BO151" s="228">
        <v>18</v>
      </c>
      <c r="BP151" s="229">
        <v>7.8700000000000006E-2</v>
      </c>
      <c r="BQ151" s="230">
        <v>1631</v>
      </c>
      <c r="BR151" s="230">
        <v>1319</v>
      </c>
      <c r="BS151" s="228">
        <v>312</v>
      </c>
      <c r="BT151" s="229">
        <v>0.2366</v>
      </c>
      <c r="BU151" s="230">
        <v>628583</v>
      </c>
      <c r="BV151" s="230">
        <v>695264</v>
      </c>
      <c r="BW151" s="230">
        <v>-66681</v>
      </c>
      <c r="BX151" s="229">
        <v>-9.5899999999999999E-2</v>
      </c>
      <c r="BY151" s="228">
        <v>820</v>
      </c>
      <c r="BZ151" s="230">
        <v>1412</v>
      </c>
      <c r="CA151" s="228">
        <v>-592</v>
      </c>
      <c r="CB151" s="229">
        <v>-0.41909999999999997</v>
      </c>
      <c r="CC151" s="228">
        <v>513</v>
      </c>
      <c r="CD151" s="228">
        <v>603</v>
      </c>
      <c r="CE151" s="228">
        <v>-90</v>
      </c>
      <c r="CF151" s="229">
        <v>-0.14979999999999999</v>
      </c>
      <c r="CG151" s="228">
        <v>815</v>
      </c>
      <c r="CH151" s="228">
        <v>804</v>
      </c>
      <c r="CI151" s="228">
        <v>11</v>
      </c>
      <c r="CJ151" s="229">
        <v>1.37E-2</v>
      </c>
      <c r="CK151" s="228">
        <v>6</v>
      </c>
      <c r="CL151" s="228">
        <v>5</v>
      </c>
      <c r="CM151" s="228">
        <v>0</v>
      </c>
      <c r="CN151" s="229">
        <v>5.4800000000000001E-2</v>
      </c>
      <c r="CO151" s="228">
        <v>374</v>
      </c>
      <c r="CP151" s="228">
        <v>607</v>
      </c>
      <c r="CQ151" s="228">
        <v>-234</v>
      </c>
      <c r="CR151" s="229">
        <v>-0.38490000000000002</v>
      </c>
      <c r="CS151" s="228">
        <v>96</v>
      </c>
      <c r="CT151" s="228">
        <v>303</v>
      </c>
      <c r="CU151" s="228">
        <v>-207</v>
      </c>
      <c r="CV151" s="229">
        <v>-0.6835</v>
      </c>
      <c r="CW151" s="230">
        <v>1290</v>
      </c>
      <c r="CX151" s="230">
        <v>2323</v>
      </c>
      <c r="CY151" s="230">
        <v>-1033</v>
      </c>
      <c r="CZ151" s="229">
        <v>-0.4446</v>
      </c>
      <c r="DA151" s="228">
        <v>32.33</v>
      </c>
      <c r="DB151" s="228">
        <v>31.02</v>
      </c>
      <c r="DC151" s="228">
        <v>1.31</v>
      </c>
      <c r="DD151" s="228">
        <v>1.31</v>
      </c>
      <c r="DE151" s="228">
        <v>36.090000000000003</v>
      </c>
      <c r="DF151" s="228">
        <v>36.17</v>
      </c>
      <c r="DG151" s="228">
        <v>-3.76</v>
      </c>
      <c r="DH151" s="228">
        <v>-0.08</v>
      </c>
      <c r="DI151" s="228">
        <v>32.19</v>
      </c>
      <c r="DJ151" s="228">
        <v>30.42</v>
      </c>
      <c r="DK151" s="228">
        <v>1.77</v>
      </c>
      <c r="DL151" s="228">
        <v>1.77</v>
      </c>
      <c r="DM151" s="228">
        <v>32.840000000000003</v>
      </c>
      <c r="DN151" s="228">
        <v>32.44</v>
      </c>
      <c r="DO151" s="228">
        <v>0.4</v>
      </c>
      <c r="DP151" s="228">
        <v>0.4</v>
      </c>
      <c r="DQ151" s="228">
        <v>0.26</v>
      </c>
      <c r="DR151" s="228">
        <v>0.5</v>
      </c>
      <c r="DS151" s="228">
        <v>-0.24</v>
      </c>
      <c r="DT151" s="229">
        <v>-0.48</v>
      </c>
      <c r="DU151" s="231">
        <v>2600</v>
      </c>
      <c r="DV151" s="231">
        <v>2500</v>
      </c>
      <c r="DW151" s="228">
        <v>0.43</v>
      </c>
      <c r="DX151" s="228">
        <v>0.53</v>
      </c>
      <c r="DY151" s="228">
        <v>-0.1</v>
      </c>
      <c r="DZ151" s="229">
        <v>-0.18870000000000001</v>
      </c>
      <c r="EA151" s="229">
        <v>0.61539999999999995</v>
      </c>
      <c r="EB151" s="230">
        <v>3087975</v>
      </c>
      <c r="EC151" s="229">
        <v>5.7000000000000002E-3</v>
      </c>
      <c r="ED151" s="229">
        <v>0.61539999999999995</v>
      </c>
      <c r="EE151" s="228">
        <v>15.26</v>
      </c>
      <c r="EF151" s="229">
        <v>5.7999999999999996E-3</v>
      </c>
      <c r="EG151" s="230">
        <v>439002</v>
      </c>
      <c r="EH151" s="230">
        <v>486540</v>
      </c>
      <c r="EI151" s="229">
        <v>-9.7699999999999995E-2</v>
      </c>
      <c r="EJ151" s="229">
        <v>0.69840000000000002</v>
      </c>
      <c r="EK151" s="228">
        <v>596.14</v>
      </c>
      <c r="EL151" s="228">
        <v>243.17</v>
      </c>
      <c r="EM151" s="228">
        <v>809.56</v>
      </c>
      <c r="EN151" s="228">
        <v>0</v>
      </c>
      <c r="EO151" s="231">
        <v>1648.87</v>
      </c>
      <c r="EP151" s="231">
        <v>1330.63</v>
      </c>
      <c r="EQ151" s="228">
        <v>318.25</v>
      </c>
      <c r="ER151" s="229">
        <v>0.2392</v>
      </c>
      <c r="ES151" s="228">
        <v>380.17</v>
      </c>
      <c r="ET151" s="228">
        <v>92.54</v>
      </c>
      <c r="EU151" s="228">
        <v>820.37</v>
      </c>
      <c r="EV151" s="231">
        <v>21400003</v>
      </c>
      <c r="EW151" s="231">
        <v>1293.08</v>
      </c>
      <c r="EX151" s="231">
        <v>2327.64</v>
      </c>
      <c r="EY151" s="231">
        <v>-1034.56</v>
      </c>
      <c r="EZ151" s="229">
        <v>-0.44450000000000001</v>
      </c>
      <c r="FA151" s="229">
        <v>0.2301</v>
      </c>
      <c r="FB151" s="227" t="s">
        <v>568</v>
      </c>
      <c r="FC151">
        <f t="shared" si="3"/>
        <v>0</v>
      </c>
    </row>
    <row r="152" spans="1:159" ht="17.25" thickBot="1" x14ac:dyDescent="0.3">
      <c r="A152" s="226">
        <v>45869</v>
      </c>
      <c r="B152" s="227" t="s">
        <v>227</v>
      </c>
      <c r="C152" s="227" t="s">
        <v>263</v>
      </c>
      <c r="D152" s="228">
        <v>3750</v>
      </c>
      <c r="E152" s="228">
        <v>0</v>
      </c>
      <c r="F152" s="228">
        <v>185.9</v>
      </c>
      <c r="G152" s="228">
        <v>187.86</v>
      </c>
      <c r="H152" s="228">
        <v>-1.96</v>
      </c>
      <c r="I152" s="229">
        <v>-1.04E-2</v>
      </c>
      <c r="J152" s="228">
        <v>185.06</v>
      </c>
      <c r="K152" s="228">
        <v>187.13</v>
      </c>
      <c r="L152" s="228">
        <v>-2.0699999999999998</v>
      </c>
      <c r="M152" s="229">
        <v>-1.11E-2</v>
      </c>
      <c r="N152" s="228">
        <v>185</v>
      </c>
      <c r="O152" s="228">
        <v>186.94</v>
      </c>
      <c r="P152" s="228">
        <v>-1.94</v>
      </c>
      <c r="Q152" s="229">
        <v>-1.04E-2</v>
      </c>
      <c r="R152" s="228">
        <v>185.9</v>
      </c>
      <c r="S152" s="228">
        <v>187.86</v>
      </c>
      <c r="T152" s="228">
        <v>-1.96</v>
      </c>
      <c r="U152" s="229">
        <v>-1.04E-2</v>
      </c>
      <c r="V152" s="228">
        <v>185.5</v>
      </c>
      <c r="W152" s="228">
        <v>188.1</v>
      </c>
      <c r="X152" s="228">
        <v>-2.6</v>
      </c>
      <c r="Y152" s="229">
        <v>-1.38E-2</v>
      </c>
      <c r="Z152" s="228">
        <v>0.84</v>
      </c>
      <c r="AA152" s="228">
        <v>-0.19</v>
      </c>
      <c r="AB152" s="228">
        <v>1.03</v>
      </c>
      <c r="AC152" s="229">
        <v>4.4999999999999997E-3</v>
      </c>
      <c r="AD152" s="228">
        <v>-0.06</v>
      </c>
      <c r="AE152" s="228">
        <v>-0.19</v>
      </c>
      <c r="AF152" s="228">
        <v>0.13</v>
      </c>
      <c r="AG152" s="229">
        <v>-2.9999999999999997E-4</v>
      </c>
      <c r="AH152" s="228">
        <v>0.84</v>
      </c>
      <c r="AI152" s="228">
        <v>0.73</v>
      </c>
      <c r="AJ152" s="228">
        <v>0.11</v>
      </c>
      <c r="AK152" s="229">
        <v>4.4999999999999997E-3</v>
      </c>
      <c r="AL152" s="228">
        <v>0.44</v>
      </c>
      <c r="AM152" s="228">
        <v>0.97</v>
      </c>
      <c r="AN152" s="228">
        <v>-0.53</v>
      </c>
      <c r="AO152" s="229">
        <v>2.3999999999999998E-3</v>
      </c>
      <c r="AP152" s="228">
        <v>185.53</v>
      </c>
      <c r="AQ152" s="228">
        <v>186.37</v>
      </c>
      <c r="AR152" s="228">
        <v>0</v>
      </c>
      <c r="AS152" s="228">
        <v>848</v>
      </c>
      <c r="AT152" s="228">
        <v>845</v>
      </c>
      <c r="AU152" s="228">
        <v>4</v>
      </c>
      <c r="AV152" s="229">
        <v>4.4000000000000003E-3</v>
      </c>
      <c r="AW152" s="228">
        <v>368</v>
      </c>
      <c r="AX152" s="228">
        <v>389</v>
      </c>
      <c r="AY152" s="228">
        <v>-21</v>
      </c>
      <c r="AZ152" s="229">
        <v>-5.4399999999999997E-2</v>
      </c>
      <c r="BA152" s="228">
        <v>467</v>
      </c>
      <c r="BB152" s="228">
        <v>446</v>
      </c>
      <c r="BC152" s="228">
        <v>20</v>
      </c>
      <c r="BD152" s="229">
        <v>4.5600000000000002E-2</v>
      </c>
      <c r="BE152" s="228">
        <v>13</v>
      </c>
      <c r="BF152" s="228">
        <v>9</v>
      </c>
      <c r="BG152" s="228">
        <v>5</v>
      </c>
      <c r="BH152" s="229">
        <v>0.51180000000000003</v>
      </c>
      <c r="BI152" s="228">
        <v>523</v>
      </c>
      <c r="BJ152" s="228">
        <v>343</v>
      </c>
      <c r="BK152" s="228">
        <v>180</v>
      </c>
      <c r="BL152" s="229">
        <v>0.5242</v>
      </c>
      <c r="BM152" s="228">
        <v>425</v>
      </c>
      <c r="BN152" s="228">
        <v>197</v>
      </c>
      <c r="BO152" s="228">
        <v>228</v>
      </c>
      <c r="BP152" s="229">
        <v>1.1613</v>
      </c>
      <c r="BQ152" s="230">
        <v>1796</v>
      </c>
      <c r="BR152" s="230">
        <v>1384</v>
      </c>
      <c r="BS152" s="228">
        <v>412</v>
      </c>
      <c r="BT152" s="229">
        <v>0.29749999999999999</v>
      </c>
      <c r="BU152" s="230">
        <v>6377080</v>
      </c>
      <c r="BV152" s="230">
        <v>4040118</v>
      </c>
      <c r="BW152" s="230">
        <v>2336962</v>
      </c>
      <c r="BX152" s="229">
        <v>0.57840000000000003</v>
      </c>
      <c r="BY152" s="230">
        <v>1183</v>
      </c>
      <c r="BZ152" s="230">
        <v>1228</v>
      </c>
      <c r="CA152" s="228">
        <v>-45</v>
      </c>
      <c r="CB152" s="229">
        <v>-3.6600000000000001E-2</v>
      </c>
      <c r="CC152" s="228">
        <v>65</v>
      </c>
      <c r="CD152" s="228">
        <v>281</v>
      </c>
      <c r="CE152" s="228">
        <v>-216</v>
      </c>
      <c r="CF152" s="229">
        <v>-0.76900000000000002</v>
      </c>
      <c r="CG152" s="230">
        <v>1152</v>
      </c>
      <c r="CH152" s="228">
        <v>921</v>
      </c>
      <c r="CI152" s="228">
        <v>230</v>
      </c>
      <c r="CJ152" s="229">
        <v>0.25</v>
      </c>
      <c r="CK152" s="228">
        <v>31</v>
      </c>
      <c r="CL152" s="228">
        <v>25</v>
      </c>
      <c r="CM152" s="228">
        <v>6</v>
      </c>
      <c r="CN152" s="229">
        <v>0.23630000000000001</v>
      </c>
      <c r="CO152" s="228">
        <v>261</v>
      </c>
      <c r="CP152" s="228">
        <v>449</v>
      </c>
      <c r="CQ152" s="228">
        <v>-188</v>
      </c>
      <c r="CR152" s="229">
        <v>-0.41830000000000001</v>
      </c>
      <c r="CS152" s="228">
        <v>244</v>
      </c>
      <c r="CT152" s="228">
        <v>322</v>
      </c>
      <c r="CU152" s="228">
        <v>-78</v>
      </c>
      <c r="CV152" s="229">
        <v>-0.2427</v>
      </c>
      <c r="CW152" s="230">
        <v>1688</v>
      </c>
      <c r="CX152" s="230">
        <v>1998</v>
      </c>
      <c r="CY152" s="228">
        <v>-311</v>
      </c>
      <c r="CZ152" s="229">
        <v>-0.1555</v>
      </c>
      <c r="DA152" s="228">
        <v>33.03</v>
      </c>
      <c r="DB152" s="228">
        <v>32.25</v>
      </c>
      <c r="DC152" s="228">
        <v>0.78</v>
      </c>
      <c r="DD152" s="228">
        <v>0.78</v>
      </c>
      <c r="DE152" s="228">
        <v>50.81</v>
      </c>
      <c r="DF152" s="228">
        <v>50.92</v>
      </c>
      <c r="DG152" s="228">
        <v>-17.78</v>
      </c>
      <c r="DH152" s="228">
        <v>-0.11</v>
      </c>
      <c r="DI152" s="228">
        <v>33.57</v>
      </c>
      <c r="DJ152" s="228">
        <v>32.590000000000003</v>
      </c>
      <c r="DK152" s="228">
        <v>0.98</v>
      </c>
      <c r="DL152" s="228">
        <v>0.98</v>
      </c>
      <c r="DM152" s="228">
        <v>32.299999999999997</v>
      </c>
      <c r="DN152" s="228">
        <v>31.84</v>
      </c>
      <c r="DO152" s="228">
        <v>0.46</v>
      </c>
      <c r="DP152" s="228">
        <v>0.46</v>
      </c>
      <c r="DQ152" s="228">
        <v>0.93</v>
      </c>
      <c r="DR152" s="228">
        <v>0.72</v>
      </c>
      <c r="DS152" s="228">
        <v>0.21</v>
      </c>
      <c r="DT152" s="229">
        <v>0.29170000000000001</v>
      </c>
      <c r="DU152" s="228">
        <v>200</v>
      </c>
      <c r="DV152" s="228">
        <v>180</v>
      </c>
      <c r="DW152" s="228">
        <v>0.81</v>
      </c>
      <c r="DX152" s="228">
        <v>0.56999999999999995</v>
      </c>
      <c r="DY152" s="228">
        <v>0.24</v>
      </c>
      <c r="DZ152" s="229">
        <v>0.42109999999999997</v>
      </c>
      <c r="EA152" s="229">
        <v>0.94789999999999996</v>
      </c>
      <c r="EB152" s="230">
        <v>50928750</v>
      </c>
      <c r="EC152" s="229">
        <v>4.8999999999999998E-3</v>
      </c>
      <c r="ED152" s="229">
        <v>0.94789999999999996</v>
      </c>
      <c r="EE152" s="228">
        <v>0.84</v>
      </c>
      <c r="EF152" s="229">
        <v>4.4999999999999997E-3</v>
      </c>
      <c r="EG152" s="230">
        <v>3089590</v>
      </c>
      <c r="EH152" s="230">
        <v>1619522</v>
      </c>
      <c r="EI152" s="229">
        <v>0.90769999999999995</v>
      </c>
      <c r="EJ152" s="229">
        <v>0.48449999999999999</v>
      </c>
      <c r="EK152" s="228">
        <v>556.47</v>
      </c>
      <c r="EL152" s="228">
        <v>437.65</v>
      </c>
      <c r="EM152" s="228">
        <v>848.82</v>
      </c>
      <c r="EN152" s="228">
        <v>0</v>
      </c>
      <c r="EO152" s="231">
        <v>1842.94</v>
      </c>
      <c r="EP152" s="231">
        <v>1417.88</v>
      </c>
      <c r="EQ152" s="228">
        <v>425.06</v>
      </c>
      <c r="ER152" s="229">
        <v>0.29980000000000001</v>
      </c>
      <c r="ES152" s="228">
        <v>278.52</v>
      </c>
      <c r="ET152" s="228">
        <v>245.11</v>
      </c>
      <c r="EU152" s="231">
        <v>1183.02</v>
      </c>
      <c r="EV152" s="231">
        <v>178967755</v>
      </c>
      <c r="EW152" s="231">
        <v>1706.65</v>
      </c>
      <c r="EX152" s="231">
        <v>2045.24</v>
      </c>
      <c r="EY152" s="228">
        <v>-338.59</v>
      </c>
      <c r="EZ152" s="229">
        <v>-0.1656</v>
      </c>
      <c r="FA152" s="229">
        <v>0.50719999999999998</v>
      </c>
      <c r="FB152" s="227" t="s">
        <v>568</v>
      </c>
      <c r="FC152">
        <f t="shared" si="3"/>
        <v>0</v>
      </c>
    </row>
    <row r="153" spans="1:159" ht="17.25" thickBot="1" x14ac:dyDescent="0.3">
      <c r="A153" s="226">
        <v>45869</v>
      </c>
      <c r="B153" s="227" t="s">
        <v>616</v>
      </c>
      <c r="C153" s="227" t="s">
        <v>264</v>
      </c>
      <c r="D153" s="228">
        <v>375</v>
      </c>
      <c r="E153" s="228">
        <v>0</v>
      </c>
      <c r="F153" s="231">
        <v>1399.1</v>
      </c>
      <c r="G153" s="231">
        <v>1402.2</v>
      </c>
      <c r="H153" s="228">
        <v>-3.1</v>
      </c>
      <c r="I153" s="229">
        <v>-2.2000000000000001E-3</v>
      </c>
      <c r="J153" s="231">
        <v>1392.3</v>
      </c>
      <c r="K153" s="231">
        <v>1395.6</v>
      </c>
      <c r="L153" s="228">
        <v>-3.3</v>
      </c>
      <c r="M153" s="229">
        <v>-2.3999999999999998E-3</v>
      </c>
      <c r="N153" s="231">
        <v>1394.6</v>
      </c>
      <c r="O153" s="231">
        <v>1397</v>
      </c>
      <c r="P153" s="228">
        <v>-2.4</v>
      </c>
      <c r="Q153" s="229">
        <v>-1.6999999999999999E-3</v>
      </c>
      <c r="R153" s="231">
        <v>1399.1</v>
      </c>
      <c r="S153" s="231">
        <v>1402.2</v>
      </c>
      <c r="T153" s="228">
        <v>-3.1</v>
      </c>
      <c r="U153" s="229">
        <v>-2.2000000000000001E-3</v>
      </c>
      <c r="V153" s="231">
        <v>1405.6</v>
      </c>
      <c r="W153" s="231">
        <v>1408.7</v>
      </c>
      <c r="X153" s="228">
        <v>-3.1</v>
      </c>
      <c r="Y153" s="229">
        <v>-2.2000000000000001E-3</v>
      </c>
      <c r="Z153" s="228">
        <v>6.8</v>
      </c>
      <c r="AA153" s="228">
        <v>1.4</v>
      </c>
      <c r="AB153" s="228">
        <v>5.4</v>
      </c>
      <c r="AC153" s="229">
        <v>4.8999999999999998E-3</v>
      </c>
      <c r="AD153" s="228">
        <v>2.2999999999999998</v>
      </c>
      <c r="AE153" s="228">
        <v>1.4</v>
      </c>
      <c r="AF153" s="228">
        <v>0.9</v>
      </c>
      <c r="AG153" s="229">
        <v>1.6999999999999999E-3</v>
      </c>
      <c r="AH153" s="228">
        <v>6.8</v>
      </c>
      <c r="AI153" s="228">
        <v>6.6</v>
      </c>
      <c r="AJ153" s="228">
        <v>0.2</v>
      </c>
      <c r="AK153" s="229">
        <v>4.8999999999999998E-3</v>
      </c>
      <c r="AL153" s="228">
        <v>13.3</v>
      </c>
      <c r="AM153" s="228">
        <v>13.1</v>
      </c>
      <c r="AN153" s="228">
        <v>0.2</v>
      </c>
      <c r="AO153" s="229">
        <v>9.5999999999999992E-3</v>
      </c>
      <c r="AP153" s="231">
        <v>1387.78</v>
      </c>
      <c r="AQ153" s="231">
        <v>1394.14</v>
      </c>
      <c r="AR153" s="228">
        <v>0</v>
      </c>
      <c r="AS153" s="228">
        <v>429</v>
      </c>
      <c r="AT153" s="230">
        <v>1059</v>
      </c>
      <c r="AU153" s="228">
        <v>-630</v>
      </c>
      <c r="AV153" s="229">
        <v>-0.5948</v>
      </c>
      <c r="AW153" s="228">
        <v>165</v>
      </c>
      <c r="AX153" s="228">
        <v>473</v>
      </c>
      <c r="AY153" s="228">
        <v>-309</v>
      </c>
      <c r="AZ153" s="229">
        <v>-0.6522</v>
      </c>
      <c r="BA153" s="228">
        <v>259</v>
      </c>
      <c r="BB153" s="228">
        <v>580</v>
      </c>
      <c r="BC153" s="228">
        <v>-321</v>
      </c>
      <c r="BD153" s="229">
        <v>-0.55369999999999997</v>
      </c>
      <c r="BE153" s="228">
        <v>6</v>
      </c>
      <c r="BF153" s="228">
        <v>6</v>
      </c>
      <c r="BG153" s="228">
        <v>0</v>
      </c>
      <c r="BH153" s="229">
        <v>-5.9799999999999999E-2</v>
      </c>
      <c r="BI153" s="228">
        <v>136</v>
      </c>
      <c r="BJ153" s="228">
        <v>542</v>
      </c>
      <c r="BK153" s="228">
        <v>-406</v>
      </c>
      <c r="BL153" s="229">
        <v>-0.74980000000000002</v>
      </c>
      <c r="BM153" s="228">
        <v>82</v>
      </c>
      <c r="BN153" s="228">
        <v>364</v>
      </c>
      <c r="BO153" s="228">
        <v>-282</v>
      </c>
      <c r="BP153" s="229">
        <v>-0.77390000000000003</v>
      </c>
      <c r="BQ153" s="228">
        <v>647</v>
      </c>
      <c r="BR153" s="230">
        <v>1965</v>
      </c>
      <c r="BS153" s="230">
        <v>-1318</v>
      </c>
      <c r="BT153" s="229">
        <v>-0.67069999999999996</v>
      </c>
      <c r="BU153" s="230">
        <v>1105967</v>
      </c>
      <c r="BV153" s="230">
        <v>2213084</v>
      </c>
      <c r="BW153" s="230">
        <v>-1107117</v>
      </c>
      <c r="BX153" s="229">
        <v>-0.50029999999999997</v>
      </c>
      <c r="BY153" s="230">
        <v>1540</v>
      </c>
      <c r="BZ153" s="230">
        <v>1727</v>
      </c>
      <c r="CA153" s="228">
        <v>-187</v>
      </c>
      <c r="CB153" s="229">
        <v>-0.1084</v>
      </c>
      <c r="CC153" s="228">
        <v>111</v>
      </c>
      <c r="CD153" s="228">
        <v>227</v>
      </c>
      <c r="CE153" s="228">
        <v>-116</v>
      </c>
      <c r="CF153" s="229">
        <v>-0.51239999999999997</v>
      </c>
      <c r="CG153" s="230">
        <v>1533</v>
      </c>
      <c r="CH153" s="230">
        <v>1495</v>
      </c>
      <c r="CI153" s="228">
        <v>38</v>
      </c>
      <c r="CJ153" s="229">
        <v>2.52E-2</v>
      </c>
      <c r="CK153" s="228">
        <v>7</v>
      </c>
      <c r="CL153" s="228">
        <v>4</v>
      </c>
      <c r="CM153" s="228">
        <v>2</v>
      </c>
      <c r="CN153" s="229">
        <v>0.61040000000000005</v>
      </c>
      <c r="CO153" s="228">
        <v>62</v>
      </c>
      <c r="CP153" s="228">
        <v>254</v>
      </c>
      <c r="CQ153" s="228">
        <v>-192</v>
      </c>
      <c r="CR153" s="229">
        <v>-0.75600000000000001</v>
      </c>
      <c r="CS153" s="228">
        <v>63</v>
      </c>
      <c r="CT153" s="228">
        <v>168</v>
      </c>
      <c r="CU153" s="228">
        <v>-105</v>
      </c>
      <c r="CV153" s="229">
        <v>-0.62609999999999999</v>
      </c>
      <c r="CW153" s="230">
        <v>1664</v>
      </c>
      <c r="CX153" s="230">
        <v>2149</v>
      </c>
      <c r="CY153" s="228">
        <v>-484</v>
      </c>
      <c r="CZ153" s="229">
        <v>-0.22550000000000001</v>
      </c>
      <c r="DA153" s="228">
        <v>34.21</v>
      </c>
      <c r="DB153" s="228">
        <v>34.68</v>
      </c>
      <c r="DC153" s="228">
        <v>-0.47</v>
      </c>
      <c r="DD153" s="228">
        <v>-0.47</v>
      </c>
      <c r="DE153" s="228">
        <v>40.24</v>
      </c>
      <c r="DF153" s="228">
        <v>40.340000000000003</v>
      </c>
      <c r="DG153" s="228">
        <v>-6.03</v>
      </c>
      <c r="DH153" s="228">
        <v>-0.1</v>
      </c>
      <c r="DI153" s="228">
        <v>34.1</v>
      </c>
      <c r="DJ153" s="228">
        <v>34.85</v>
      </c>
      <c r="DK153" s="228">
        <v>-0.75</v>
      </c>
      <c r="DL153" s="228">
        <v>-0.75</v>
      </c>
      <c r="DM153" s="228">
        <v>34.36</v>
      </c>
      <c r="DN153" s="228">
        <v>34.42</v>
      </c>
      <c r="DO153" s="228">
        <v>-0.06</v>
      </c>
      <c r="DP153" s="228">
        <v>-0.06</v>
      </c>
      <c r="DQ153" s="228">
        <v>1.01</v>
      </c>
      <c r="DR153" s="228">
        <v>0.66</v>
      </c>
      <c r="DS153" s="228">
        <v>0.35</v>
      </c>
      <c r="DT153" s="229">
        <v>0.53029999999999999</v>
      </c>
      <c r="DU153" s="231">
        <v>1500</v>
      </c>
      <c r="DV153" s="231">
        <v>1500</v>
      </c>
      <c r="DW153" s="228">
        <v>0.61</v>
      </c>
      <c r="DX153" s="228">
        <v>0.67</v>
      </c>
      <c r="DY153" s="228">
        <v>-0.06</v>
      </c>
      <c r="DZ153" s="229">
        <v>-8.9599999999999999E-2</v>
      </c>
      <c r="EA153" s="229">
        <v>0.93289999999999995</v>
      </c>
      <c r="EB153" s="230">
        <v>10717500</v>
      </c>
      <c r="EC153" s="229">
        <v>3.2000000000000002E-3</v>
      </c>
      <c r="ED153" s="229">
        <v>0.93289999999999995</v>
      </c>
      <c r="EE153" s="228">
        <v>6.36</v>
      </c>
      <c r="EF153" s="229">
        <v>4.5999999999999999E-3</v>
      </c>
      <c r="EG153" s="230">
        <v>671289</v>
      </c>
      <c r="EH153" s="230">
        <v>1293482</v>
      </c>
      <c r="EI153" s="229">
        <v>-0.48099999999999998</v>
      </c>
      <c r="EJ153" s="229">
        <v>0.60699999999999998</v>
      </c>
      <c r="EK153" s="228">
        <v>143.47999999999999</v>
      </c>
      <c r="EL153" s="228">
        <v>84.07</v>
      </c>
      <c r="EM153" s="228">
        <v>427.05</v>
      </c>
      <c r="EN153" s="228">
        <v>0</v>
      </c>
      <c r="EO153" s="228">
        <v>654.6</v>
      </c>
      <c r="EP153" s="231">
        <v>1975.7</v>
      </c>
      <c r="EQ153" s="231">
        <v>-1321.11</v>
      </c>
      <c r="ER153" s="229">
        <v>-0.66869999999999996</v>
      </c>
      <c r="ES153" s="228">
        <v>64.819999999999993</v>
      </c>
      <c r="ET153" s="228">
        <v>61.85</v>
      </c>
      <c r="EU153" s="231">
        <v>1539.65</v>
      </c>
      <c r="EV153" s="231">
        <v>80673469</v>
      </c>
      <c r="EW153" s="231">
        <v>1666.32</v>
      </c>
      <c r="EX153" s="231">
        <v>2169.89</v>
      </c>
      <c r="EY153" s="228">
        <v>-503.57</v>
      </c>
      <c r="EZ153" s="229">
        <v>-0.2321</v>
      </c>
      <c r="FA153" s="229">
        <v>0.14749999999999999</v>
      </c>
      <c r="FB153" s="227" t="s">
        <v>568</v>
      </c>
      <c r="FC153">
        <f t="shared" si="3"/>
        <v>0</v>
      </c>
    </row>
    <row r="154" spans="1:159" ht="17.25" thickBot="1" x14ac:dyDescent="0.3">
      <c r="A154" s="226">
        <v>45869</v>
      </c>
      <c r="B154" s="227" t="s">
        <v>206</v>
      </c>
      <c r="C154" s="227" t="s">
        <v>550</v>
      </c>
      <c r="D154" s="228">
        <v>6500</v>
      </c>
      <c r="E154" s="228">
        <v>0</v>
      </c>
      <c r="F154" s="228">
        <v>108.67</v>
      </c>
      <c r="G154" s="228">
        <v>109.24</v>
      </c>
      <c r="H154" s="228">
        <v>-0.56999999999999995</v>
      </c>
      <c r="I154" s="229">
        <v>-5.1999999999999998E-3</v>
      </c>
      <c r="J154" s="228">
        <v>108.18</v>
      </c>
      <c r="K154" s="228">
        <v>108.82</v>
      </c>
      <c r="L154" s="228">
        <v>-0.64</v>
      </c>
      <c r="M154" s="229">
        <v>-5.8999999999999999E-3</v>
      </c>
      <c r="N154" s="228">
        <v>108.11</v>
      </c>
      <c r="O154" s="228">
        <v>108.98</v>
      </c>
      <c r="P154" s="228">
        <v>-0.87</v>
      </c>
      <c r="Q154" s="229">
        <v>-8.0000000000000002E-3</v>
      </c>
      <c r="R154" s="228">
        <v>108.67</v>
      </c>
      <c r="S154" s="228">
        <v>109.24</v>
      </c>
      <c r="T154" s="228">
        <v>-0.56999999999999995</v>
      </c>
      <c r="U154" s="229">
        <v>-5.1999999999999998E-3</v>
      </c>
      <c r="V154" s="228">
        <v>109.05</v>
      </c>
      <c r="W154" s="228">
        <v>110.02</v>
      </c>
      <c r="X154" s="228">
        <v>-0.97</v>
      </c>
      <c r="Y154" s="229">
        <v>-8.8000000000000005E-3</v>
      </c>
      <c r="Z154" s="228">
        <v>0.49</v>
      </c>
      <c r="AA154" s="228">
        <v>0.16</v>
      </c>
      <c r="AB154" s="228">
        <v>0.33</v>
      </c>
      <c r="AC154" s="229">
        <v>4.4999999999999997E-3</v>
      </c>
      <c r="AD154" s="228">
        <v>-7.0000000000000007E-2</v>
      </c>
      <c r="AE154" s="228">
        <v>0.16</v>
      </c>
      <c r="AF154" s="228">
        <v>-0.23</v>
      </c>
      <c r="AG154" s="229">
        <v>-5.9999999999999995E-4</v>
      </c>
      <c r="AH154" s="228">
        <v>0.49</v>
      </c>
      <c r="AI154" s="228">
        <v>0.42</v>
      </c>
      <c r="AJ154" s="228">
        <v>7.0000000000000007E-2</v>
      </c>
      <c r="AK154" s="229">
        <v>4.4999999999999997E-3</v>
      </c>
      <c r="AL154" s="228">
        <v>0.87</v>
      </c>
      <c r="AM154" s="228">
        <v>1.2</v>
      </c>
      <c r="AN154" s="228">
        <v>-0.33</v>
      </c>
      <c r="AO154" s="229">
        <v>8.0000000000000002E-3</v>
      </c>
      <c r="AP154" s="228">
        <v>108.23</v>
      </c>
      <c r="AQ154" s="228">
        <v>108.7</v>
      </c>
      <c r="AR154" s="228">
        <v>0</v>
      </c>
      <c r="AS154" s="228">
        <v>533</v>
      </c>
      <c r="AT154" s="228">
        <v>364</v>
      </c>
      <c r="AU154" s="228">
        <v>169</v>
      </c>
      <c r="AV154" s="229">
        <v>0.46360000000000001</v>
      </c>
      <c r="AW154" s="228">
        <v>247</v>
      </c>
      <c r="AX154" s="228">
        <v>179</v>
      </c>
      <c r="AY154" s="228">
        <v>68</v>
      </c>
      <c r="AZ154" s="229">
        <v>0.38</v>
      </c>
      <c r="BA154" s="228">
        <v>274</v>
      </c>
      <c r="BB154" s="228">
        <v>183</v>
      </c>
      <c r="BC154" s="228">
        <v>91</v>
      </c>
      <c r="BD154" s="229">
        <v>0.499</v>
      </c>
      <c r="BE154" s="228">
        <v>12</v>
      </c>
      <c r="BF154" s="228">
        <v>2</v>
      </c>
      <c r="BG154" s="228">
        <v>10</v>
      </c>
      <c r="BH154" s="229">
        <v>3.9142999999999999</v>
      </c>
      <c r="BI154" s="228">
        <v>78</v>
      </c>
      <c r="BJ154" s="228">
        <v>58</v>
      </c>
      <c r="BK154" s="228">
        <v>20</v>
      </c>
      <c r="BL154" s="229">
        <v>0.33539999999999998</v>
      </c>
      <c r="BM154" s="228">
        <v>62</v>
      </c>
      <c r="BN154" s="228">
        <v>35</v>
      </c>
      <c r="BO154" s="228">
        <v>27</v>
      </c>
      <c r="BP154" s="229">
        <v>0.76259999999999994</v>
      </c>
      <c r="BQ154" s="228">
        <v>673</v>
      </c>
      <c r="BR154" s="228">
        <v>458</v>
      </c>
      <c r="BS154" s="228">
        <v>215</v>
      </c>
      <c r="BT154" s="229">
        <v>0.47020000000000001</v>
      </c>
      <c r="BU154" s="230">
        <v>5529343</v>
      </c>
      <c r="BV154" s="230">
        <v>3557497</v>
      </c>
      <c r="BW154" s="230">
        <v>1971846</v>
      </c>
      <c r="BX154" s="229">
        <v>0.55430000000000001</v>
      </c>
      <c r="BY154" s="228">
        <v>578</v>
      </c>
      <c r="BZ154" s="228">
        <v>663</v>
      </c>
      <c r="CA154" s="228">
        <v>-85</v>
      </c>
      <c r="CB154" s="229">
        <v>-0.12859999999999999</v>
      </c>
      <c r="CC154" s="228">
        <v>81</v>
      </c>
      <c r="CD154" s="228">
        <v>198</v>
      </c>
      <c r="CE154" s="228">
        <v>-117</v>
      </c>
      <c r="CF154" s="229">
        <v>-0.59279999999999999</v>
      </c>
      <c r="CG154" s="228">
        <v>557</v>
      </c>
      <c r="CH154" s="228">
        <v>450</v>
      </c>
      <c r="CI154" s="228">
        <v>107</v>
      </c>
      <c r="CJ154" s="229">
        <v>0.23680000000000001</v>
      </c>
      <c r="CK154" s="228">
        <v>21</v>
      </c>
      <c r="CL154" s="228">
        <v>15</v>
      </c>
      <c r="CM154" s="228">
        <v>6</v>
      </c>
      <c r="CN154" s="229">
        <v>0.4</v>
      </c>
      <c r="CO154" s="228">
        <v>69</v>
      </c>
      <c r="CP154" s="228">
        <v>301</v>
      </c>
      <c r="CQ154" s="228">
        <v>-232</v>
      </c>
      <c r="CR154" s="229">
        <v>-0.7712</v>
      </c>
      <c r="CS154" s="228">
        <v>47</v>
      </c>
      <c r="CT154" s="228">
        <v>138</v>
      </c>
      <c r="CU154" s="228">
        <v>-92</v>
      </c>
      <c r="CV154" s="229">
        <v>-0.66169999999999995</v>
      </c>
      <c r="CW154" s="228">
        <v>694</v>
      </c>
      <c r="CX154" s="230">
        <v>1103</v>
      </c>
      <c r="CY154" s="228">
        <v>-409</v>
      </c>
      <c r="CZ154" s="229">
        <v>-0.37109999999999999</v>
      </c>
      <c r="DA154" s="228">
        <v>37.869999999999997</v>
      </c>
      <c r="DB154" s="228">
        <v>36.6</v>
      </c>
      <c r="DC154" s="228">
        <v>1.27</v>
      </c>
      <c r="DD154" s="228">
        <v>1.27</v>
      </c>
      <c r="DE154" s="228">
        <v>56.61</v>
      </c>
      <c r="DF154" s="228">
        <v>56.75</v>
      </c>
      <c r="DG154" s="228">
        <v>-18.739999999999998</v>
      </c>
      <c r="DH154" s="228">
        <v>-0.14000000000000001</v>
      </c>
      <c r="DI154" s="228">
        <v>38.020000000000003</v>
      </c>
      <c r="DJ154" s="228">
        <v>37.229999999999997</v>
      </c>
      <c r="DK154" s="228">
        <v>0.79</v>
      </c>
      <c r="DL154" s="228">
        <v>0.79</v>
      </c>
      <c r="DM154" s="228">
        <v>37.65</v>
      </c>
      <c r="DN154" s="228">
        <v>35.79</v>
      </c>
      <c r="DO154" s="228">
        <v>1.86</v>
      </c>
      <c r="DP154" s="228">
        <v>1.86</v>
      </c>
      <c r="DQ154" s="228">
        <v>0.68</v>
      </c>
      <c r="DR154" s="228">
        <v>0.46</v>
      </c>
      <c r="DS154" s="228">
        <v>0.22</v>
      </c>
      <c r="DT154" s="229">
        <v>0.4783</v>
      </c>
      <c r="DU154" s="228">
        <v>120</v>
      </c>
      <c r="DV154" s="228">
        <v>120</v>
      </c>
      <c r="DW154" s="228">
        <v>0.79</v>
      </c>
      <c r="DX154" s="228">
        <v>0.6</v>
      </c>
      <c r="DY154" s="228">
        <v>0.19</v>
      </c>
      <c r="DZ154" s="229">
        <v>0.31669999999999998</v>
      </c>
      <c r="EA154" s="229">
        <v>0.87760000000000005</v>
      </c>
      <c r="EB154" s="230">
        <v>42815500</v>
      </c>
      <c r="EC154" s="229">
        <v>5.1999999999999998E-3</v>
      </c>
      <c r="ED154" s="229">
        <v>0.87760000000000005</v>
      </c>
      <c r="EE154" s="228">
        <v>0.47</v>
      </c>
      <c r="EF154" s="229">
        <v>4.3E-3</v>
      </c>
      <c r="EG154" s="230">
        <v>1572690</v>
      </c>
      <c r="EH154" s="230">
        <v>1161130</v>
      </c>
      <c r="EI154" s="229">
        <v>0.35439999999999999</v>
      </c>
      <c r="EJ154" s="229">
        <v>0.28439999999999999</v>
      </c>
      <c r="EK154" s="228">
        <v>82.98</v>
      </c>
      <c r="EL154" s="228">
        <v>64.98</v>
      </c>
      <c r="EM154" s="228">
        <v>532.32000000000005</v>
      </c>
      <c r="EN154" s="228">
        <v>0</v>
      </c>
      <c r="EO154" s="228">
        <v>680.28</v>
      </c>
      <c r="EP154" s="228">
        <v>465.46</v>
      </c>
      <c r="EQ154" s="228">
        <v>214.82</v>
      </c>
      <c r="ER154" s="229">
        <v>0.46150000000000002</v>
      </c>
      <c r="ES154" s="228">
        <v>73.56</v>
      </c>
      <c r="ET154" s="228">
        <v>46.99</v>
      </c>
      <c r="EU154" s="228">
        <v>578.01</v>
      </c>
      <c r="EV154" s="231">
        <v>206526272</v>
      </c>
      <c r="EW154" s="228">
        <v>698.56</v>
      </c>
      <c r="EX154" s="231">
        <v>1150.51</v>
      </c>
      <c r="EY154" s="228">
        <v>-451.95</v>
      </c>
      <c r="EZ154" s="229">
        <v>-0.39279999999999998</v>
      </c>
      <c r="FA154" s="229">
        <v>0.30909999999999999</v>
      </c>
      <c r="FB154" s="227" t="s">
        <v>568</v>
      </c>
      <c r="FC154">
        <f t="shared" si="3"/>
        <v>0</v>
      </c>
    </row>
    <row r="155" spans="1:159" ht="17.25" thickBot="1" x14ac:dyDescent="0.3">
      <c r="A155" s="226">
        <v>45869</v>
      </c>
      <c r="B155" s="227" t="s">
        <v>215</v>
      </c>
      <c r="C155" s="227" t="s">
        <v>592</v>
      </c>
      <c r="D155" s="228">
        <v>2700</v>
      </c>
      <c r="E155" s="228">
        <v>0</v>
      </c>
      <c r="F155" s="228">
        <v>217.26</v>
      </c>
      <c r="G155" s="228">
        <v>222.46</v>
      </c>
      <c r="H155" s="228">
        <v>-5.2</v>
      </c>
      <c r="I155" s="229">
        <v>-2.3400000000000001E-2</v>
      </c>
      <c r="J155" s="228">
        <v>217.71</v>
      </c>
      <c r="K155" s="228">
        <v>222.81</v>
      </c>
      <c r="L155" s="228">
        <v>-5.0999999999999996</v>
      </c>
      <c r="M155" s="229">
        <v>-2.29E-2</v>
      </c>
      <c r="N155" s="228">
        <v>217.38</v>
      </c>
      <c r="O155" s="228">
        <v>223.2</v>
      </c>
      <c r="P155" s="228">
        <v>-5.82</v>
      </c>
      <c r="Q155" s="229">
        <v>-2.6100000000000002E-2</v>
      </c>
      <c r="R155" s="228">
        <v>217.26</v>
      </c>
      <c r="S155" s="228">
        <v>222.46</v>
      </c>
      <c r="T155" s="228">
        <v>-5.2</v>
      </c>
      <c r="U155" s="229">
        <v>-2.3400000000000001E-2</v>
      </c>
      <c r="V155" s="228">
        <v>217.62</v>
      </c>
      <c r="W155" s="228">
        <v>224.2</v>
      </c>
      <c r="X155" s="228">
        <v>-6.58</v>
      </c>
      <c r="Y155" s="229">
        <v>-2.93E-2</v>
      </c>
      <c r="Z155" s="228">
        <v>-0.45</v>
      </c>
      <c r="AA155" s="228">
        <v>0.39</v>
      </c>
      <c r="AB155" s="228">
        <v>-0.84</v>
      </c>
      <c r="AC155" s="229">
        <v>-2.0999999999999999E-3</v>
      </c>
      <c r="AD155" s="228">
        <v>-0.33</v>
      </c>
      <c r="AE155" s="228">
        <v>0.39</v>
      </c>
      <c r="AF155" s="228">
        <v>-0.72</v>
      </c>
      <c r="AG155" s="229">
        <v>-1.5E-3</v>
      </c>
      <c r="AH155" s="228">
        <v>-0.45</v>
      </c>
      <c r="AI155" s="228">
        <v>-0.35</v>
      </c>
      <c r="AJ155" s="228">
        <v>-0.1</v>
      </c>
      <c r="AK155" s="229">
        <v>-2.0999999999999999E-3</v>
      </c>
      <c r="AL155" s="228">
        <v>-0.09</v>
      </c>
      <c r="AM155" s="228">
        <v>1.39</v>
      </c>
      <c r="AN155" s="228">
        <v>-1.48</v>
      </c>
      <c r="AO155" s="229">
        <v>-4.0000000000000002E-4</v>
      </c>
      <c r="AP155" s="228">
        <v>219.45</v>
      </c>
      <c r="AQ155" s="228">
        <v>219.35</v>
      </c>
      <c r="AR155" s="228">
        <v>0</v>
      </c>
      <c r="AS155" s="228">
        <v>230</v>
      </c>
      <c r="AT155" s="228">
        <v>301</v>
      </c>
      <c r="AU155" s="228">
        <v>-71</v>
      </c>
      <c r="AV155" s="229">
        <v>-0.2369</v>
      </c>
      <c r="AW155" s="228">
        <v>102</v>
      </c>
      <c r="AX155" s="228">
        <v>149</v>
      </c>
      <c r="AY155" s="228">
        <v>-47</v>
      </c>
      <c r="AZ155" s="229">
        <v>-0.3135</v>
      </c>
      <c r="BA155" s="228">
        <v>118</v>
      </c>
      <c r="BB155" s="228">
        <v>151</v>
      </c>
      <c r="BC155" s="228">
        <v>-33</v>
      </c>
      <c r="BD155" s="229">
        <v>-0.216</v>
      </c>
      <c r="BE155" s="228">
        <v>10</v>
      </c>
      <c r="BF155" s="228">
        <v>2</v>
      </c>
      <c r="BG155" s="228">
        <v>8</v>
      </c>
      <c r="BH155" s="229">
        <v>4.7857000000000003</v>
      </c>
      <c r="BI155" s="228">
        <v>88</v>
      </c>
      <c r="BJ155" s="228">
        <v>112</v>
      </c>
      <c r="BK155" s="228">
        <v>-24</v>
      </c>
      <c r="BL155" s="229">
        <v>-0.21179999999999999</v>
      </c>
      <c r="BM155" s="228">
        <v>52</v>
      </c>
      <c r="BN155" s="228">
        <v>51</v>
      </c>
      <c r="BO155" s="228">
        <v>1</v>
      </c>
      <c r="BP155" s="229">
        <v>2.4299999999999999E-2</v>
      </c>
      <c r="BQ155" s="228">
        <v>370</v>
      </c>
      <c r="BR155" s="228">
        <v>464</v>
      </c>
      <c r="BS155" s="228">
        <v>-94</v>
      </c>
      <c r="BT155" s="229">
        <v>-0.20230000000000001</v>
      </c>
      <c r="BU155" s="230">
        <v>2197660</v>
      </c>
      <c r="BV155" s="230">
        <v>1821269</v>
      </c>
      <c r="BW155" s="230">
        <v>376391</v>
      </c>
      <c r="BX155" s="229">
        <v>0.20669999999999999</v>
      </c>
      <c r="BY155" s="228">
        <v>294</v>
      </c>
      <c r="BZ155" s="228">
        <v>323</v>
      </c>
      <c r="CA155" s="228">
        <v>-29</v>
      </c>
      <c r="CB155" s="229">
        <v>-9.0399999999999994E-2</v>
      </c>
      <c r="CC155" s="228">
        <v>28</v>
      </c>
      <c r="CD155" s="228">
        <v>70</v>
      </c>
      <c r="CE155" s="228">
        <v>-42</v>
      </c>
      <c r="CF155" s="229">
        <v>-0.60350000000000004</v>
      </c>
      <c r="CG155" s="228">
        <v>283</v>
      </c>
      <c r="CH155" s="228">
        <v>246</v>
      </c>
      <c r="CI155" s="228">
        <v>38</v>
      </c>
      <c r="CJ155" s="229">
        <v>0.15290000000000001</v>
      </c>
      <c r="CK155" s="228">
        <v>11</v>
      </c>
      <c r="CL155" s="228">
        <v>8</v>
      </c>
      <c r="CM155" s="228">
        <v>3</v>
      </c>
      <c r="CN155" s="229">
        <v>0.37040000000000001</v>
      </c>
      <c r="CO155" s="228">
        <v>59</v>
      </c>
      <c r="CP155" s="228">
        <v>199</v>
      </c>
      <c r="CQ155" s="228">
        <v>-140</v>
      </c>
      <c r="CR155" s="229">
        <v>-0.70430000000000004</v>
      </c>
      <c r="CS155" s="228">
        <v>43</v>
      </c>
      <c r="CT155" s="228">
        <v>103</v>
      </c>
      <c r="CU155" s="228">
        <v>-60</v>
      </c>
      <c r="CV155" s="229">
        <v>-0.58030000000000004</v>
      </c>
      <c r="CW155" s="228">
        <v>396</v>
      </c>
      <c r="CX155" s="228">
        <v>625</v>
      </c>
      <c r="CY155" s="228">
        <v>-229</v>
      </c>
      <c r="CZ155" s="229">
        <v>-0.36630000000000001</v>
      </c>
      <c r="DA155" s="228">
        <v>36.479999999999997</v>
      </c>
      <c r="DB155" s="228">
        <v>37</v>
      </c>
      <c r="DC155" s="228">
        <v>-0.52</v>
      </c>
      <c r="DD155" s="228">
        <v>-0.52</v>
      </c>
      <c r="DE155" s="228">
        <v>51.37</v>
      </c>
      <c r="DF155" s="228">
        <v>51.41</v>
      </c>
      <c r="DG155" s="228">
        <v>-14.89</v>
      </c>
      <c r="DH155" s="228">
        <v>-0.04</v>
      </c>
      <c r="DI155" s="228">
        <v>36.909999999999997</v>
      </c>
      <c r="DJ155" s="228">
        <v>37.11</v>
      </c>
      <c r="DK155" s="228">
        <v>-0.2</v>
      </c>
      <c r="DL155" s="228">
        <v>-0.2</v>
      </c>
      <c r="DM155" s="228">
        <v>35.85</v>
      </c>
      <c r="DN155" s="228">
        <v>36.85</v>
      </c>
      <c r="DO155" s="228">
        <v>-1</v>
      </c>
      <c r="DP155" s="228">
        <v>-1</v>
      </c>
      <c r="DQ155" s="228">
        <v>0.74</v>
      </c>
      <c r="DR155" s="228">
        <v>0.52</v>
      </c>
      <c r="DS155" s="228">
        <v>0.22</v>
      </c>
      <c r="DT155" s="229">
        <v>0.42309999999999998</v>
      </c>
      <c r="DU155" s="228">
        <v>230</v>
      </c>
      <c r="DV155" s="228">
        <v>230</v>
      </c>
      <c r="DW155" s="228">
        <v>0.59</v>
      </c>
      <c r="DX155" s="228">
        <v>0.45</v>
      </c>
      <c r="DY155" s="228">
        <v>0.14000000000000001</v>
      </c>
      <c r="DZ155" s="229">
        <v>0.31109999999999999</v>
      </c>
      <c r="EA155" s="229">
        <v>0.91410000000000002</v>
      </c>
      <c r="EB155" s="230">
        <v>11669400</v>
      </c>
      <c r="EC155" s="229">
        <v>-5.9999999999999995E-4</v>
      </c>
      <c r="ED155" s="229">
        <v>0.91410000000000002</v>
      </c>
      <c r="EE155" s="228">
        <v>-0.1</v>
      </c>
      <c r="EF155" s="229">
        <v>-5.0000000000000001E-4</v>
      </c>
      <c r="EG155" s="230">
        <v>962955</v>
      </c>
      <c r="EH155" s="230">
        <v>487925</v>
      </c>
      <c r="EI155" s="229">
        <v>0.97360000000000002</v>
      </c>
      <c r="EJ155" s="229">
        <v>0.43819999999999998</v>
      </c>
      <c r="EK155" s="228">
        <v>94.01</v>
      </c>
      <c r="EL155" s="228">
        <v>53.83</v>
      </c>
      <c r="EM155" s="228">
        <v>232.08</v>
      </c>
      <c r="EN155" s="228">
        <v>0</v>
      </c>
      <c r="EO155" s="228">
        <v>379.92</v>
      </c>
      <c r="EP155" s="228">
        <v>481.43</v>
      </c>
      <c r="EQ155" s="228">
        <v>-101.51</v>
      </c>
      <c r="ER155" s="229">
        <v>-0.2109</v>
      </c>
      <c r="ES155" s="228">
        <v>61.55</v>
      </c>
      <c r="ET155" s="228">
        <v>43.01</v>
      </c>
      <c r="EU155" s="228">
        <v>294.02</v>
      </c>
      <c r="EV155" s="231">
        <v>97811871</v>
      </c>
      <c r="EW155" s="228">
        <v>398.58</v>
      </c>
      <c r="EX155" s="228">
        <v>649.22</v>
      </c>
      <c r="EY155" s="228">
        <v>-250.64</v>
      </c>
      <c r="EZ155" s="229">
        <v>-0.3861</v>
      </c>
      <c r="FA155" s="229">
        <v>0.18640000000000001</v>
      </c>
      <c r="FB155" s="227" t="s">
        <v>568</v>
      </c>
      <c r="FC155">
        <f t="shared" si="3"/>
        <v>0</v>
      </c>
    </row>
    <row r="156" spans="1:159" ht="17.25" thickBot="1" x14ac:dyDescent="0.3">
      <c r="A156" s="226">
        <v>45869</v>
      </c>
      <c r="B156" s="227" t="s">
        <v>168</v>
      </c>
      <c r="C156" s="227" t="s">
        <v>265</v>
      </c>
      <c r="D156" s="228">
        <v>250</v>
      </c>
      <c r="E156" s="228">
        <v>0</v>
      </c>
      <c r="F156" s="231">
        <v>2257.8000000000002</v>
      </c>
      <c r="G156" s="231">
        <v>2244.6999999999998</v>
      </c>
      <c r="H156" s="228">
        <v>13.1</v>
      </c>
      <c r="I156" s="229">
        <v>5.7999999999999996E-3</v>
      </c>
      <c r="J156" s="231">
        <v>2247.6999999999998</v>
      </c>
      <c r="K156" s="231">
        <v>2231.5</v>
      </c>
      <c r="L156" s="228">
        <v>16.2</v>
      </c>
      <c r="M156" s="229">
        <v>7.3000000000000001E-3</v>
      </c>
      <c r="N156" s="231">
        <v>2246.3000000000002</v>
      </c>
      <c r="O156" s="231">
        <v>2233.5</v>
      </c>
      <c r="P156" s="228">
        <v>12.8</v>
      </c>
      <c r="Q156" s="229">
        <v>5.7000000000000002E-3</v>
      </c>
      <c r="R156" s="231">
        <v>2257.8000000000002</v>
      </c>
      <c r="S156" s="231">
        <v>2244.6999999999998</v>
      </c>
      <c r="T156" s="228">
        <v>13.1</v>
      </c>
      <c r="U156" s="229">
        <v>5.7999999999999996E-3</v>
      </c>
      <c r="V156" s="231">
        <v>2271.1999999999998</v>
      </c>
      <c r="W156" s="231">
        <v>2257.1999999999998</v>
      </c>
      <c r="X156" s="228">
        <v>14</v>
      </c>
      <c r="Y156" s="229">
        <v>6.1999999999999998E-3</v>
      </c>
      <c r="Z156" s="228">
        <v>10.1</v>
      </c>
      <c r="AA156" s="228">
        <v>2</v>
      </c>
      <c r="AB156" s="228">
        <v>8.1</v>
      </c>
      <c r="AC156" s="229">
        <v>4.4999999999999997E-3</v>
      </c>
      <c r="AD156" s="228">
        <v>-1.4</v>
      </c>
      <c r="AE156" s="228">
        <v>2</v>
      </c>
      <c r="AF156" s="228">
        <v>-3.4</v>
      </c>
      <c r="AG156" s="229">
        <v>-5.9999999999999995E-4</v>
      </c>
      <c r="AH156" s="228">
        <v>10.1</v>
      </c>
      <c r="AI156" s="228">
        <v>13.2</v>
      </c>
      <c r="AJ156" s="228">
        <v>-3.1</v>
      </c>
      <c r="AK156" s="229">
        <v>4.4999999999999997E-3</v>
      </c>
      <c r="AL156" s="228">
        <v>23.5</v>
      </c>
      <c r="AM156" s="228">
        <v>25.7</v>
      </c>
      <c r="AN156" s="228">
        <v>-2.2000000000000002</v>
      </c>
      <c r="AO156" s="229">
        <v>1.0500000000000001E-2</v>
      </c>
      <c r="AP156" s="231">
        <v>2247.7199999999998</v>
      </c>
      <c r="AQ156" s="231">
        <v>2258.2800000000002</v>
      </c>
      <c r="AR156" s="228">
        <v>0</v>
      </c>
      <c r="AS156" s="228">
        <v>778</v>
      </c>
      <c r="AT156" s="230">
        <v>1354</v>
      </c>
      <c r="AU156" s="228">
        <v>-576</v>
      </c>
      <c r="AV156" s="229">
        <v>-0.42530000000000001</v>
      </c>
      <c r="AW156" s="228">
        <v>305</v>
      </c>
      <c r="AX156" s="228">
        <v>655</v>
      </c>
      <c r="AY156" s="228">
        <v>-350</v>
      </c>
      <c r="AZ156" s="229">
        <v>-0.53439999999999999</v>
      </c>
      <c r="BA156" s="228">
        <v>462</v>
      </c>
      <c r="BB156" s="228">
        <v>692</v>
      </c>
      <c r="BC156" s="228">
        <v>-230</v>
      </c>
      <c r="BD156" s="229">
        <v>-0.33210000000000001</v>
      </c>
      <c r="BE156" s="228">
        <v>11</v>
      </c>
      <c r="BF156" s="228">
        <v>7</v>
      </c>
      <c r="BG156" s="228">
        <v>4</v>
      </c>
      <c r="BH156" s="229">
        <v>0.59019999999999995</v>
      </c>
      <c r="BI156" s="228">
        <v>827</v>
      </c>
      <c r="BJ156" s="228">
        <v>621</v>
      </c>
      <c r="BK156" s="228">
        <v>206</v>
      </c>
      <c r="BL156" s="229">
        <v>0.33119999999999999</v>
      </c>
      <c r="BM156" s="228">
        <v>357</v>
      </c>
      <c r="BN156" s="228">
        <v>190</v>
      </c>
      <c r="BO156" s="228">
        <v>167</v>
      </c>
      <c r="BP156" s="229">
        <v>0.88</v>
      </c>
      <c r="BQ156" s="230">
        <v>1963</v>
      </c>
      <c r="BR156" s="230">
        <v>2166</v>
      </c>
      <c r="BS156" s="228">
        <v>-203</v>
      </c>
      <c r="BT156" s="229">
        <v>-9.3700000000000006E-2</v>
      </c>
      <c r="BU156" s="230">
        <v>696995</v>
      </c>
      <c r="BV156" s="230">
        <v>490328</v>
      </c>
      <c r="BW156" s="230">
        <v>206667</v>
      </c>
      <c r="BX156" s="229">
        <v>0.42149999999999999</v>
      </c>
      <c r="BY156" s="230">
        <v>2354</v>
      </c>
      <c r="BZ156" s="230">
        <v>2492</v>
      </c>
      <c r="CA156" s="228">
        <v>-139</v>
      </c>
      <c r="CB156" s="229">
        <v>-5.5599999999999997E-2</v>
      </c>
      <c r="CC156" s="228">
        <v>133</v>
      </c>
      <c r="CD156" s="228">
        <v>302</v>
      </c>
      <c r="CE156" s="228">
        <v>-168</v>
      </c>
      <c r="CF156" s="229">
        <v>-0.55779999999999996</v>
      </c>
      <c r="CG156" s="230">
        <v>2319</v>
      </c>
      <c r="CH156" s="230">
        <v>2160</v>
      </c>
      <c r="CI156" s="228">
        <v>158</v>
      </c>
      <c r="CJ156" s="229">
        <v>7.3300000000000004E-2</v>
      </c>
      <c r="CK156" s="228">
        <v>35</v>
      </c>
      <c r="CL156" s="228">
        <v>30</v>
      </c>
      <c r="CM156" s="228">
        <v>5</v>
      </c>
      <c r="CN156" s="229">
        <v>0.15029999999999999</v>
      </c>
      <c r="CO156" s="228">
        <v>316</v>
      </c>
      <c r="CP156" s="228">
        <v>855</v>
      </c>
      <c r="CQ156" s="228">
        <v>-538</v>
      </c>
      <c r="CR156" s="229">
        <v>-0.62980000000000003</v>
      </c>
      <c r="CS156" s="228">
        <v>287</v>
      </c>
      <c r="CT156" s="228">
        <v>584</v>
      </c>
      <c r="CU156" s="228">
        <v>-297</v>
      </c>
      <c r="CV156" s="229">
        <v>-0.50780000000000003</v>
      </c>
      <c r="CW156" s="230">
        <v>2958</v>
      </c>
      <c r="CX156" s="230">
        <v>3931</v>
      </c>
      <c r="CY156" s="228">
        <v>-974</v>
      </c>
      <c r="CZ156" s="229">
        <v>-0.24759999999999999</v>
      </c>
      <c r="DA156" s="228">
        <v>18.760000000000002</v>
      </c>
      <c r="DB156" s="228">
        <v>19.5</v>
      </c>
      <c r="DC156" s="228">
        <v>-0.74</v>
      </c>
      <c r="DD156" s="228">
        <v>-0.74</v>
      </c>
      <c r="DE156" s="228">
        <v>23.36</v>
      </c>
      <c r="DF156" s="228">
        <v>23.4</v>
      </c>
      <c r="DG156" s="228">
        <v>-4.5999999999999996</v>
      </c>
      <c r="DH156" s="228">
        <v>-0.04</v>
      </c>
      <c r="DI156" s="228">
        <v>19.03</v>
      </c>
      <c r="DJ156" s="228">
        <v>19.82</v>
      </c>
      <c r="DK156" s="228">
        <v>-0.79</v>
      </c>
      <c r="DL156" s="228">
        <v>-0.79</v>
      </c>
      <c r="DM156" s="228">
        <v>18.18</v>
      </c>
      <c r="DN156" s="228">
        <v>18.690000000000001</v>
      </c>
      <c r="DO156" s="228">
        <v>-0.51</v>
      </c>
      <c r="DP156" s="228">
        <v>-0.51</v>
      </c>
      <c r="DQ156" s="228">
        <v>0.91</v>
      </c>
      <c r="DR156" s="228">
        <v>0.68</v>
      </c>
      <c r="DS156" s="228">
        <v>0.23</v>
      </c>
      <c r="DT156" s="229">
        <v>0.3382</v>
      </c>
      <c r="DU156" s="231">
        <v>2500</v>
      </c>
      <c r="DV156" s="231">
        <v>2400</v>
      </c>
      <c r="DW156" s="228">
        <v>0.43</v>
      </c>
      <c r="DX156" s="228">
        <v>0.31</v>
      </c>
      <c r="DY156" s="228">
        <v>0.12</v>
      </c>
      <c r="DZ156" s="229">
        <v>0.3871</v>
      </c>
      <c r="EA156" s="229">
        <v>0.94640000000000002</v>
      </c>
      <c r="EB156" s="230">
        <v>9703750</v>
      </c>
      <c r="EC156" s="229">
        <v>5.1000000000000004E-3</v>
      </c>
      <c r="ED156" s="229">
        <v>0.94640000000000002</v>
      </c>
      <c r="EE156" s="228">
        <v>10.56</v>
      </c>
      <c r="EF156" s="229">
        <v>4.7000000000000002E-3</v>
      </c>
      <c r="EG156" s="230">
        <v>329739</v>
      </c>
      <c r="EH156" s="230">
        <v>293136</v>
      </c>
      <c r="EI156" s="229">
        <v>0.1249</v>
      </c>
      <c r="EJ156" s="229">
        <v>0.47310000000000002</v>
      </c>
      <c r="EK156" s="228">
        <v>857.01</v>
      </c>
      <c r="EL156" s="228">
        <v>357.45</v>
      </c>
      <c r="EM156" s="228">
        <v>777.01</v>
      </c>
      <c r="EN156" s="228">
        <v>0</v>
      </c>
      <c r="EO156" s="231">
        <v>1991.47</v>
      </c>
      <c r="EP156" s="231">
        <v>2181.7800000000002</v>
      </c>
      <c r="EQ156" s="228">
        <v>-190.31</v>
      </c>
      <c r="ER156" s="229">
        <v>-8.72E-2</v>
      </c>
      <c r="ES156" s="228">
        <v>335.04</v>
      </c>
      <c r="ET156" s="228">
        <v>284.08999999999997</v>
      </c>
      <c r="EU156" s="231">
        <v>2354.08</v>
      </c>
      <c r="EV156" s="231">
        <v>71801274</v>
      </c>
      <c r="EW156" s="231">
        <v>2973.21</v>
      </c>
      <c r="EX156" s="231">
        <v>3984.78</v>
      </c>
      <c r="EY156" s="231">
        <v>-1011.57</v>
      </c>
      <c r="EZ156" s="229">
        <v>-0.25390000000000001</v>
      </c>
      <c r="FA156" s="229">
        <v>0.1825</v>
      </c>
      <c r="FB156" s="227" t="s">
        <v>556</v>
      </c>
      <c r="FC156">
        <f t="shared" si="3"/>
        <v>0</v>
      </c>
    </row>
    <row r="157" spans="1:159" ht="17.25" thickBot="1" x14ac:dyDescent="0.3">
      <c r="A157" s="226">
        <v>45869</v>
      </c>
      <c r="B157" s="227" t="s">
        <v>161</v>
      </c>
      <c r="C157" s="227" t="s">
        <v>586</v>
      </c>
      <c r="D157" s="228">
        <v>6400</v>
      </c>
      <c r="E157" s="228">
        <v>0</v>
      </c>
      <c r="F157" s="228">
        <v>83.24</v>
      </c>
      <c r="G157" s="228">
        <v>84.47</v>
      </c>
      <c r="H157" s="228">
        <v>-1.23</v>
      </c>
      <c r="I157" s="229">
        <v>-1.46E-2</v>
      </c>
      <c r="J157" s="228">
        <v>83.25</v>
      </c>
      <c r="K157" s="228">
        <v>84.46</v>
      </c>
      <c r="L157" s="228">
        <v>-1.21</v>
      </c>
      <c r="M157" s="229">
        <v>-1.43E-2</v>
      </c>
      <c r="N157" s="228">
        <v>83.16</v>
      </c>
      <c r="O157" s="228">
        <v>84.51</v>
      </c>
      <c r="P157" s="228">
        <v>-1.35</v>
      </c>
      <c r="Q157" s="229">
        <v>-1.6E-2</v>
      </c>
      <c r="R157" s="228">
        <v>83.24</v>
      </c>
      <c r="S157" s="228">
        <v>84.47</v>
      </c>
      <c r="T157" s="228">
        <v>-1.23</v>
      </c>
      <c r="U157" s="229">
        <v>-1.46E-2</v>
      </c>
      <c r="V157" s="228">
        <v>83.57</v>
      </c>
      <c r="W157" s="228">
        <v>84.91</v>
      </c>
      <c r="X157" s="228">
        <v>-1.34</v>
      </c>
      <c r="Y157" s="229">
        <v>-1.5800000000000002E-2</v>
      </c>
      <c r="Z157" s="228">
        <v>-0.01</v>
      </c>
      <c r="AA157" s="228">
        <v>0.05</v>
      </c>
      <c r="AB157" s="228">
        <v>-0.06</v>
      </c>
      <c r="AC157" s="229">
        <v>-1E-4</v>
      </c>
      <c r="AD157" s="228">
        <v>-0.09</v>
      </c>
      <c r="AE157" s="228">
        <v>0.05</v>
      </c>
      <c r="AF157" s="228">
        <v>-0.14000000000000001</v>
      </c>
      <c r="AG157" s="229">
        <v>-1.1000000000000001E-3</v>
      </c>
      <c r="AH157" s="228">
        <v>-0.01</v>
      </c>
      <c r="AI157" s="228">
        <v>0.01</v>
      </c>
      <c r="AJ157" s="228">
        <v>-0.02</v>
      </c>
      <c r="AK157" s="229">
        <v>-1E-4</v>
      </c>
      <c r="AL157" s="228">
        <v>0.32</v>
      </c>
      <c r="AM157" s="228">
        <v>0.45</v>
      </c>
      <c r="AN157" s="228">
        <v>-0.13</v>
      </c>
      <c r="AO157" s="229">
        <v>3.8E-3</v>
      </c>
      <c r="AP157" s="228">
        <v>83.42</v>
      </c>
      <c r="AQ157" s="228">
        <v>83.56</v>
      </c>
      <c r="AR157" s="228">
        <v>0</v>
      </c>
      <c r="AS157" s="228">
        <v>251</v>
      </c>
      <c r="AT157" s="228">
        <v>291</v>
      </c>
      <c r="AU157" s="228">
        <v>-40</v>
      </c>
      <c r="AV157" s="229">
        <v>-0.13780000000000001</v>
      </c>
      <c r="AW157" s="228">
        <v>121</v>
      </c>
      <c r="AX157" s="228">
        <v>143</v>
      </c>
      <c r="AY157" s="228">
        <v>-22</v>
      </c>
      <c r="AZ157" s="229">
        <v>-0.15479999999999999</v>
      </c>
      <c r="BA157" s="228">
        <v>127</v>
      </c>
      <c r="BB157" s="228">
        <v>147</v>
      </c>
      <c r="BC157" s="228">
        <v>-21</v>
      </c>
      <c r="BD157" s="229">
        <v>-0.1394</v>
      </c>
      <c r="BE157" s="228">
        <v>3</v>
      </c>
      <c r="BF157" s="228">
        <v>1</v>
      </c>
      <c r="BG157" s="228">
        <v>3</v>
      </c>
      <c r="BH157" s="229">
        <v>3</v>
      </c>
      <c r="BI157" s="228">
        <v>66</v>
      </c>
      <c r="BJ157" s="228">
        <v>47</v>
      </c>
      <c r="BK157" s="228">
        <v>19</v>
      </c>
      <c r="BL157" s="229">
        <v>0.40570000000000001</v>
      </c>
      <c r="BM157" s="228">
        <v>34</v>
      </c>
      <c r="BN157" s="228">
        <v>24</v>
      </c>
      <c r="BO157" s="228">
        <v>10</v>
      </c>
      <c r="BP157" s="229">
        <v>0.4194</v>
      </c>
      <c r="BQ157" s="228">
        <v>351</v>
      </c>
      <c r="BR157" s="228">
        <v>362</v>
      </c>
      <c r="BS157" s="228">
        <v>-11</v>
      </c>
      <c r="BT157" s="229">
        <v>-3.0599999999999999E-2</v>
      </c>
      <c r="BU157" s="230">
        <v>7695310</v>
      </c>
      <c r="BV157" s="230">
        <v>7298726</v>
      </c>
      <c r="BW157" s="230">
        <v>396584</v>
      </c>
      <c r="BX157" s="229">
        <v>5.4300000000000001E-2</v>
      </c>
      <c r="BY157" s="228">
        <v>425</v>
      </c>
      <c r="BZ157" s="228">
        <v>553</v>
      </c>
      <c r="CA157" s="228">
        <v>-127</v>
      </c>
      <c r="CB157" s="229">
        <v>-0.2306</v>
      </c>
      <c r="CC157" s="228">
        <v>124</v>
      </c>
      <c r="CD157" s="228">
        <v>201</v>
      </c>
      <c r="CE157" s="228">
        <v>-77</v>
      </c>
      <c r="CF157" s="229">
        <v>-0.38319999999999999</v>
      </c>
      <c r="CG157" s="228">
        <v>414</v>
      </c>
      <c r="CH157" s="228">
        <v>344</v>
      </c>
      <c r="CI157" s="228">
        <v>71</v>
      </c>
      <c r="CJ157" s="229">
        <v>0.20549999999999999</v>
      </c>
      <c r="CK157" s="228">
        <v>11</v>
      </c>
      <c r="CL157" s="228">
        <v>8</v>
      </c>
      <c r="CM157" s="228">
        <v>3</v>
      </c>
      <c r="CN157" s="229">
        <v>0.31580000000000003</v>
      </c>
      <c r="CO157" s="228">
        <v>59</v>
      </c>
      <c r="CP157" s="228">
        <v>183</v>
      </c>
      <c r="CQ157" s="228">
        <v>-124</v>
      </c>
      <c r="CR157" s="229">
        <v>-0.67810000000000004</v>
      </c>
      <c r="CS157" s="228">
        <v>37</v>
      </c>
      <c r="CT157" s="228">
        <v>89</v>
      </c>
      <c r="CU157" s="228">
        <v>-52</v>
      </c>
      <c r="CV157" s="229">
        <v>-0.58350000000000002</v>
      </c>
      <c r="CW157" s="228">
        <v>521</v>
      </c>
      <c r="CX157" s="228">
        <v>824</v>
      </c>
      <c r="CY157" s="228">
        <v>-303</v>
      </c>
      <c r="CZ157" s="229">
        <v>-0.3679</v>
      </c>
      <c r="DA157" s="228">
        <v>29.07</v>
      </c>
      <c r="DB157" s="228">
        <v>30.12</v>
      </c>
      <c r="DC157" s="228">
        <v>-1.05</v>
      </c>
      <c r="DD157" s="228">
        <v>-1.05</v>
      </c>
      <c r="DE157" s="228">
        <v>42.43</v>
      </c>
      <c r="DF157" s="228">
        <v>42.49</v>
      </c>
      <c r="DG157" s="228">
        <v>-13.36</v>
      </c>
      <c r="DH157" s="228">
        <v>-0.06</v>
      </c>
      <c r="DI157" s="228">
        <v>29.41</v>
      </c>
      <c r="DJ157" s="228">
        <v>29.39</v>
      </c>
      <c r="DK157" s="228">
        <v>0.02</v>
      </c>
      <c r="DL157" s="228">
        <v>0.02</v>
      </c>
      <c r="DM157" s="228">
        <v>28.31</v>
      </c>
      <c r="DN157" s="228">
        <v>31.59</v>
      </c>
      <c r="DO157" s="228">
        <v>-3.28</v>
      </c>
      <c r="DP157" s="228">
        <v>-3.28</v>
      </c>
      <c r="DQ157" s="228">
        <v>0.63</v>
      </c>
      <c r="DR157" s="228">
        <v>0.48</v>
      </c>
      <c r="DS157" s="228">
        <v>0.15</v>
      </c>
      <c r="DT157" s="229">
        <v>0.3125</v>
      </c>
      <c r="DU157" s="228">
        <v>90</v>
      </c>
      <c r="DV157" s="228">
        <v>80</v>
      </c>
      <c r="DW157" s="228">
        <v>0.52</v>
      </c>
      <c r="DX157" s="228">
        <v>0.52</v>
      </c>
      <c r="DY157" s="228">
        <v>0</v>
      </c>
      <c r="DZ157" s="229">
        <v>0</v>
      </c>
      <c r="EA157" s="229">
        <v>0.77449999999999997</v>
      </c>
      <c r="EB157" s="230">
        <v>42272000</v>
      </c>
      <c r="EC157" s="229">
        <v>1E-3</v>
      </c>
      <c r="ED157" s="229">
        <v>0.77449999999999997</v>
      </c>
      <c r="EE157" s="228">
        <v>0.14000000000000001</v>
      </c>
      <c r="EF157" s="229">
        <v>1.6999999999999999E-3</v>
      </c>
      <c r="EG157" s="230">
        <v>3634782</v>
      </c>
      <c r="EH157" s="230">
        <v>3780758</v>
      </c>
      <c r="EI157" s="229">
        <v>-3.8600000000000002E-2</v>
      </c>
      <c r="EJ157" s="229">
        <v>0.4723</v>
      </c>
      <c r="EK157" s="228">
        <v>69.42</v>
      </c>
      <c r="EL157" s="228">
        <v>35.299999999999997</v>
      </c>
      <c r="EM157" s="228">
        <v>251.85</v>
      </c>
      <c r="EN157" s="228">
        <v>0</v>
      </c>
      <c r="EO157" s="228">
        <v>356.56</v>
      </c>
      <c r="EP157" s="228">
        <v>369.39</v>
      </c>
      <c r="EQ157" s="228">
        <v>-12.83</v>
      </c>
      <c r="ER157" s="229">
        <v>-3.4700000000000002E-2</v>
      </c>
      <c r="ES157" s="228">
        <v>62.92</v>
      </c>
      <c r="ET157" s="228">
        <v>36.880000000000003</v>
      </c>
      <c r="EU157" s="228">
        <v>425.11</v>
      </c>
      <c r="EV157" s="231">
        <v>654977669</v>
      </c>
      <c r="EW157" s="228">
        <v>524.9</v>
      </c>
      <c r="EX157" s="228">
        <v>848.4</v>
      </c>
      <c r="EY157" s="228">
        <v>-323.5</v>
      </c>
      <c r="EZ157" s="229">
        <v>-0.38129999999999997</v>
      </c>
      <c r="FA157" s="229">
        <v>9.5500000000000002E-2</v>
      </c>
      <c r="FB157" s="227" t="s">
        <v>568</v>
      </c>
      <c r="FC157">
        <f t="shared" si="3"/>
        <v>0</v>
      </c>
    </row>
    <row r="158" spans="1:159" ht="17.25" thickBot="1" x14ac:dyDescent="0.3">
      <c r="A158" s="226">
        <v>45869</v>
      </c>
      <c r="B158" s="227" t="s">
        <v>181</v>
      </c>
      <c r="C158" s="227" t="s">
        <v>266</v>
      </c>
      <c r="D158" s="228">
        <v>75</v>
      </c>
      <c r="E158" s="228">
        <v>0</v>
      </c>
      <c r="F158" s="231">
        <v>24871.599999999999</v>
      </c>
      <c r="G158" s="231">
        <v>24959.1</v>
      </c>
      <c r="H158" s="228">
        <v>-87.5</v>
      </c>
      <c r="I158" s="229">
        <v>-3.5000000000000001E-3</v>
      </c>
      <c r="J158" s="231">
        <v>24768.35</v>
      </c>
      <c r="K158" s="231">
        <v>24855.05</v>
      </c>
      <c r="L158" s="228">
        <v>-86.7</v>
      </c>
      <c r="M158" s="229">
        <v>-3.5000000000000001E-3</v>
      </c>
      <c r="N158" s="231">
        <v>24771.9</v>
      </c>
      <c r="O158" s="231">
        <v>24869.3</v>
      </c>
      <c r="P158" s="228">
        <v>-97.4</v>
      </c>
      <c r="Q158" s="229">
        <v>-3.8999999999999998E-3</v>
      </c>
      <c r="R158" s="231">
        <v>24871.599999999999</v>
      </c>
      <c r="S158" s="231">
        <v>24959.1</v>
      </c>
      <c r="T158" s="228">
        <v>-87.5</v>
      </c>
      <c r="U158" s="229">
        <v>-3.5000000000000001E-3</v>
      </c>
      <c r="V158" s="231">
        <v>25014.7</v>
      </c>
      <c r="W158" s="231">
        <v>25097.1</v>
      </c>
      <c r="X158" s="228">
        <v>-82.4</v>
      </c>
      <c r="Y158" s="229">
        <v>-3.3E-3</v>
      </c>
      <c r="Z158" s="228">
        <v>103.25</v>
      </c>
      <c r="AA158" s="228">
        <v>14.25</v>
      </c>
      <c r="AB158" s="228">
        <v>89</v>
      </c>
      <c r="AC158" s="229">
        <v>4.1999999999999997E-3</v>
      </c>
      <c r="AD158" s="228">
        <v>3.55</v>
      </c>
      <c r="AE158" s="228">
        <v>14.25</v>
      </c>
      <c r="AF158" s="228">
        <v>-10.7</v>
      </c>
      <c r="AG158" s="229">
        <v>1E-4</v>
      </c>
      <c r="AH158" s="228">
        <v>103.25</v>
      </c>
      <c r="AI158" s="228">
        <v>104.05</v>
      </c>
      <c r="AJ158" s="228">
        <v>-0.8</v>
      </c>
      <c r="AK158" s="229">
        <v>4.1999999999999997E-3</v>
      </c>
      <c r="AL158" s="228">
        <v>246.35</v>
      </c>
      <c r="AM158" s="228">
        <v>242.05</v>
      </c>
      <c r="AN158" s="228">
        <v>4.3</v>
      </c>
      <c r="AO158" s="229">
        <v>9.9000000000000008E-3</v>
      </c>
      <c r="AP158" s="231">
        <v>24786.87</v>
      </c>
      <c r="AQ158" s="231">
        <v>24876.29</v>
      </c>
      <c r="AR158" s="228">
        <v>0</v>
      </c>
      <c r="AS158" s="230">
        <v>40249</v>
      </c>
      <c r="AT158" s="230">
        <v>25099</v>
      </c>
      <c r="AU158" s="230">
        <v>15150</v>
      </c>
      <c r="AV158" s="229">
        <v>0.60360000000000003</v>
      </c>
      <c r="AW158" s="230">
        <v>15148</v>
      </c>
      <c r="AX158" s="230">
        <v>12937</v>
      </c>
      <c r="AY158" s="230">
        <v>2211</v>
      </c>
      <c r="AZ158" s="229">
        <v>0.1709</v>
      </c>
      <c r="BA158" s="230">
        <v>23896</v>
      </c>
      <c r="BB158" s="230">
        <v>11531</v>
      </c>
      <c r="BC158" s="230">
        <v>12364</v>
      </c>
      <c r="BD158" s="229">
        <v>1.0722</v>
      </c>
      <c r="BE158" s="230">
        <v>1205</v>
      </c>
      <c r="BF158" s="228">
        <v>631</v>
      </c>
      <c r="BG158" s="228">
        <v>575</v>
      </c>
      <c r="BH158" s="229">
        <v>0.91069999999999995</v>
      </c>
      <c r="BI158" s="230">
        <v>28386843</v>
      </c>
      <c r="BJ158" s="230">
        <v>9964600</v>
      </c>
      <c r="BK158" s="230">
        <v>18422243</v>
      </c>
      <c r="BL158" s="229">
        <v>1.8488</v>
      </c>
      <c r="BM158" s="230">
        <v>26322066</v>
      </c>
      <c r="BN158" s="230">
        <v>8300567</v>
      </c>
      <c r="BO158" s="230">
        <v>18021498</v>
      </c>
      <c r="BP158" s="229">
        <v>2.1711</v>
      </c>
      <c r="BQ158" s="230">
        <v>54749158</v>
      </c>
      <c r="BR158" s="230">
        <v>18290267</v>
      </c>
      <c r="BS158" s="230">
        <v>36458892</v>
      </c>
      <c r="BT158" s="229">
        <v>1.9933000000000001</v>
      </c>
      <c r="BU158" s="228">
        <v>0</v>
      </c>
      <c r="BV158" s="228">
        <v>0</v>
      </c>
      <c r="BW158" s="228">
        <v>0</v>
      </c>
      <c r="BX158" s="229">
        <v>0</v>
      </c>
      <c r="BY158" s="230">
        <v>40921</v>
      </c>
      <c r="BZ158" s="230">
        <v>50632</v>
      </c>
      <c r="CA158" s="230">
        <v>-9711</v>
      </c>
      <c r="CB158" s="229">
        <v>-0.1918</v>
      </c>
      <c r="CC158" s="230">
        <v>13130</v>
      </c>
      <c r="CD158" s="230">
        <v>17403</v>
      </c>
      <c r="CE158" s="230">
        <v>-4273</v>
      </c>
      <c r="CF158" s="229">
        <v>-0.24560000000000001</v>
      </c>
      <c r="CG158" s="230">
        <v>38776</v>
      </c>
      <c r="CH158" s="230">
        <v>31268</v>
      </c>
      <c r="CI158" s="230">
        <v>7509</v>
      </c>
      <c r="CJ158" s="229">
        <v>0.24010000000000001</v>
      </c>
      <c r="CK158" s="230">
        <v>2145</v>
      </c>
      <c r="CL158" s="230">
        <v>1962</v>
      </c>
      <c r="CM158" s="228">
        <v>183</v>
      </c>
      <c r="CN158" s="229">
        <v>9.3399999999999997E-2</v>
      </c>
      <c r="CO158" s="230">
        <v>299307</v>
      </c>
      <c r="CP158" s="230">
        <v>662847</v>
      </c>
      <c r="CQ158" s="230">
        <v>-363540</v>
      </c>
      <c r="CR158" s="229">
        <v>-0.54849999999999999</v>
      </c>
      <c r="CS158" s="230">
        <v>311451</v>
      </c>
      <c r="CT158" s="230">
        <v>578733</v>
      </c>
      <c r="CU158" s="230">
        <v>-267282</v>
      </c>
      <c r="CV158" s="229">
        <v>-0.46179999999999999</v>
      </c>
      <c r="CW158" s="230">
        <v>651679</v>
      </c>
      <c r="CX158" s="230">
        <v>1292212</v>
      </c>
      <c r="CY158" s="230">
        <v>-640533</v>
      </c>
      <c r="CZ158" s="229">
        <v>-0.49569999999999997</v>
      </c>
      <c r="DA158" s="228">
        <v>12.44</v>
      </c>
      <c r="DB158" s="228">
        <v>11.73</v>
      </c>
      <c r="DC158" s="228">
        <v>0.71</v>
      </c>
      <c r="DD158" s="228">
        <v>0.71</v>
      </c>
      <c r="DE158" s="228">
        <v>16.23</v>
      </c>
      <c r="DF158" s="228">
        <v>16.260000000000002</v>
      </c>
      <c r="DG158" s="228">
        <v>-3.79</v>
      </c>
      <c r="DH158" s="228">
        <v>-0.03</v>
      </c>
      <c r="DI158" s="228">
        <v>11.66</v>
      </c>
      <c r="DJ158" s="228">
        <v>11.08</v>
      </c>
      <c r="DK158" s="228">
        <v>0.57999999999999996</v>
      </c>
      <c r="DL158" s="228">
        <v>0.57999999999999996</v>
      </c>
      <c r="DM158" s="228">
        <v>13.29</v>
      </c>
      <c r="DN158" s="228">
        <v>12.52</v>
      </c>
      <c r="DO158" s="228">
        <v>0.77</v>
      </c>
      <c r="DP158" s="228">
        <v>0.77</v>
      </c>
      <c r="DQ158" s="228">
        <v>1.04</v>
      </c>
      <c r="DR158" s="228">
        <v>0.87</v>
      </c>
      <c r="DS158" s="228">
        <v>0.17</v>
      </c>
      <c r="DT158" s="229">
        <v>0.19539999999999999</v>
      </c>
      <c r="DU158" s="231">
        <v>24800</v>
      </c>
      <c r="DV158" s="231">
        <v>24750</v>
      </c>
      <c r="DW158" s="228">
        <v>0.93</v>
      </c>
      <c r="DX158" s="228">
        <v>0.83</v>
      </c>
      <c r="DY158" s="228">
        <v>0.1</v>
      </c>
      <c r="DZ158" s="229">
        <v>0.1205</v>
      </c>
      <c r="EA158" s="229">
        <v>0.7571</v>
      </c>
      <c r="EB158" s="230">
        <v>13360350</v>
      </c>
      <c r="EC158" s="229">
        <v>4.0000000000000001E-3</v>
      </c>
      <c r="ED158" s="229">
        <v>0.7571</v>
      </c>
      <c r="EE158" s="228">
        <v>89.42</v>
      </c>
      <c r="EF158" s="229">
        <v>3.5999999999999999E-3</v>
      </c>
      <c r="EG158" s="228">
        <v>0</v>
      </c>
      <c r="EH158" s="228">
        <v>0</v>
      </c>
      <c r="EI158" s="229">
        <v>0</v>
      </c>
      <c r="EJ158" s="229">
        <v>0</v>
      </c>
      <c r="EK158" s="231">
        <v>28541970.850000001</v>
      </c>
      <c r="EL158" s="231">
        <v>26082732.379999999</v>
      </c>
      <c r="EM158" s="231">
        <v>40208.79</v>
      </c>
      <c r="EN158" s="228">
        <v>0</v>
      </c>
      <c r="EO158" s="231">
        <v>54664912.030000001</v>
      </c>
      <c r="EP158" s="231">
        <v>18329730.129999999</v>
      </c>
      <c r="EQ158" s="231">
        <v>36335181.890000001</v>
      </c>
      <c r="ER158" s="229">
        <v>1.9823</v>
      </c>
      <c r="ES158" s="231">
        <v>307475.96000000002</v>
      </c>
      <c r="ET158" s="231">
        <v>303570.25</v>
      </c>
      <c r="EU158" s="231">
        <v>40933.71</v>
      </c>
      <c r="EV158" s="228">
        <v>0</v>
      </c>
      <c r="EW158" s="231">
        <v>651979.92000000004</v>
      </c>
      <c r="EX158" s="231">
        <v>1296549.44</v>
      </c>
      <c r="EY158" s="231">
        <v>-644569.52</v>
      </c>
      <c r="EZ158" s="229">
        <v>-0.49709999999999999</v>
      </c>
      <c r="FA158" s="229">
        <v>0</v>
      </c>
      <c r="FB158" s="227" t="s">
        <v>568</v>
      </c>
      <c r="FC158">
        <f t="shared" si="3"/>
        <v>0</v>
      </c>
    </row>
    <row r="159" spans="1:159" ht="17.25" thickBot="1" x14ac:dyDescent="0.3">
      <c r="A159" s="226">
        <v>45869</v>
      </c>
      <c r="B159" s="227" t="s">
        <v>181</v>
      </c>
      <c r="C159" s="227" t="s">
        <v>566</v>
      </c>
      <c r="D159" s="228">
        <v>25</v>
      </c>
      <c r="E159" s="228">
        <v>0</v>
      </c>
      <c r="F159" s="231">
        <v>67228.2</v>
      </c>
      <c r="G159" s="231">
        <v>67632.2</v>
      </c>
      <c r="H159" s="228">
        <v>-404</v>
      </c>
      <c r="I159" s="229">
        <v>-6.0000000000000001E-3</v>
      </c>
      <c r="J159" s="231">
        <v>67096.149999999994</v>
      </c>
      <c r="K159" s="231">
        <v>67435.149999999994</v>
      </c>
      <c r="L159" s="228">
        <v>-339</v>
      </c>
      <c r="M159" s="229">
        <v>-5.0000000000000001E-3</v>
      </c>
      <c r="N159" s="231">
        <v>67044.800000000003</v>
      </c>
      <c r="O159" s="231">
        <v>67406.2</v>
      </c>
      <c r="P159" s="228">
        <v>-361.4</v>
      </c>
      <c r="Q159" s="229">
        <v>-5.4000000000000003E-3</v>
      </c>
      <c r="R159" s="231">
        <v>67228.2</v>
      </c>
      <c r="S159" s="231">
        <v>67632.2</v>
      </c>
      <c r="T159" s="228">
        <v>-404</v>
      </c>
      <c r="U159" s="229">
        <v>-6.0000000000000001E-3</v>
      </c>
      <c r="V159" s="231">
        <v>67615.399999999994</v>
      </c>
      <c r="W159" s="231">
        <v>68250</v>
      </c>
      <c r="X159" s="228">
        <v>-634.6</v>
      </c>
      <c r="Y159" s="229">
        <v>-9.2999999999999992E-3</v>
      </c>
      <c r="Z159" s="228">
        <v>132.05000000000001</v>
      </c>
      <c r="AA159" s="228">
        <v>-28.95</v>
      </c>
      <c r="AB159" s="228">
        <v>161</v>
      </c>
      <c r="AC159" s="229">
        <v>2E-3</v>
      </c>
      <c r="AD159" s="228">
        <v>-51.35</v>
      </c>
      <c r="AE159" s="228">
        <v>-28.95</v>
      </c>
      <c r="AF159" s="228">
        <v>-22.4</v>
      </c>
      <c r="AG159" s="229">
        <v>-8.0000000000000004E-4</v>
      </c>
      <c r="AH159" s="228">
        <v>132.05000000000001</v>
      </c>
      <c r="AI159" s="228">
        <v>197.05</v>
      </c>
      <c r="AJ159" s="228">
        <v>-65</v>
      </c>
      <c r="AK159" s="229">
        <v>2E-3</v>
      </c>
      <c r="AL159" s="228">
        <v>519.25</v>
      </c>
      <c r="AM159" s="228">
        <v>814.85</v>
      </c>
      <c r="AN159" s="228">
        <v>-295.60000000000002</v>
      </c>
      <c r="AO159" s="229">
        <v>7.7000000000000002E-3</v>
      </c>
      <c r="AP159" s="231">
        <v>67116.17</v>
      </c>
      <c r="AQ159" s="231">
        <v>67278.16</v>
      </c>
      <c r="AR159" s="228">
        <v>0</v>
      </c>
      <c r="AS159" s="228">
        <v>163</v>
      </c>
      <c r="AT159" s="228">
        <v>70</v>
      </c>
      <c r="AU159" s="228">
        <v>92</v>
      </c>
      <c r="AV159" s="229">
        <v>1.3103</v>
      </c>
      <c r="AW159" s="228">
        <v>75</v>
      </c>
      <c r="AX159" s="228">
        <v>33</v>
      </c>
      <c r="AY159" s="228">
        <v>43</v>
      </c>
      <c r="AZ159" s="229">
        <v>1.2907999999999999</v>
      </c>
      <c r="BA159" s="228">
        <v>84</v>
      </c>
      <c r="BB159" s="228">
        <v>37</v>
      </c>
      <c r="BC159" s="228">
        <v>47</v>
      </c>
      <c r="BD159" s="229">
        <v>1.2523</v>
      </c>
      <c r="BE159" s="228">
        <v>3</v>
      </c>
      <c r="BF159" s="228">
        <v>0</v>
      </c>
      <c r="BG159" s="228">
        <v>3</v>
      </c>
      <c r="BH159" s="229">
        <v>18</v>
      </c>
      <c r="BI159" s="230">
        <v>1805</v>
      </c>
      <c r="BJ159" s="228">
        <v>484</v>
      </c>
      <c r="BK159" s="230">
        <v>1321</v>
      </c>
      <c r="BL159" s="229">
        <v>2.7307000000000001</v>
      </c>
      <c r="BM159" s="230">
        <v>1348</v>
      </c>
      <c r="BN159" s="228">
        <v>152</v>
      </c>
      <c r="BO159" s="230">
        <v>1196</v>
      </c>
      <c r="BP159" s="229">
        <v>7.8543000000000003</v>
      </c>
      <c r="BQ159" s="230">
        <v>3316</v>
      </c>
      <c r="BR159" s="228">
        <v>706</v>
      </c>
      <c r="BS159" s="230">
        <v>2609</v>
      </c>
      <c r="BT159" s="229">
        <v>3.6936</v>
      </c>
      <c r="BU159" s="228">
        <v>0</v>
      </c>
      <c r="BV159" s="228">
        <v>0</v>
      </c>
      <c r="BW159" s="228">
        <v>0</v>
      </c>
      <c r="BX159" s="229">
        <v>0</v>
      </c>
      <c r="BY159" s="228">
        <v>137</v>
      </c>
      <c r="BZ159" s="228">
        <v>169</v>
      </c>
      <c r="CA159" s="228">
        <v>-32</v>
      </c>
      <c r="CB159" s="229">
        <v>-0.19170000000000001</v>
      </c>
      <c r="CC159" s="228">
        <v>25</v>
      </c>
      <c r="CD159" s="228">
        <v>52</v>
      </c>
      <c r="CE159" s="228">
        <v>-27</v>
      </c>
      <c r="CF159" s="229">
        <v>-0.51780000000000004</v>
      </c>
      <c r="CG159" s="228">
        <v>134</v>
      </c>
      <c r="CH159" s="228">
        <v>116</v>
      </c>
      <c r="CI159" s="228">
        <v>18</v>
      </c>
      <c r="CJ159" s="229">
        <v>0.15379999999999999</v>
      </c>
      <c r="CK159" s="228">
        <v>3</v>
      </c>
      <c r="CL159" s="228">
        <v>2</v>
      </c>
      <c r="CM159" s="228">
        <v>2</v>
      </c>
      <c r="CN159" s="229">
        <v>1.1111</v>
      </c>
      <c r="CO159" s="228">
        <v>0</v>
      </c>
      <c r="CP159" s="228">
        <v>162</v>
      </c>
      <c r="CQ159" s="228">
        <v>-162</v>
      </c>
      <c r="CR159" s="229">
        <v>-1</v>
      </c>
      <c r="CS159" s="228">
        <v>1</v>
      </c>
      <c r="CT159" s="228">
        <v>87</v>
      </c>
      <c r="CU159" s="228">
        <v>-86</v>
      </c>
      <c r="CV159" s="229">
        <v>-0.99419999999999997</v>
      </c>
      <c r="CW159" s="228">
        <v>137</v>
      </c>
      <c r="CX159" s="228">
        <v>418</v>
      </c>
      <c r="CY159" s="228">
        <v>-281</v>
      </c>
      <c r="CZ159" s="229">
        <v>-0.67149999999999999</v>
      </c>
      <c r="DA159" s="228">
        <v>13.63</v>
      </c>
      <c r="DB159" s="228">
        <v>23.04</v>
      </c>
      <c r="DC159" s="228">
        <v>-9.41</v>
      </c>
      <c r="DD159" s="228">
        <v>-9.41</v>
      </c>
      <c r="DE159" s="228">
        <v>23</v>
      </c>
      <c r="DF159" s="228">
        <v>23.04</v>
      </c>
      <c r="DG159" s="228">
        <v>-9.3699999999999992</v>
      </c>
      <c r="DH159" s="228">
        <v>-0.04</v>
      </c>
      <c r="DI159" s="228">
        <v>13.63</v>
      </c>
      <c r="DJ159" s="228">
        <v>23.04</v>
      </c>
      <c r="DK159" s="228">
        <v>-9.41</v>
      </c>
      <c r="DL159" s="228">
        <v>-9.41</v>
      </c>
      <c r="DM159" s="228">
        <v>13.63</v>
      </c>
      <c r="DN159" s="228">
        <v>23.04</v>
      </c>
      <c r="DO159" s="228">
        <v>-9.41</v>
      </c>
      <c r="DP159" s="228">
        <v>-9.41</v>
      </c>
      <c r="DQ159" s="228">
        <v>0</v>
      </c>
      <c r="DR159" s="228">
        <v>0.54</v>
      </c>
      <c r="DS159" s="228">
        <v>-0.54</v>
      </c>
      <c r="DT159" s="229">
        <v>-1</v>
      </c>
      <c r="DU159" s="231">
        <v>67100</v>
      </c>
      <c r="DV159" s="231">
        <v>67000</v>
      </c>
      <c r="DW159" s="228">
        <v>0.75</v>
      </c>
      <c r="DX159" s="228">
        <v>0.31</v>
      </c>
      <c r="DY159" s="228">
        <v>0.44</v>
      </c>
      <c r="DZ159" s="229">
        <v>1.4194</v>
      </c>
      <c r="EA159" s="229">
        <v>0.84530000000000005</v>
      </c>
      <c r="EB159" s="230">
        <v>17450</v>
      </c>
      <c r="EC159" s="229">
        <v>2.7000000000000001E-3</v>
      </c>
      <c r="ED159" s="229">
        <v>0.84530000000000005</v>
      </c>
      <c r="EE159" s="228">
        <v>161.99</v>
      </c>
      <c r="EF159" s="229">
        <v>2.3999999999999998E-3</v>
      </c>
      <c r="EG159" s="228">
        <v>0</v>
      </c>
      <c r="EH159" s="228">
        <v>0</v>
      </c>
      <c r="EI159" s="229">
        <v>0</v>
      </c>
      <c r="EJ159" s="229">
        <v>0</v>
      </c>
      <c r="EK159" s="231">
        <v>1820.14</v>
      </c>
      <c r="EL159" s="231">
        <v>1336.28</v>
      </c>
      <c r="EM159" s="228">
        <v>162.65</v>
      </c>
      <c r="EN159" s="228">
        <v>0</v>
      </c>
      <c r="EO159" s="231">
        <v>3319.07</v>
      </c>
      <c r="EP159" s="228">
        <v>715.56</v>
      </c>
      <c r="EQ159" s="231">
        <v>2603.5100000000002</v>
      </c>
      <c r="ER159" s="229">
        <v>3.6383999999999999</v>
      </c>
      <c r="ES159" s="228">
        <v>0</v>
      </c>
      <c r="ET159" s="228">
        <v>0.52</v>
      </c>
      <c r="EU159" s="228">
        <v>136.83000000000001</v>
      </c>
      <c r="EV159" s="228">
        <v>0</v>
      </c>
      <c r="EW159" s="228">
        <v>137.35</v>
      </c>
      <c r="EX159" s="228">
        <v>421.94</v>
      </c>
      <c r="EY159" s="228">
        <v>-284.58999999999997</v>
      </c>
      <c r="EZ159" s="229">
        <v>-0.67449999999999999</v>
      </c>
      <c r="FA159" s="229">
        <v>0</v>
      </c>
      <c r="FB159" s="227" t="s">
        <v>568</v>
      </c>
      <c r="FC159">
        <f t="shared" si="3"/>
        <v>0</v>
      </c>
    </row>
    <row r="160" spans="1:159" ht="17.25" thickBot="1" x14ac:dyDescent="0.3">
      <c r="A160" s="226">
        <v>45869</v>
      </c>
      <c r="B160" s="227" t="s">
        <v>227</v>
      </c>
      <c r="C160" s="227" t="s">
        <v>267</v>
      </c>
      <c r="D160" s="228">
        <v>13500</v>
      </c>
      <c r="E160" s="228">
        <v>0</v>
      </c>
      <c r="F160" s="228">
        <v>70.040000000000006</v>
      </c>
      <c r="G160" s="228">
        <v>71.760000000000005</v>
      </c>
      <c r="H160" s="228">
        <v>-1.72</v>
      </c>
      <c r="I160" s="229">
        <v>-2.4E-2</v>
      </c>
      <c r="J160" s="228">
        <v>70.790000000000006</v>
      </c>
      <c r="K160" s="228">
        <v>72.06</v>
      </c>
      <c r="L160" s="228">
        <v>-1.27</v>
      </c>
      <c r="M160" s="229">
        <v>-1.7600000000000001E-2</v>
      </c>
      <c r="N160" s="228">
        <v>70.78</v>
      </c>
      <c r="O160" s="228">
        <v>72.03</v>
      </c>
      <c r="P160" s="228">
        <v>-1.25</v>
      </c>
      <c r="Q160" s="229">
        <v>-1.7399999999999999E-2</v>
      </c>
      <c r="R160" s="228">
        <v>70.040000000000006</v>
      </c>
      <c r="S160" s="228">
        <v>71.760000000000005</v>
      </c>
      <c r="T160" s="228">
        <v>-1.72</v>
      </c>
      <c r="U160" s="229">
        <v>-2.4E-2</v>
      </c>
      <c r="V160" s="228">
        <v>70.44</v>
      </c>
      <c r="W160" s="228">
        <v>71.78</v>
      </c>
      <c r="X160" s="228">
        <v>-1.34</v>
      </c>
      <c r="Y160" s="229">
        <v>-1.8700000000000001E-2</v>
      </c>
      <c r="Z160" s="228">
        <v>-0.75</v>
      </c>
      <c r="AA160" s="228">
        <v>-0.03</v>
      </c>
      <c r="AB160" s="228">
        <v>-0.72</v>
      </c>
      <c r="AC160" s="229">
        <v>-1.06E-2</v>
      </c>
      <c r="AD160" s="228">
        <v>-0.01</v>
      </c>
      <c r="AE160" s="228">
        <v>-0.03</v>
      </c>
      <c r="AF160" s="228">
        <v>0.02</v>
      </c>
      <c r="AG160" s="229">
        <v>-1E-4</v>
      </c>
      <c r="AH160" s="228">
        <v>-0.75</v>
      </c>
      <c r="AI160" s="228">
        <v>-0.3</v>
      </c>
      <c r="AJ160" s="228">
        <v>-0.45</v>
      </c>
      <c r="AK160" s="229">
        <v>-1.06E-2</v>
      </c>
      <c r="AL160" s="228">
        <v>-0.35</v>
      </c>
      <c r="AM160" s="228">
        <v>-0.28000000000000003</v>
      </c>
      <c r="AN160" s="228">
        <v>-7.0000000000000007E-2</v>
      </c>
      <c r="AO160" s="229">
        <v>-4.8999999999999998E-3</v>
      </c>
      <c r="AP160" s="228">
        <v>71.12</v>
      </c>
      <c r="AQ160" s="228">
        <v>70.5</v>
      </c>
      <c r="AR160" s="228">
        <v>0</v>
      </c>
      <c r="AS160" s="230">
        <v>1683</v>
      </c>
      <c r="AT160" s="228">
        <v>776</v>
      </c>
      <c r="AU160" s="228">
        <v>907</v>
      </c>
      <c r="AV160" s="229">
        <v>1.1689000000000001</v>
      </c>
      <c r="AW160" s="228">
        <v>788</v>
      </c>
      <c r="AX160" s="228">
        <v>384</v>
      </c>
      <c r="AY160" s="228">
        <v>404</v>
      </c>
      <c r="AZ160" s="229">
        <v>1.0527</v>
      </c>
      <c r="BA160" s="228">
        <v>872</v>
      </c>
      <c r="BB160" s="228">
        <v>375</v>
      </c>
      <c r="BC160" s="228">
        <v>496</v>
      </c>
      <c r="BD160" s="229">
        <v>1.3228</v>
      </c>
      <c r="BE160" s="228">
        <v>23</v>
      </c>
      <c r="BF160" s="228">
        <v>17</v>
      </c>
      <c r="BG160" s="228">
        <v>6</v>
      </c>
      <c r="BH160" s="229">
        <v>0.38069999999999998</v>
      </c>
      <c r="BI160" s="228">
        <v>536</v>
      </c>
      <c r="BJ160" s="228">
        <v>410</v>
      </c>
      <c r="BK160" s="228">
        <v>126</v>
      </c>
      <c r="BL160" s="229">
        <v>0.30609999999999998</v>
      </c>
      <c r="BM160" s="228">
        <v>426</v>
      </c>
      <c r="BN160" s="228">
        <v>268</v>
      </c>
      <c r="BO160" s="228">
        <v>158</v>
      </c>
      <c r="BP160" s="229">
        <v>0.5897</v>
      </c>
      <c r="BQ160" s="230">
        <v>2645</v>
      </c>
      <c r="BR160" s="230">
        <v>1454</v>
      </c>
      <c r="BS160" s="230">
        <v>1191</v>
      </c>
      <c r="BT160" s="229">
        <v>0.81869999999999998</v>
      </c>
      <c r="BU160" s="230">
        <v>18319761</v>
      </c>
      <c r="BV160" s="230">
        <v>11405302</v>
      </c>
      <c r="BW160" s="230">
        <v>6914459</v>
      </c>
      <c r="BX160" s="229">
        <v>0.60619999999999996</v>
      </c>
      <c r="BY160" s="230">
        <v>1681</v>
      </c>
      <c r="BZ160" s="230">
        <v>2256</v>
      </c>
      <c r="CA160" s="228">
        <v>-575</v>
      </c>
      <c r="CB160" s="229">
        <v>-0.25490000000000002</v>
      </c>
      <c r="CC160" s="228">
        <v>234</v>
      </c>
      <c r="CD160" s="228">
        <v>784</v>
      </c>
      <c r="CE160" s="228">
        <v>-550</v>
      </c>
      <c r="CF160" s="229">
        <v>-0.7016</v>
      </c>
      <c r="CG160" s="230">
        <v>1399</v>
      </c>
      <c r="CH160" s="230">
        <v>1190</v>
      </c>
      <c r="CI160" s="228">
        <v>209</v>
      </c>
      <c r="CJ160" s="229">
        <v>0.17580000000000001</v>
      </c>
      <c r="CK160" s="228">
        <v>281</v>
      </c>
      <c r="CL160" s="228">
        <v>281</v>
      </c>
      <c r="CM160" s="228">
        <v>0</v>
      </c>
      <c r="CN160" s="229">
        <v>0</v>
      </c>
      <c r="CO160" s="228">
        <v>486</v>
      </c>
      <c r="CP160" s="228">
        <v>898</v>
      </c>
      <c r="CQ160" s="228">
        <v>-412</v>
      </c>
      <c r="CR160" s="229">
        <v>-0.4587</v>
      </c>
      <c r="CS160" s="228">
        <v>430</v>
      </c>
      <c r="CT160" s="228">
        <v>773</v>
      </c>
      <c r="CU160" s="228">
        <v>-343</v>
      </c>
      <c r="CV160" s="229">
        <v>-0.44390000000000002</v>
      </c>
      <c r="CW160" s="230">
        <v>2597</v>
      </c>
      <c r="CX160" s="230">
        <v>3928</v>
      </c>
      <c r="CY160" s="230">
        <v>-1330</v>
      </c>
      <c r="CZ160" s="229">
        <v>-0.33879999999999999</v>
      </c>
      <c r="DA160" s="228">
        <v>28.7</v>
      </c>
      <c r="DB160" s="228">
        <v>27.98</v>
      </c>
      <c r="DC160" s="228">
        <v>0.72</v>
      </c>
      <c r="DD160" s="228">
        <v>0.72</v>
      </c>
      <c r="DE160" s="228">
        <v>42.47</v>
      </c>
      <c r="DF160" s="228">
        <v>42.45</v>
      </c>
      <c r="DG160" s="228">
        <v>-13.77</v>
      </c>
      <c r="DH160" s="228">
        <v>0.02</v>
      </c>
      <c r="DI160" s="228">
        <v>29.71</v>
      </c>
      <c r="DJ160" s="228">
        <v>28.65</v>
      </c>
      <c r="DK160" s="228">
        <v>1.06</v>
      </c>
      <c r="DL160" s="228">
        <v>1.06</v>
      </c>
      <c r="DM160" s="228">
        <v>27.35</v>
      </c>
      <c r="DN160" s="228">
        <v>27.14</v>
      </c>
      <c r="DO160" s="228">
        <v>0.21</v>
      </c>
      <c r="DP160" s="228">
        <v>0.21</v>
      </c>
      <c r="DQ160" s="228">
        <v>0.88</v>
      </c>
      <c r="DR160" s="228">
        <v>0.86</v>
      </c>
      <c r="DS160" s="228">
        <v>0.02</v>
      </c>
      <c r="DT160" s="229">
        <v>2.3300000000000001E-2</v>
      </c>
      <c r="DU160" s="228">
        <v>80</v>
      </c>
      <c r="DV160" s="228">
        <v>71</v>
      </c>
      <c r="DW160" s="228">
        <v>0.8</v>
      </c>
      <c r="DX160" s="228">
        <v>0.65</v>
      </c>
      <c r="DY160" s="228">
        <v>0.15</v>
      </c>
      <c r="DZ160" s="229">
        <v>0.23080000000000001</v>
      </c>
      <c r="EA160" s="229">
        <v>0.87780000000000002</v>
      </c>
      <c r="EB160" s="230">
        <v>210087000</v>
      </c>
      <c r="EC160" s="229">
        <v>-1.0500000000000001E-2</v>
      </c>
      <c r="ED160" s="229">
        <v>0.87780000000000002</v>
      </c>
      <c r="EE160" s="228">
        <v>-0.62</v>
      </c>
      <c r="EF160" s="229">
        <v>-8.6999999999999994E-3</v>
      </c>
      <c r="EG160" s="230">
        <v>11537899</v>
      </c>
      <c r="EH160" s="230">
        <v>6257335</v>
      </c>
      <c r="EI160" s="229">
        <v>0.84389999999999998</v>
      </c>
      <c r="EJ160" s="229">
        <v>0.62980000000000003</v>
      </c>
      <c r="EK160" s="228">
        <v>569.86</v>
      </c>
      <c r="EL160" s="228">
        <v>441.59</v>
      </c>
      <c r="EM160" s="231">
        <v>1700.7</v>
      </c>
      <c r="EN160" s="228">
        <v>0</v>
      </c>
      <c r="EO160" s="231">
        <v>2712.15</v>
      </c>
      <c r="EP160" s="231">
        <v>1509.14</v>
      </c>
      <c r="EQ160" s="231">
        <v>1203.02</v>
      </c>
      <c r="ER160" s="229">
        <v>0.79720000000000002</v>
      </c>
      <c r="ES160" s="228">
        <v>524.73</v>
      </c>
      <c r="ET160" s="228">
        <v>438.38</v>
      </c>
      <c r="EU160" s="231">
        <v>1682.3</v>
      </c>
      <c r="EV160" s="231">
        <v>689383367</v>
      </c>
      <c r="EW160" s="231">
        <v>2645.42</v>
      </c>
      <c r="EX160" s="231">
        <v>4054.75</v>
      </c>
      <c r="EY160" s="231">
        <v>-1409.33</v>
      </c>
      <c r="EZ160" s="229">
        <v>-0.34760000000000002</v>
      </c>
      <c r="FA160" s="229">
        <v>0.53790000000000004</v>
      </c>
      <c r="FB160" s="227" t="s">
        <v>568</v>
      </c>
      <c r="FC160">
        <f t="shared" si="3"/>
        <v>0</v>
      </c>
    </row>
    <row r="161" spans="1:159" ht="17.25" thickBot="1" x14ac:dyDescent="0.3">
      <c r="A161" s="226">
        <v>45869</v>
      </c>
      <c r="B161" s="227" t="s">
        <v>161</v>
      </c>
      <c r="C161" s="227" t="s">
        <v>268</v>
      </c>
      <c r="D161" s="228">
        <v>1500</v>
      </c>
      <c r="E161" s="228">
        <v>0</v>
      </c>
      <c r="F161" s="228">
        <v>335.8</v>
      </c>
      <c r="G161" s="228">
        <v>340.8</v>
      </c>
      <c r="H161" s="228">
        <v>-5</v>
      </c>
      <c r="I161" s="229">
        <v>-1.47E-2</v>
      </c>
      <c r="J161" s="228">
        <v>334.25</v>
      </c>
      <c r="K161" s="228">
        <v>338.8</v>
      </c>
      <c r="L161" s="228">
        <v>-4.55</v>
      </c>
      <c r="M161" s="229">
        <v>-1.34E-2</v>
      </c>
      <c r="N161" s="228">
        <v>334.55</v>
      </c>
      <c r="O161" s="228">
        <v>338.95</v>
      </c>
      <c r="P161" s="228">
        <v>-4.4000000000000004</v>
      </c>
      <c r="Q161" s="229">
        <v>-1.2999999999999999E-2</v>
      </c>
      <c r="R161" s="228">
        <v>335.8</v>
      </c>
      <c r="S161" s="228">
        <v>340.8</v>
      </c>
      <c r="T161" s="228">
        <v>-5</v>
      </c>
      <c r="U161" s="229">
        <v>-1.47E-2</v>
      </c>
      <c r="V161" s="228">
        <v>334.9</v>
      </c>
      <c r="W161" s="228">
        <v>339.4</v>
      </c>
      <c r="X161" s="228">
        <v>-4.5</v>
      </c>
      <c r="Y161" s="229">
        <v>-1.3299999999999999E-2</v>
      </c>
      <c r="Z161" s="228">
        <v>1.55</v>
      </c>
      <c r="AA161" s="228">
        <v>0.15</v>
      </c>
      <c r="AB161" s="228">
        <v>1.4</v>
      </c>
      <c r="AC161" s="229">
        <v>4.5999999999999999E-3</v>
      </c>
      <c r="AD161" s="228">
        <v>0.3</v>
      </c>
      <c r="AE161" s="228">
        <v>0.15</v>
      </c>
      <c r="AF161" s="228">
        <v>0.15</v>
      </c>
      <c r="AG161" s="229">
        <v>8.9999999999999998E-4</v>
      </c>
      <c r="AH161" s="228">
        <v>1.55</v>
      </c>
      <c r="AI161" s="228">
        <v>2</v>
      </c>
      <c r="AJ161" s="228">
        <v>-0.45</v>
      </c>
      <c r="AK161" s="229">
        <v>4.5999999999999999E-3</v>
      </c>
      <c r="AL161" s="228">
        <v>0.65</v>
      </c>
      <c r="AM161" s="228">
        <v>0.6</v>
      </c>
      <c r="AN161" s="228">
        <v>0.05</v>
      </c>
      <c r="AO161" s="229">
        <v>1.9E-3</v>
      </c>
      <c r="AP161" s="228">
        <v>337.48</v>
      </c>
      <c r="AQ161" s="228">
        <v>338.6</v>
      </c>
      <c r="AR161" s="228">
        <v>0</v>
      </c>
      <c r="AS161" s="230">
        <v>1151</v>
      </c>
      <c r="AT161" s="230">
        <v>2236</v>
      </c>
      <c r="AU161" s="230">
        <v>-1085</v>
      </c>
      <c r="AV161" s="229">
        <v>-0.48530000000000001</v>
      </c>
      <c r="AW161" s="228">
        <v>462</v>
      </c>
      <c r="AX161" s="230">
        <v>1025</v>
      </c>
      <c r="AY161" s="228">
        <v>-563</v>
      </c>
      <c r="AZ161" s="229">
        <v>-0.54930000000000001</v>
      </c>
      <c r="BA161" s="228">
        <v>673</v>
      </c>
      <c r="BB161" s="230">
        <v>1176</v>
      </c>
      <c r="BC161" s="228">
        <v>-503</v>
      </c>
      <c r="BD161" s="229">
        <v>-0.42770000000000002</v>
      </c>
      <c r="BE161" s="228">
        <v>16</v>
      </c>
      <c r="BF161" s="228">
        <v>36</v>
      </c>
      <c r="BG161" s="228">
        <v>-19</v>
      </c>
      <c r="BH161" s="229">
        <v>-0.5444</v>
      </c>
      <c r="BI161" s="228">
        <v>666</v>
      </c>
      <c r="BJ161" s="230">
        <v>3746</v>
      </c>
      <c r="BK161" s="230">
        <v>-3080</v>
      </c>
      <c r="BL161" s="229">
        <v>-0.82230000000000003</v>
      </c>
      <c r="BM161" s="228">
        <v>561</v>
      </c>
      <c r="BN161" s="230">
        <v>1531</v>
      </c>
      <c r="BO161" s="228">
        <v>-969</v>
      </c>
      <c r="BP161" s="229">
        <v>-0.63319999999999999</v>
      </c>
      <c r="BQ161" s="230">
        <v>2378</v>
      </c>
      <c r="BR161" s="230">
        <v>7513</v>
      </c>
      <c r="BS161" s="230">
        <v>-5135</v>
      </c>
      <c r="BT161" s="229">
        <v>-0.6835</v>
      </c>
      <c r="BU161" s="230">
        <v>9258055</v>
      </c>
      <c r="BV161" s="230">
        <v>13053485</v>
      </c>
      <c r="BW161" s="230">
        <v>-3795430</v>
      </c>
      <c r="BX161" s="229">
        <v>-0.2908</v>
      </c>
      <c r="BY161" s="230">
        <v>3465</v>
      </c>
      <c r="BZ161" s="230">
        <v>3739</v>
      </c>
      <c r="CA161" s="228">
        <v>-274</v>
      </c>
      <c r="CB161" s="229">
        <v>-7.3400000000000007E-2</v>
      </c>
      <c r="CC161" s="228">
        <v>152</v>
      </c>
      <c r="CD161" s="228">
        <v>414</v>
      </c>
      <c r="CE161" s="228">
        <v>-262</v>
      </c>
      <c r="CF161" s="229">
        <v>-0.63349999999999995</v>
      </c>
      <c r="CG161" s="230">
        <v>3423</v>
      </c>
      <c r="CH161" s="230">
        <v>3290</v>
      </c>
      <c r="CI161" s="228">
        <v>133</v>
      </c>
      <c r="CJ161" s="229">
        <v>4.0399999999999998E-2</v>
      </c>
      <c r="CK161" s="228">
        <v>42</v>
      </c>
      <c r="CL161" s="228">
        <v>35</v>
      </c>
      <c r="CM161" s="228">
        <v>6</v>
      </c>
      <c r="CN161" s="229">
        <v>0.1817</v>
      </c>
      <c r="CO161" s="228">
        <v>374</v>
      </c>
      <c r="CP161" s="230">
        <v>2531</v>
      </c>
      <c r="CQ161" s="230">
        <v>-2157</v>
      </c>
      <c r="CR161" s="229">
        <v>-0.85229999999999995</v>
      </c>
      <c r="CS161" s="228">
        <v>330</v>
      </c>
      <c r="CT161" s="228">
        <v>792</v>
      </c>
      <c r="CU161" s="228">
        <v>-462</v>
      </c>
      <c r="CV161" s="229">
        <v>-0.58320000000000005</v>
      </c>
      <c r="CW161" s="230">
        <v>4169</v>
      </c>
      <c r="CX161" s="230">
        <v>7061</v>
      </c>
      <c r="CY161" s="230">
        <v>-2893</v>
      </c>
      <c r="CZ161" s="229">
        <v>-0.40970000000000001</v>
      </c>
      <c r="DA161" s="228">
        <v>19.96</v>
      </c>
      <c r="DB161" s="228">
        <v>20.97</v>
      </c>
      <c r="DC161" s="228">
        <v>-1.01</v>
      </c>
      <c r="DD161" s="228">
        <v>-1.01</v>
      </c>
      <c r="DE161" s="228">
        <v>31.32</v>
      </c>
      <c r="DF161" s="228">
        <v>31.34</v>
      </c>
      <c r="DG161" s="228">
        <v>-11.36</v>
      </c>
      <c r="DH161" s="228">
        <v>-0.02</v>
      </c>
      <c r="DI161" s="228">
        <v>20</v>
      </c>
      <c r="DJ161" s="228">
        <v>20.37</v>
      </c>
      <c r="DK161" s="228">
        <v>-0.37</v>
      </c>
      <c r="DL161" s="228">
        <v>-0.37</v>
      </c>
      <c r="DM161" s="228">
        <v>19.920000000000002</v>
      </c>
      <c r="DN161" s="228">
        <v>21.9</v>
      </c>
      <c r="DO161" s="228">
        <v>-1.98</v>
      </c>
      <c r="DP161" s="228">
        <v>-1.98</v>
      </c>
      <c r="DQ161" s="228">
        <v>0.88</v>
      </c>
      <c r="DR161" s="228">
        <v>0.31</v>
      </c>
      <c r="DS161" s="228">
        <v>0.56999999999999995</v>
      </c>
      <c r="DT161" s="229">
        <v>1.8387</v>
      </c>
      <c r="DU161" s="228">
        <v>345</v>
      </c>
      <c r="DV161" s="228">
        <v>380</v>
      </c>
      <c r="DW161" s="228">
        <v>0.84</v>
      </c>
      <c r="DX161" s="228">
        <v>0.41</v>
      </c>
      <c r="DY161" s="228">
        <v>0.43</v>
      </c>
      <c r="DZ161" s="229">
        <v>1.0488</v>
      </c>
      <c r="EA161" s="229">
        <v>0.95809999999999995</v>
      </c>
      <c r="EB161" s="230">
        <v>99030000</v>
      </c>
      <c r="EC161" s="229">
        <v>3.7000000000000002E-3</v>
      </c>
      <c r="ED161" s="229">
        <v>0.95809999999999995</v>
      </c>
      <c r="EE161" s="228">
        <v>1.1200000000000001</v>
      </c>
      <c r="EF161" s="229">
        <v>3.3E-3</v>
      </c>
      <c r="EG161" s="230">
        <v>5950338</v>
      </c>
      <c r="EH161" s="230">
        <v>6216523</v>
      </c>
      <c r="EI161" s="229">
        <v>-4.2799999999999998E-2</v>
      </c>
      <c r="EJ161" s="229">
        <v>0.64270000000000005</v>
      </c>
      <c r="EK161" s="228">
        <v>690.9</v>
      </c>
      <c r="EL161" s="228">
        <v>559.87</v>
      </c>
      <c r="EM161" s="231">
        <v>1158.8800000000001</v>
      </c>
      <c r="EN161" s="228">
        <v>0</v>
      </c>
      <c r="EO161" s="231">
        <v>2409.65</v>
      </c>
      <c r="EP161" s="231">
        <v>7640.39</v>
      </c>
      <c r="EQ161" s="231">
        <v>-5230.7299999999996</v>
      </c>
      <c r="ER161" s="229">
        <v>-0.68459999999999999</v>
      </c>
      <c r="ES161" s="228">
        <v>393.72</v>
      </c>
      <c r="ET161" s="228">
        <v>336.84</v>
      </c>
      <c r="EU161" s="231">
        <v>3464.59</v>
      </c>
      <c r="EV161" s="231">
        <v>948263976</v>
      </c>
      <c r="EW161" s="231">
        <v>4195.1499999999996</v>
      </c>
      <c r="EX161" s="231">
        <v>7221</v>
      </c>
      <c r="EY161" s="231">
        <v>-3025.85</v>
      </c>
      <c r="EZ161" s="229">
        <v>-0.41899999999999998</v>
      </c>
      <c r="FA161" s="229">
        <v>0.13089999999999999</v>
      </c>
      <c r="FB161" s="227" t="s">
        <v>568</v>
      </c>
      <c r="FC161">
        <f t="shared" si="3"/>
        <v>0</v>
      </c>
    </row>
    <row r="162" spans="1:159" ht="17.25" thickBot="1" x14ac:dyDescent="0.3">
      <c r="A162" s="226">
        <v>45869</v>
      </c>
      <c r="B162" s="227" t="s">
        <v>616</v>
      </c>
      <c r="C162" s="227" t="s">
        <v>614</v>
      </c>
      <c r="D162" s="228">
        <v>3125</v>
      </c>
      <c r="E162" s="228">
        <v>0</v>
      </c>
      <c r="F162" s="228">
        <v>210.38</v>
      </c>
      <c r="G162" s="228">
        <v>212.01</v>
      </c>
      <c r="H162" s="228">
        <v>-1.63</v>
      </c>
      <c r="I162" s="229">
        <v>-7.7000000000000002E-3</v>
      </c>
      <c r="J162" s="228">
        <v>209.62</v>
      </c>
      <c r="K162" s="228">
        <v>213.84</v>
      </c>
      <c r="L162" s="228">
        <v>-4.22</v>
      </c>
      <c r="M162" s="229">
        <v>-1.9699999999999999E-2</v>
      </c>
      <c r="N162" s="228">
        <v>209.68</v>
      </c>
      <c r="O162" s="228">
        <v>214.25</v>
      </c>
      <c r="P162" s="228">
        <v>-4.57</v>
      </c>
      <c r="Q162" s="229">
        <v>-2.1299999999999999E-2</v>
      </c>
      <c r="R162" s="228">
        <v>210.38</v>
      </c>
      <c r="S162" s="228">
        <v>212.01</v>
      </c>
      <c r="T162" s="228">
        <v>-1.63</v>
      </c>
      <c r="U162" s="229">
        <v>-7.7000000000000002E-3</v>
      </c>
      <c r="V162" s="228">
        <v>209.77</v>
      </c>
      <c r="W162" s="228">
        <v>211.35</v>
      </c>
      <c r="X162" s="228">
        <v>-1.58</v>
      </c>
      <c r="Y162" s="229">
        <v>-7.4999999999999997E-3</v>
      </c>
      <c r="Z162" s="228">
        <v>0.76</v>
      </c>
      <c r="AA162" s="228">
        <v>0.41</v>
      </c>
      <c r="AB162" s="228">
        <v>0.35</v>
      </c>
      <c r="AC162" s="229">
        <v>3.5999999999999999E-3</v>
      </c>
      <c r="AD162" s="228">
        <v>0.06</v>
      </c>
      <c r="AE162" s="228">
        <v>0.41</v>
      </c>
      <c r="AF162" s="228">
        <v>-0.35</v>
      </c>
      <c r="AG162" s="229">
        <v>2.9999999999999997E-4</v>
      </c>
      <c r="AH162" s="228">
        <v>0.76</v>
      </c>
      <c r="AI162" s="228">
        <v>-1.83</v>
      </c>
      <c r="AJ162" s="228">
        <v>2.59</v>
      </c>
      <c r="AK162" s="229">
        <v>3.5999999999999999E-3</v>
      </c>
      <c r="AL162" s="228">
        <v>0.15</v>
      </c>
      <c r="AM162" s="228">
        <v>-2.4900000000000002</v>
      </c>
      <c r="AN162" s="228">
        <v>2.64</v>
      </c>
      <c r="AO162" s="229">
        <v>6.9999999999999999E-4</v>
      </c>
      <c r="AP162" s="228">
        <v>210.69</v>
      </c>
      <c r="AQ162" s="228">
        <v>210.84</v>
      </c>
      <c r="AR162" s="228">
        <v>0</v>
      </c>
      <c r="AS162" s="228">
        <v>590</v>
      </c>
      <c r="AT162" s="228">
        <v>685</v>
      </c>
      <c r="AU162" s="228">
        <v>-95</v>
      </c>
      <c r="AV162" s="229">
        <v>-0.13880000000000001</v>
      </c>
      <c r="AW162" s="228">
        <v>283</v>
      </c>
      <c r="AX162" s="228">
        <v>325</v>
      </c>
      <c r="AY162" s="228">
        <v>-42</v>
      </c>
      <c r="AZ162" s="229">
        <v>-0.12970000000000001</v>
      </c>
      <c r="BA162" s="228">
        <v>302</v>
      </c>
      <c r="BB162" s="228">
        <v>357</v>
      </c>
      <c r="BC162" s="228">
        <v>-55</v>
      </c>
      <c r="BD162" s="229">
        <v>-0.15290000000000001</v>
      </c>
      <c r="BE162" s="228">
        <v>5</v>
      </c>
      <c r="BF162" s="228">
        <v>3</v>
      </c>
      <c r="BG162" s="228">
        <v>2</v>
      </c>
      <c r="BH162" s="229">
        <v>0.53190000000000004</v>
      </c>
      <c r="BI162" s="228">
        <v>220</v>
      </c>
      <c r="BJ162" s="228">
        <v>271</v>
      </c>
      <c r="BK162" s="228">
        <v>-51</v>
      </c>
      <c r="BL162" s="229">
        <v>-0.187</v>
      </c>
      <c r="BM162" s="228">
        <v>94</v>
      </c>
      <c r="BN162" s="228">
        <v>96</v>
      </c>
      <c r="BO162" s="228">
        <v>-2</v>
      </c>
      <c r="BP162" s="229">
        <v>-1.72E-2</v>
      </c>
      <c r="BQ162" s="228">
        <v>904</v>
      </c>
      <c r="BR162" s="230">
        <v>1051</v>
      </c>
      <c r="BS162" s="228">
        <v>-147</v>
      </c>
      <c r="BT162" s="229">
        <v>-0.1401</v>
      </c>
      <c r="BU162" s="230">
        <v>4353791</v>
      </c>
      <c r="BV162" s="230">
        <v>2800341</v>
      </c>
      <c r="BW162" s="230">
        <v>1553450</v>
      </c>
      <c r="BX162" s="229">
        <v>0.55469999999999997</v>
      </c>
      <c r="BY162" s="228">
        <v>985</v>
      </c>
      <c r="BZ162" s="230">
        <v>1199</v>
      </c>
      <c r="CA162" s="228">
        <v>-214</v>
      </c>
      <c r="CB162" s="229">
        <v>-0.17860000000000001</v>
      </c>
      <c r="CC162" s="228">
        <v>126</v>
      </c>
      <c r="CD162" s="228">
        <v>240</v>
      </c>
      <c r="CE162" s="228">
        <v>-114</v>
      </c>
      <c r="CF162" s="229">
        <v>-0.4748</v>
      </c>
      <c r="CG162" s="228">
        <v>977</v>
      </c>
      <c r="CH162" s="228">
        <v>951</v>
      </c>
      <c r="CI162" s="228">
        <v>26</v>
      </c>
      <c r="CJ162" s="229">
        <v>2.7199999999999998E-2</v>
      </c>
      <c r="CK162" s="228">
        <v>9</v>
      </c>
      <c r="CL162" s="228">
        <v>9</v>
      </c>
      <c r="CM162" s="228">
        <v>0</v>
      </c>
      <c r="CN162" s="229">
        <v>-2.9600000000000001E-2</v>
      </c>
      <c r="CO162" s="228">
        <v>79</v>
      </c>
      <c r="CP162" s="228">
        <v>317</v>
      </c>
      <c r="CQ162" s="228">
        <v>-237</v>
      </c>
      <c r="CR162" s="229">
        <v>-0.749</v>
      </c>
      <c r="CS162" s="228">
        <v>41</v>
      </c>
      <c r="CT162" s="228">
        <v>187</v>
      </c>
      <c r="CU162" s="228">
        <v>-146</v>
      </c>
      <c r="CV162" s="229">
        <v>-0.78139999999999998</v>
      </c>
      <c r="CW162" s="230">
        <v>1106</v>
      </c>
      <c r="CX162" s="230">
        <v>1703</v>
      </c>
      <c r="CY162" s="228">
        <v>-598</v>
      </c>
      <c r="CZ162" s="229">
        <v>-0.35089999999999999</v>
      </c>
      <c r="DA162" s="228">
        <v>34.46</v>
      </c>
      <c r="DB162" s="228">
        <v>34.67</v>
      </c>
      <c r="DC162" s="228">
        <v>-0.21</v>
      </c>
      <c r="DD162" s="228">
        <v>-0.21</v>
      </c>
      <c r="DE162" s="228">
        <v>37.92</v>
      </c>
      <c r="DF162" s="228">
        <v>38</v>
      </c>
      <c r="DG162" s="228">
        <v>-3.46</v>
      </c>
      <c r="DH162" s="228">
        <v>-0.08</v>
      </c>
      <c r="DI162" s="228">
        <v>34.54</v>
      </c>
      <c r="DJ162" s="228">
        <v>34.83</v>
      </c>
      <c r="DK162" s="228">
        <v>-0.28999999999999998</v>
      </c>
      <c r="DL162" s="228">
        <v>-0.28999999999999998</v>
      </c>
      <c r="DM162" s="228">
        <v>34.25</v>
      </c>
      <c r="DN162" s="228">
        <v>34.17</v>
      </c>
      <c r="DO162" s="228">
        <v>0.08</v>
      </c>
      <c r="DP162" s="228">
        <v>0.08</v>
      </c>
      <c r="DQ162" s="228">
        <v>0.52</v>
      </c>
      <c r="DR162" s="228">
        <v>0.59</v>
      </c>
      <c r="DS162" s="228">
        <v>-7.0000000000000007E-2</v>
      </c>
      <c r="DT162" s="229">
        <v>-0.1186</v>
      </c>
      <c r="DU162" s="228">
        <v>220</v>
      </c>
      <c r="DV162" s="228">
        <v>190</v>
      </c>
      <c r="DW162" s="228">
        <v>0.43</v>
      </c>
      <c r="DX162" s="228">
        <v>0.35</v>
      </c>
      <c r="DY162" s="228">
        <v>0.08</v>
      </c>
      <c r="DZ162" s="229">
        <v>0.2286</v>
      </c>
      <c r="EA162" s="229">
        <v>0.88660000000000005</v>
      </c>
      <c r="EB162" s="230">
        <v>45609375</v>
      </c>
      <c r="EC162" s="229">
        <v>3.3E-3</v>
      </c>
      <c r="ED162" s="229">
        <v>0.88660000000000005</v>
      </c>
      <c r="EE162" s="228">
        <v>0.15</v>
      </c>
      <c r="EF162" s="229">
        <v>6.9999999999999999E-4</v>
      </c>
      <c r="EG162" s="230">
        <v>1417862</v>
      </c>
      <c r="EH162" s="230">
        <v>997214</v>
      </c>
      <c r="EI162" s="229">
        <v>0.42180000000000001</v>
      </c>
      <c r="EJ162" s="229">
        <v>0.32569999999999999</v>
      </c>
      <c r="EK162" s="228">
        <v>231.44</v>
      </c>
      <c r="EL162" s="228">
        <v>96.05</v>
      </c>
      <c r="EM162" s="228">
        <v>591.13</v>
      </c>
      <c r="EN162" s="228">
        <v>0</v>
      </c>
      <c r="EO162" s="228">
        <v>918.62</v>
      </c>
      <c r="EP162" s="231">
        <v>1070.2</v>
      </c>
      <c r="EQ162" s="228">
        <v>-151.58000000000001</v>
      </c>
      <c r="ER162" s="229">
        <v>-0.1416</v>
      </c>
      <c r="ES162" s="228">
        <v>83.36</v>
      </c>
      <c r="ET162" s="228">
        <v>40.15</v>
      </c>
      <c r="EU162" s="228">
        <v>985.15</v>
      </c>
      <c r="EV162" s="231">
        <v>273572068</v>
      </c>
      <c r="EW162" s="231">
        <v>1108.6600000000001</v>
      </c>
      <c r="EX162" s="231">
        <v>1723.24</v>
      </c>
      <c r="EY162" s="228">
        <v>-614.58000000000004</v>
      </c>
      <c r="EZ162" s="229">
        <v>-0.35659999999999997</v>
      </c>
      <c r="FA162" s="229">
        <v>0.19209999999999999</v>
      </c>
      <c r="FB162" s="227" t="s">
        <v>568</v>
      </c>
      <c r="FC162">
        <f t="shared" si="3"/>
        <v>0</v>
      </c>
    </row>
    <row r="163" spans="1:159" ht="17.25" thickBot="1" x14ac:dyDescent="0.3">
      <c r="A163" s="226">
        <v>45869</v>
      </c>
      <c r="B163" s="227" t="s">
        <v>206</v>
      </c>
      <c r="C163" s="227" t="s">
        <v>528</v>
      </c>
      <c r="D163" s="228">
        <v>350</v>
      </c>
      <c r="E163" s="228">
        <v>0</v>
      </c>
      <c r="F163" s="231">
        <v>1639.4</v>
      </c>
      <c r="G163" s="231">
        <v>1654.5</v>
      </c>
      <c r="H163" s="228">
        <v>-15.1</v>
      </c>
      <c r="I163" s="229">
        <v>-9.1000000000000004E-3</v>
      </c>
      <c r="J163" s="231">
        <v>1630.1</v>
      </c>
      <c r="K163" s="231">
        <v>1648</v>
      </c>
      <c r="L163" s="228">
        <v>-17.899999999999999</v>
      </c>
      <c r="M163" s="229">
        <v>-1.09E-2</v>
      </c>
      <c r="N163" s="231">
        <v>1630.7</v>
      </c>
      <c r="O163" s="231">
        <v>1649.1</v>
      </c>
      <c r="P163" s="228">
        <v>-18.399999999999999</v>
      </c>
      <c r="Q163" s="229">
        <v>-1.12E-2</v>
      </c>
      <c r="R163" s="231">
        <v>1639.4</v>
      </c>
      <c r="S163" s="231">
        <v>1654.5</v>
      </c>
      <c r="T163" s="228">
        <v>-15.1</v>
      </c>
      <c r="U163" s="229">
        <v>-9.1000000000000004E-3</v>
      </c>
      <c r="V163" s="231">
        <v>1645.1</v>
      </c>
      <c r="W163" s="231">
        <v>1660.8</v>
      </c>
      <c r="X163" s="228">
        <v>-15.7</v>
      </c>
      <c r="Y163" s="229">
        <v>-9.4999999999999998E-3</v>
      </c>
      <c r="Z163" s="228">
        <v>9.3000000000000007</v>
      </c>
      <c r="AA163" s="228">
        <v>1.1000000000000001</v>
      </c>
      <c r="AB163" s="228">
        <v>8.1999999999999993</v>
      </c>
      <c r="AC163" s="229">
        <v>5.7000000000000002E-3</v>
      </c>
      <c r="AD163" s="228">
        <v>0.6</v>
      </c>
      <c r="AE163" s="228">
        <v>1.1000000000000001</v>
      </c>
      <c r="AF163" s="228">
        <v>-0.5</v>
      </c>
      <c r="AG163" s="229">
        <v>4.0000000000000002E-4</v>
      </c>
      <c r="AH163" s="228">
        <v>9.3000000000000007</v>
      </c>
      <c r="AI163" s="228">
        <v>6.5</v>
      </c>
      <c r="AJ163" s="228">
        <v>2.8</v>
      </c>
      <c r="AK163" s="229">
        <v>5.7000000000000002E-3</v>
      </c>
      <c r="AL163" s="228">
        <v>15</v>
      </c>
      <c r="AM163" s="228">
        <v>12.8</v>
      </c>
      <c r="AN163" s="228">
        <v>2.2000000000000002</v>
      </c>
      <c r="AO163" s="229">
        <v>9.1999999999999998E-3</v>
      </c>
      <c r="AP163" s="231">
        <v>1625.84</v>
      </c>
      <c r="AQ163" s="231">
        <v>1635.48</v>
      </c>
      <c r="AR163" s="228">
        <v>0</v>
      </c>
      <c r="AS163" s="228">
        <v>570</v>
      </c>
      <c r="AT163" s="228">
        <v>566</v>
      </c>
      <c r="AU163" s="228">
        <v>4</v>
      </c>
      <c r="AV163" s="229">
        <v>7.4000000000000003E-3</v>
      </c>
      <c r="AW163" s="228">
        <v>236</v>
      </c>
      <c r="AX163" s="228">
        <v>274</v>
      </c>
      <c r="AY163" s="228">
        <v>-38</v>
      </c>
      <c r="AZ163" s="229">
        <v>-0.13750000000000001</v>
      </c>
      <c r="BA163" s="228">
        <v>329</v>
      </c>
      <c r="BB163" s="228">
        <v>289</v>
      </c>
      <c r="BC163" s="228">
        <v>41</v>
      </c>
      <c r="BD163" s="229">
        <v>0.1406</v>
      </c>
      <c r="BE163" s="228">
        <v>4</v>
      </c>
      <c r="BF163" s="228">
        <v>3</v>
      </c>
      <c r="BG163" s="228">
        <v>1</v>
      </c>
      <c r="BH163" s="229">
        <v>0.40379999999999999</v>
      </c>
      <c r="BI163" s="228">
        <v>451</v>
      </c>
      <c r="BJ163" s="228">
        <v>286</v>
      </c>
      <c r="BK163" s="228">
        <v>165</v>
      </c>
      <c r="BL163" s="229">
        <v>0.57779999999999998</v>
      </c>
      <c r="BM163" s="228">
        <v>254</v>
      </c>
      <c r="BN163" s="228">
        <v>141</v>
      </c>
      <c r="BO163" s="228">
        <v>113</v>
      </c>
      <c r="BP163" s="229">
        <v>0.79900000000000004</v>
      </c>
      <c r="BQ163" s="230">
        <v>1274</v>
      </c>
      <c r="BR163" s="228">
        <v>992</v>
      </c>
      <c r="BS163" s="228">
        <v>282</v>
      </c>
      <c r="BT163" s="229">
        <v>0.28420000000000001</v>
      </c>
      <c r="BU163" s="230">
        <v>738676</v>
      </c>
      <c r="BV163" s="230">
        <v>390322</v>
      </c>
      <c r="BW163" s="230">
        <v>348354</v>
      </c>
      <c r="BX163" s="229">
        <v>0.89249999999999996</v>
      </c>
      <c r="BY163" s="228">
        <v>834</v>
      </c>
      <c r="BZ163" s="228">
        <v>938</v>
      </c>
      <c r="CA163" s="228">
        <v>-104</v>
      </c>
      <c r="CB163" s="229">
        <v>-0.11070000000000001</v>
      </c>
      <c r="CC163" s="228">
        <v>99</v>
      </c>
      <c r="CD163" s="228">
        <v>211</v>
      </c>
      <c r="CE163" s="228">
        <v>-113</v>
      </c>
      <c r="CF163" s="229">
        <v>-0.53390000000000004</v>
      </c>
      <c r="CG163" s="228">
        <v>824</v>
      </c>
      <c r="CH163" s="228">
        <v>718</v>
      </c>
      <c r="CI163" s="228">
        <v>105</v>
      </c>
      <c r="CJ163" s="229">
        <v>0.1469</v>
      </c>
      <c r="CK163" s="228">
        <v>11</v>
      </c>
      <c r="CL163" s="228">
        <v>8</v>
      </c>
      <c r="CM163" s="228">
        <v>2</v>
      </c>
      <c r="CN163" s="229">
        <v>0.25</v>
      </c>
      <c r="CO163" s="228">
        <v>108</v>
      </c>
      <c r="CP163" s="228">
        <v>486</v>
      </c>
      <c r="CQ163" s="228">
        <v>-377</v>
      </c>
      <c r="CR163" s="229">
        <v>-0.77680000000000005</v>
      </c>
      <c r="CS163" s="228">
        <v>110</v>
      </c>
      <c r="CT163" s="228">
        <v>249</v>
      </c>
      <c r="CU163" s="228">
        <v>-140</v>
      </c>
      <c r="CV163" s="229">
        <v>-0.55979999999999996</v>
      </c>
      <c r="CW163" s="230">
        <v>1052</v>
      </c>
      <c r="CX163" s="230">
        <v>1673</v>
      </c>
      <c r="CY163" s="228">
        <v>-621</v>
      </c>
      <c r="CZ163" s="229">
        <v>-0.37109999999999999</v>
      </c>
      <c r="DA163" s="228">
        <v>29.28</v>
      </c>
      <c r="DB163" s="228">
        <v>31.26</v>
      </c>
      <c r="DC163" s="228">
        <v>-1.98</v>
      </c>
      <c r="DD163" s="228">
        <v>-1.98</v>
      </c>
      <c r="DE163" s="228">
        <v>41.35</v>
      </c>
      <c r="DF163" s="228">
        <v>41.43</v>
      </c>
      <c r="DG163" s="228">
        <v>-12.07</v>
      </c>
      <c r="DH163" s="228">
        <v>-0.08</v>
      </c>
      <c r="DI163" s="228">
        <v>29.26</v>
      </c>
      <c r="DJ163" s="228">
        <v>31.54</v>
      </c>
      <c r="DK163" s="228">
        <v>-2.2799999999999998</v>
      </c>
      <c r="DL163" s="228">
        <v>-2.2799999999999998</v>
      </c>
      <c r="DM163" s="228">
        <v>29.29</v>
      </c>
      <c r="DN163" s="228">
        <v>30.91</v>
      </c>
      <c r="DO163" s="228">
        <v>-1.62</v>
      </c>
      <c r="DP163" s="228">
        <v>-1.62</v>
      </c>
      <c r="DQ163" s="228">
        <v>1.01</v>
      </c>
      <c r="DR163" s="228">
        <v>0.51</v>
      </c>
      <c r="DS163" s="228">
        <v>0.5</v>
      </c>
      <c r="DT163" s="229">
        <v>0.98040000000000005</v>
      </c>
      <c r="DU163" s="231">
        <v>1900</v>
      </c>
      <c r="DV163" s="231">
        <v>1640</v>
      </c>
      <c r="DW163" s="228">
        <v>0.56000000000000005</v>
      </c>
      <c r="DX163" s="228">
        <v>0.49</v>
      </c>
      <c r="DY163" s="228">
        <v>7.0000000000000007E-2</v>
      </c>
      <c r="DZ163" s="229">
        <v>0.1429</v>
      </c>
      <c r="EA163" s="229">
        <v>0.89439999999999997</v>
      </c>
      <c r="EB163" s="230">
        <v>4431700</v>
      </c>
      <c r="EC163" s="229">
        <v>5.3E-3</v>
      </c>
      <c r="ED163" s="229">
        <v>0.89439999999999997</v>
      </c>
      <c r="EE163" s="228">
        <v>9.64</v>
      </c>
      <c r="EF163" s="229">
        <v>5.8999999999999999E-3</v>
      </c>
      <c r="EG163" s="230">
        <v>388239</v>
      </c>
      <c r="EH163" s="230">
        <v>184466</v>
      </c>
      <c r="EI163" s="229">
        <v>1.1047</v>
      </c>
      <c r="EJ163" s="229">
        <v>0.52559999999999996</v>
      </c>
      <c r="EK163" s="228">
        <v>481.6</v>
      </c>
      <c r="EL163" s="228">
        <v>270.81</v>
      </c>
      <c r="EM163" s="228">
        <v>567.03</v>
      </c>
      <c r="EN163" s="228">
        <v>0</v>
      </c>
      <c r="EO163" s="231">
        <v>1319.43</v>
      </c>
      <c r="EP163" s="231">
        <v>1032.82</v>
      </c>
      <c r="EQ163" s="228">
        <v>286.62</v>
      </c>
      <c r="ER163" s="229">
        <v>0.27750000000000002</v>
      </c>
      <c r="ES163" s="228">
        <v>119.64</v>
      </c>
      <c r="ET163" s="228">
        <v>112.25</v>
      </c>
      <c r="EU163" s="228">
        <v>834.16</v>
      </c>
      <c r="EV163" s="231">
        <v>23485458</v>
      </c>
      <c r="EW163" s="231">
        <v>1066.05</v>
      </c>
      <c r="EX163" s="231">
        <v>1763.31</v>
      </c>
      <c r="EY163" s="228">
        <v>-697.26</v>
      </c>
      <c r="EZ163" s="229">
        <v>-0.39539999999999997</v>
      </c>
      <c r="FA163" s="229">
        <v>0.27329999999999999</v>
      </c>
      <c r="FB163" s="227" t="s">
        <v>568</v>
      </c>
      <c r="FC163">
        <f t="shared" si="3"/>
        <v>0</v>
      </c>
    </row>
    <row r="164" spans="1:159" ht="17.25" thickBot="1" x14ac:dyDescent="0.3">
      <c r="A164" s="226">
        <v>45869</v>
      </c>
      <c r="B164" s="227" t="s">
        <v>221</v>
      </c>
      <c r="C164" s="227" t="s">
        <v>518</v>
      </c>
      <c r="D164" s="228">
        <v>75</v>
      </c>
      <c r="E164" s="228">
        <v>0</v>
      </c>
      <c r="F164" s="231">
        <v>8507.5</v>
      </c>
      <c r="G164" s="231">
        <v>8579.5</v>
      </c>
      <c r="H164" s="228">
        <v>-72</v>
      </c>
      <c r="I164" s="229">
        <v>-8.3999999999999995E-3</v>
      </c>
      <c r="J164" s="231">
        <v>8475</v>
      </c>
      <c r="K164" s="231">
        <v>8570</v>
      </c>
      <c r="L164" s="228">
        <v>-95</v>
      </c>
      <c r="M164" s="229">
        <v>-1.11E-2</v>
      </c>
      <c r="N164" s="231">
        <v>8472.5</v>
      </c>
      <c r="O164" s="231">
        <v>8563.5</v>
      </c>
      <c r="P164" s="228">
        <v>-91</v>
      </c>
      <c r="Q164" s="229">
        <v>-1.06E-2</v>
      </c>
      <c r="R164" s="231">
        <v>8507.5</v>
      </c>
      <c r="S164" s="231">
        <v>8579.5</v>
      </c>
      <c r="T164" s="228">
        <v>-72</v>
      </c>
      <c r="U164" s="229">
        <v>-8.3999999999999995E-3</v>
      </c>
      <c r="V164" s="231">
        <v>8550.5</v>
      </c>
      <c r="W164" s="231">
        <v>8615</v>
      </c>
      <c r="X164" s="228">
        <v>-64.5</v>
      </c>
      <c r="Y164" s="229">
        <v>-7.4999999999999997E-3</v>
      </c>
      <c r="Z164" s="228">
        <v>32.5</v>
      </c>
      <c r="AA164" s="228">
        <v>-6.5</v>
      </c>
      <c r="AB164" s="228">
        <v>39</v>
      </c>
      <c r="AC164" s="229">
        <v>3.8E-3</v>
      </c>
      <c r="AD164" s="228">
        <v>-2.5</v>
      </c>
      <c r="AE164" s="228">
        <v>-6.5</v>
      </c>
      <c r="AF164" s="228">
        <v>4</v>
      </c>
      <c r="AG164" s="229">
        <v>-2.9999999999999997E-4</v>
      </c>
      <c r="AH164" s="228">
        <v>32.5</v>
      </c>
      <c r="AI164" s="228">
        <v>9.5</v>
      </c>
      <c r="AJ164" s="228">
        <v>23</v>
      </c>
      <c r="AK164" s="229">
        <v>3.8E-3</v>
      </c>
      <c r="AL164" s="228">
        <v>75.5</v>
      </c>
      <c r="AM164" s="228">
        <v>45</v>
      </c>
      <c r="AN164" s="228">
        <v>30.5</v>
      </c>
      <c r="AO164" s="229">
        <v>8.8999999999999999E-3</v>
      </c>
      <c r="AP164" s="231">
        <v>8505.61</v>
      </c>
      <c r="AQ164" s="231">
        <v>8545.43</v>
      </c>
      <c r="AR164" s="228">
        <v>0</v>
      </c>
      <c r="AS164" s="228">
        <v>644</v>
      </c>
      <c r="AT164" s="228">
        <v>596</v>
      </c>
      <c r="AU164" s="228">
        <v>47</v>
      </c>
      <c r="AV164" s="229">
        <v>7.9100000000000004E-2</v>
      </c>
      <c r="AW164" s="228">
        <v>303</v>
      </c>
      <c r="AX164" s="228">
        <v>282</v>
      </c>
      <c r="AY164" s="228">
        <v>21</v>
      </c>
      <c r="AZ164" s="229">
        <v>7.5600000000000001E-2</v>
      </c>
      <c r="BA164" s="228">
        <v>331</v>
      </c>
      <c r="BB164" s="228">
        <v>310</v>
      </c>
      <c r="BC164" s="228">
        <v>21</v>
      </c>
      <c r="BD164" s="229">
        <v>6.8699999999999997E-2</v>
      </c>
      <c r="BE164" s="228">
        <v>9</v>
      </c>
      <c r="BF164" s="228">
        <v>4</v>
      </c>
      <c r="BG164" s="228">
        <v>5</v>
      </c>
      <c r="BH164" s="229">
        <v>1.0289999999999999</v>
      </c>
      <c r="BI164" s="228">
        <v>616</v>
      </c>
      <c r="BJ164" s="228">
        <v>641</v>
      </c>
      <c r="BK164" s="228">
        <v>-25</v>
      </c>
      <c r="BL164" s="229">
        <v>-3.9E-2</v>
      </c>
      <c r="BM164" s="228">
        <v>358</v>
      </c>
      <c r="BN164" s="228">
        <v>193</v>
      </c>
      <c r="BO164" s="228">
        <v>165</v>
      </c>
      <c r="BP164" s="229">
        <v>0.85350000000000004</v>
      </c>
      <c r="BQ164" s="230">
        <v>1617</v>
      </c>
      <c r="BR164" s="230">
        <v>1431</v>
      </c>
      <c r="BS164" s="228">
        <v>187</v>
      </c>
      <c r="BT164" s="229">
        <v>0.13059999999999999</v>
      </c>
      <c r="BU164" s="230">
        <v>154702</v>
      </c>
      <c r="BV164" s="230">
        <v>74586</v>
      </c>
      <c r="BW164" s="230">
        <v>80116</v>
      </c>
      <c r="BX164" s="229">
        <v>1.0741000000000001</v>
      </c>
      <c r="BY164" s="228">
        <v>846</v>
      </c>
      <c r="BZ164" s="228">
        <v>974</v>
      </c>
      <c r="CA164" s="228">
        <v>-128</v>
      </c>
      <c r="CB164" s="229">
        <v>-0.1318</v>
      </c>
      <c r="CC164" s="228">
        <v>90</v>
      </c>
      <c r="CD164" s="228">
        <v>254</v>
      </c>
      <c r="CE164" s="228">
        <v>-164</v>
      </c>
      <c r="CF164" s="229">
        <v>-0.6452</v>
      </c>
      <c r="CG164" s="228">
        <v>829</v>
      </c>
      <c r="CH164" s="228">
        <v>710</v>
      </c>
      <c r="CI164" s="228">
        <v>119</v>
      </c>
      <c r="CJ164" s="229">
        <v>0.16830000000000001</v>
      </c>
      <c r="CK164" s="228">
        <v>17</v>
      </c>
      <c r="CL164" s="228">
        <v>11</v>
      </c>
      <c r="CM164" s="228">
        <v>6</v>
      </c>
      <c r="CN164" s="229">
        <v>0.51739999999999997</v>
      </c>
      <c r="CO164" s="228">
        <v>183</v>
      </c>
      <c r="CP164" s="228">
        <v>564</v>
      </c>
      <c r="CQ164" s="228">
        <v>-381</v>
      </c>
      <c r="CR164" s="229">
        <v>-0.67530000000000001</v>
      </c>
      <c r="CS164" s="228">
        <v>112</v>
      </c>
      <c r="CT164" s="228">
        <v>322</v>
      </c>
      <c r="CU164" s="228">
        <v>-210</v>
      </c>
      <c r="CV164" s="229">
        <v>-0.65159999999999996</v>
      </c>
      <c r="CW164" s="230">
        <v>1141</v>
      </c>
      <c r="CX164" s="230">
        <v>1860</v>
      </c>
      <c r="CY164" s="228">
        <v>-719</v>
      </c>
      <c r="CZ164" s="229">
        <v>-0.38650000000000001</v>
      </c>
      <c r="DA164" s="228">
        <v>30.18</v>
      </c>
      <c r="DB164" s="228">
        <v>30.3</v>
      </c>
      <c r="DC164" s="228">
        <v>-0.12</v>
      </c>
      <c r="DD164" s="228">
        <v>-0.12</v>
      </c>
      <c r="DE164" s="228">
        <v>42.51</v>
      </c>
      <c r="DF164" s="228">
        <v>42.59</v>
      </c>
      <c r="DG164" s="228">
        <v>-12.33</v>
      </c>
      <c r="DH164" s="228">
        <v>-0.08</v>
      </c>
      <c r="DI164" s="228">
        <v>30.1</v>
      </c>
      <c r="DJ164" s="228">
        <v>30.37</v>
      </c>
      <c r="DK164" s="228">
        <v>-0.27</v>
      </c>
      <c r="DL164" s="228">
        <v>-0.27</v>
      </c>
      <c r="DM164" s="228">
        <v>30.28</v>
      </c>
      <c r="DN164" s="228">
        <v>30.15</v>
      </c>
      <c r="DO164" s="228">
        <v>0.13</v>
      </c>
      <c r="DP164" s="228">
        <v>0.13</v>
      </c>
      <c r="DQ164" s="228">
        <v>0.61</v>
      </c>
      <c r="DR164" s="228">
        <v>0.56999999999999995</v>
      </c>
      <c r="DS164" s="228">
        <v>0.04</v>
      </c>
      <c r="DT164" s="229">
        <v>7.0199999999999999E-2</v>
      </c>
      <c r="DU164" s="231">
        <v>9000</v>
      </c>
      <c r="DV164" s="231">
        <v>8500</v>
      </c>
      <c r="DW164" s="228">
        <v>0.57999999999999996</v>
      </c>
      <c r="DX164" s="228">
        <v>0.3</v>
      </c>
      <c r="DY164" s="228">
        <v>0.28000000000000003</v>
      </c>
      <c r="DZ164" s="229">
        <v>0.93330000000000002</v>
      </c>
      <c r="EA164" s="229">
        <v>0.90390000000000004</v>
      </c>
      <c r="EB164" s="230">
        <v>847350</v>
      </c>
      <c r="EC164" s="229">
        <v>4.1000000000000003E-3</v>
      </c>
      <c r="ED164" s="229">
        <v>0.90390000000000004</v>
      </c>
      <c r="EE164" s="228">
        <v>39.82</v>
      </c>
      <c r="EF164" s="229">
        <v>4.7000000000000002E-3</v>
      </c>
      <c r="EG164" s="230">
        <v>71486</v>
      </c>
      <c r="EH164" s="230">
        <v>23344</v>
      </c>
      <c r="EI164" s="229">
        <v>2.0623</v>
      </c>
      <c r="EJ164" s="229">
        <v>0.46210000000000001</v>
      </c>
      <c r="EK164" s="228">
        <v>656.45</v>
      </c>
      <c r="EL164" s="228">
        <v>362.74</v>
      </c>
      <c r="EM164" s="228">
        <v>645.04999999999995</v>
      </c>
      <c r="EN164" s="228">
        <v>0</v>
      </c>
      <c r="EO164" s="231">
        <v>1664.23</v>
      </c>
      <c r="EP164" s="231">
        <v>1480.46</v>
      </c>
      <c r="EQ164" s="228">
        <v>183.77</v>
      </c>
      <c r="ER164" s="229">
        <v>0.1241</v>
      </c>
      <c r="ES164" s="228">
        <v>197.37</v>
      </c>
      <c r="ET164" s="228">
        <v>112.04</v>
      </c>
      <c r="EU164" s="228">
        <v>846.09</v>
      </c>
      <c r="EV164" s="231">
        <v>4762380</v>
      </c>
      <c r="EW164" s="231">
        <v>1155.5</v>
      </c>
      <c r="EX164" s="231">
        <v>1922.99</v>
      </c>
      <c r="EY164" s="228">
        <v>-767.49</v>
      </c>
      <c r="EZ164" s="229">
        <v>-0.39910000000000001</v>
      </c>
      <c r="FA164" s="229">
        <v>0.28170000000000001</v>
      </c>
      <c r="FB164" s="227" t="s">
        <v>568</v>
      </c>
      <c r="FC164">
        <f t="shared" si="3"/>
        <v>0</v>
      </c>
    </row>
    <row r="165" spans="1:159" ht="17.25" thickBot="1" x14ac:dyDescent="0.3">
      <c r="A165" s="226">
        <v>45869</v>
      </c>
      <c r="B165" s="227" t="s">
        <v>193</v>
      </c>
      <c r="C165" s="227" t="s">
        <v>588</v>
      </c>
      <c r="D165" s="228">
        <v>1400</v>
      </c>
      <c r="E165" s="228">
        <v>0</v>
      </c>
      <c r="F165" s="228">
        <v>440.8</v>
      </c>
      <c r="G165" s="228">
        <v>446.7</v>
      </c>
      <c r="H165" s="228">
        <v>-5.9</v>
      </c>
      <c r="I165" s="229">
        <v>-1.32E-2</v>
      </c>
      <c r="J165" s="228">
        <v>440</v>
      </c>
      <c r="K165" s="228">
        <v>444.8</v>
      </c>
      <c r="L165" s="228">
        <v>-4.8</v>
      </c>
      <c r="M165" s="229">
        <v>-1.0800000000000001E-2</v>
      </c>
      <c r="N165" s="228">
        <v>439.25</v>
      </c>
      <c r="O165" s="228">
        <v>445.2</v>
      </c>
      <c r="P165" s="228">
        <v>-5.95</v>
      </c>
      <c r="Q165" s="229">
        <v>-1.34E-2</v>
      </c>
      <c r="R165" s="228">
        <v>440.8</v>
      </c>
      <c r="S165" s="228">
        <v>446.7</v>
      </c>
      <c r="T165" s="228">
        <v>-5.9</v>
      </c>
      <c r="U165" s="229">
        <v>-1.32E-2</v>
      </c>
      <c r="V165" s="228">
        <v>442.4</v>
      </c>
      <c r="W165" s="228">
        <v>448.05</v>
      </c>
      <c r="X165" s="228">
        <v>-5.65</v>
      </c>
      <c r="Y165" s="229">
        <v>-1.26E-2</v>
      </c>
      <c r="Z165" s="228">
        <v>0.8</v>
      </c>
      <c r="AA165" s="228">
        <v>0.4</v>
      </c>
      <c r="AB165" s="228">
        <v>0.4</v>
      </c>
      <c r="AC165" s="229">
        <v>1.8E-3</v>
      </c>
      <c r="AD165" s="228">
        <v>-0.75</v>
      </c>
      <c r="AE165" s="228">
        <v>0.4</v>
      </c>
      <c r="AF165" s="228">
        <v>-1.1499999999999999</v>
      </c>
      <c r="AG165" s="229">
        <v>-1.6999999999999999E-3</v>
      </c>
      <c r="AH165" s="228">
        <v>0.8</v>
      </c>
      <c r="AI165" s="228">
        <v>1.9</v>
      </c>
      <c r="AJ165" s="228">
        <v>-1.1000000000000001</v>
      </c>
      <c r="AK165" s="229">
        <v>1.8E-3</v>
      </c>
      <c r="AL165" s="228">
        <v>2.4</v>
      </c>
      <c r="AM165" s="228">
        <v>3.25</v>
      </c>
      <c r="AN165" s="228">
        <v>-0.85</v>
      </c>
      <c r="AO165" s="229">
        <v>5.4999999999999997E-3</v>
      </c>
      <c r="AP165" s="228">
        <v>441.31</v>
      </c>
      <c r="AQ165" s="228">
        <v>442.94</v>
      </c>
      <c r="AR165" s="228">
        <v>0</v>
      </c>
      <c r="AS165" s="228">
        <v>347</v>
      </c>
      <c r="AT165" s="228">
        <v>441</v>
      </c>
      <c r="AU165" s="228">
        <v>-94</v>
      </c>
      <c r="AV165" s="229">
        <v>-0.21240000000000001</v>
      </c>
      <c r="AW165" s="228">
        <v>190</v>
      </c>
      <c r="AX165" s="228">
        <v>211</v>
      </c>
      <c r="AY165" s="228">
        <v>-21</v>
      </c>
      <c r="AZ165" s="229">
        <v>-9.9199999999999997E-2</v>
      </c>
      <c r="BA165" s="228">
        <v>156</v>
      </c>
      <c r="BB165" s="228">
        <v>229</v>
      </c>
      <c r="BC165" s="228">
        <v>-73</v>
      </c>
      <c r="BD165" s="229">
        <v>-0.31859999999999999</v>
      </c>
      <c r="BE165" s="228">
        <v>1</v>
      </c>
      <c r="BF165" s="228">
        <v>1</v>
      </c>
      <c r="BG165" s="228">
        <v>0</v>
      </c>
      <c r="BH165" s="229">
        <v>0.1176</v>
      </c>
      <c r="BI165" s="228">
        <v>135</v>
      </c>
      <c r="BJ165" s="228">
        <v>374</v>
      </c>
      <c r="BK165" s="228">
        <v>-239</v>
      </c>
      <c r="BL165" s="229">
        <v>-0.63949999999999996</v>
      </c>
      <c r="BM165" s="228">
        <v>60</v>
      </c>
      <c r="BN165" s="228">
        <v>156</v>
      </c>
      <c r="BO165" s="228">
        <v>-95</v>
      </c>
      <c r="BP165" s="229">
        <v>-0.61140000000000005</v>
      </c>
      <c r="BQ165" s="228">
        <v>543</v>
      </c>
      <c r="BR165" s="228">
        <v>970</v>
      </c>
      <c r="BS165" s="228">
        <v>-428</v>
      </c>
      <c r="BT165" s="229">
        <v>-0.44080000000000003</v>
      </c>
      <c r="BU165" s="230">
        <v>1667968</v>
      </c>
      <c r="BV165" s="230">
        <v>2004293</v>
      </c>
      <c r="BW165" s="230">
        <v>-336325</v>
      </c>
      <c r="BX165" s="229">
        <v>-0.1678</v>
      </c>
      <c r="BY165" s="228">
        <v>450</v>
      </c>
      <c r="BZ165" s="228">
        <v>605</v>
      </c>
      <c r="CA165" s="228">
        <v>-154</v>
      </c>
      <c r="CB165" s="229">
        <v>-0.25540000000000002</v>
      </c>
      <c r="CC165" s="228">
        <v>118</v>
      </c>
      <c r="CD165" s="228">
        <v>198</v>
      </c>
      <c r="CE165" s="228">
        <v>-81</v>
      </c>
      <c r="CF165" s="229">
        <v>-0.40649999999999997</v>
      </c>
      <c r="CG165" s="228">
        <v>446</v>
      </c>
      <c r="CH165" s="228">
        <v>403</v>
      </c>
      <c r="CI165" s="228">
        <v>44</v>
      </c>
      <c r="CJ165" s="229">
        <v>0.1082</v>
      </c>
      <c r="CK165" s="228">
        <v>4</v>
      </c>
      <c r="CL165" s="228">
        <v>4</v>
      </c>
      <c r="CM165" s="228">
        <v>0</v>
      </c>
      <c r="CN165" s="229">
        <v>6.3500000000000001E-2</v>
      </c>
      <c r="CO165" s="228">
        <v>61</v>
      </c>
      <c r="CP165" s="228">
        <v>268</v>
      </c>
      <c r="CQ165" s="228">
        <v>-207</v>
      </c>
      <c r="CR165" s="229">
        <v>-0.77180000000000004</v>
      </c>
      <c r="CS165" s="228">
        <v>41</v>
      </c>
      <c r="CT165" s="228">
        <v>168</v>
      </c>
      <c r="CU165" s="228">
        <v>-126</v>
      </c>
      <c r="CV165" s="229">
        <v>-0.75429999999999997</v>
      </c>
      <c r="CW165" s="228">
        <v>553</v>
      </c>
      <c r="CX165" s="230">
        <v>1041</v>
      </c>
      <c r="CY165" s="228">
        <v>-488</v>
      </c>
      <c r="CZ165" s="229">
        <v>-0.46889999999999998</v>
      </c>
      <c r="DA165" s="228">
        <v>33.75</v>
      </c>
      <c r="DB165" s="228">
        <v>34.15</v>
      </c>
      <c r="DC165" s="228">
        <v>-0.4</v>
      </c>
      <c r="DD165" s="228">
        <v>-0.4</v>
      </c>
      <c r="DE165" s="228">
        <v>48.88</v>
      </c>
      <c r="DF165" s="228">
        <v>48.97</v>
      </c>
      <c r="DG165" s="228">
        <v>-15.13</v>
      </c>
      <c r="DH165" s="228">
        <v>-0.09</v>
      </c>
      <c r="DI165" s="228">
        <v>33.81</v>
      </c>
      <c r="DJ165" s="228">
        <v>34.14</v>
      </c>
      <c r="DK165" s="228">
        <v>-0.33</v>
      </c>
      <c r="DL165" s="228">
        <v>-0.33</v>
      </c>
      <c r="DM165" s="228">
        <v>33.67</v>
      </c>
      <c r="DN165" s="228">
        <v>34.159999999999997</v>
      </c>
      <c r="DO165" s="228">
        <v>-0.49</v>
      </c>
      <c r="DP165" s="228">
        <v>-0.49</v>
      </c>
      <c r="DQ165" s="228">
        <v>0.67</v>
      </c>
      <c r="DR165" s="228">
        <v>0.62</v>
      </c>
      <c r="DS165" s="228">
        <v>0.05</v>
      </c>
      <c r="DT165" s="229">
        <v>8.0600000000000005E-2</v>
      </c>
      <c r="DU165" s="228">
        <v>450</v>
      </c>
      <c r="DV165" s="228">
        <v>450</v>
      </c>
      <c r="DW165" s="228">
        <v>0.45</v>
      </c>
      <c r="DX165" s="228">
        <v>0.42</v>
      </c>
      <c r="DY165" s="228">
        <v>0.03</v>
      </c>
      <c r="DZ165" s="229">
        <v>7.1400000000000005E-2</v>
      </c>
      <c r="EA165" s="229">
        <v>0.79279999999999995</v>
      </c>
      <c r="EB165" s="230">
        <v>9221800</v>
      </c>
      <c r="EC165" s="229">
        <v>3.5000000000000001E-3</v>
      </c>
      <c r="ED165" s="229">
        <v>0.79279999999999995</v>
      </c>
      <c r="EE165" s="228">
        <v>1.63</v>
      </c>
      <c r="EF165" s="229">
        <v>3.7000000000000002E-3</v>
      </c>
      <c r="EG165" s="230">
        <v>593877</v>
      </c>
      <c r="EH165" s="230">
        <v>913283</v>
      </c>
      <c r="EI165" s="229">
        <v>-0.34970000000000001</v>
      </c>
      <c r="EJ165" s="229">
        <v>0.35599999999999998</v>
      </c>
      <c r="EK165" s="228">
        <v>141.81</v>
      </c>
      <c r="EL165" s="228">
        <v>61.08</v>
      </c>
      <c r="EM165" s="228">
        <v>348.37</v>
      </c>
      <c r="EN165" s="228">
        <v>0</v>
      </c>
      <c r="EO165" s="228">
        <v>551.26</v>
      </c>
      <c r="EP165" s="228">
        <v>995.69</v>
      </c>
      <c r="EQ165" s="228">
        <v>-444.43</v>
      </c>
      <c r="ER165" s="229">
        <v>-0.44640000000000002</v>
      </c>
      <c r="ES165" s="228">
        <v>65.06</v>
      </c>
      <c r="ET165" s="228">
        <v>40.15</v>
      </c>
      <c r="EU165" s="228">
        <v>450.33</v>
      </c>
      <c r="EV165" s="231">
        <v>141008560</v>
      </c>
      <c r="EW165" s="228">
        <v>555.54</v>
      </c>
      <c r="EX165" s="231">
        <v>1059.74</v>
      </c>
      <c r="EY165" s="228">
        <v>-504.2</v>
      </c>
      <c r="EZ165" s="229">
        <v>-0.4758</v>
      </c>
      <c r="FA165" s="229">
        <v>8.8900000000000007E-2</v>
      </c>
      <c r="FB165" s="227" t="s">
        <v>568</v>
      </c>
      <c r="FC165">
        <f t="shared" si="3"/>
        <v>0</v>
      </c>
    </row>
    <row r="166" spans="1:159" ht="17.25" thickBot="1" x14ac:dyDescent="0.3">
      <c r="A166" s="226">
        <v>45869</v>
      </c>
      <c r="B166" s="227" t="s">
        <v>193</v>
      </c>
      <c r="C166" s="227" t="s">
        <v>269</v>
      </c>
      <c r="D166" s="228">
        <v>2250</v>
      </c>
      <c r="E166" s="228">
        <v>0</v>
      </c>
      <c r="F166" s="228">
        <v>240.99</v>
      </c>
      <c r="G166" s="228">
        <v>242.65</v>
      </c>
      <c r="H166" s="228">
        <v>-1.66</v>
      </c>
      <c r="I166" s="229">
        <v>-6.7999999999999996E-3</v>
      </c>
      <c r="J166" s="228">
        <v>241</v>
      </c>
      <c r="K166" s="228">
        <v>241.81</v>
      </c>
      <c r="L166" s="228">
        <v>-0.81</v>
      </c>
      <c r="M166" s="229">
        <v>-3.3E-3</v>
      </c>
      <c r="N166" s="228">
        <v>240.85</v>
      </c>
      <c r="O166" s="228">
        <v>241.94</v>
      </c>
      <c r="P166" s="228">
        <v>-1.0900000000000001</v>
      </c>
      <c r="Q166" s="229">
        <v>-4.4999999999999997E-3</v>
      </c>
      <c r="R166" s="228">
        <v>240.99</v>
      </c>
      <c r="S166" s="228">
        <v>242.65</v>
      </c>
      <c r="T166" s="228">
        <v>-1.66</v>
      </c>
      <c r="U166" s="229">
        <v>-6.7999999999999996E-3</v>
      </c>
      <c r="V166" s="228">
        <v>241.93</v>
      </c>
      <c r="W166" s="228">
        <v>243.21</v>
      </c>
      <c r="X166" s="228">
        <v>-1.28</v>
      </c>
      <c r="Y166" s="229">
        <v>-5.3E-3</v>
      </c>
      <c r="Z166" s="228">
        <v>-0.01</v>
      </c>
      <c r="AA166" s="228">
        <v>0.13</v>
      </c>
      <c r="AB166" s="228">
        <v>-0.14000000000000001</v>
      </c>
      <c r="AC166" s="229">
        <v>0</v>
      </c>
      <c r="AD166" s="228">
        <v>-0.15</v>
      </c>
      <c r="AE166" s="228">
        <v>0.13</v>
      </c>
      <c r="AF166" s="228">
        <v>-0.28000000000000003</v>
      </c>
      <c r="AG166" s="229">
        <v>-5.9999999999999995E-4</v>
      </c>
      <c r="AH166" s="228">
        <v>-0.01</v>
      </c>
      <c r="AI166" s="228">
        <v>0.84</v>
      </c>
      <c r="AJ166" s="228">
        <v>-0.85</v>
      </c>
      <c r="AK166" s="229">
        <v>0</v>
      </c>
      <c r="AL166" s="228">
        <v>0.93</v>
      </c>
      <c r="AM166" s="228">
        <v>1.4</v>
      </c>
      <c r="AN166" s="228">
        <v>-0.47</v>
      </c>
      <c r="AO166" s="229">
        <v>3.8999999999999998E-3</v>
      </c>
      <c r="AP166" s="228">
        <v>240.94</v>
      </c>
      <c r="AQ166" s="228">
        <v>241.34</v>
      </c>
      <c r="AR166" s="228">
        <v>0</v>
      </c>
      <c r="AS166" s="230">
        <v>1275</v>
      </c>
      <c r="AT166" s="230">
        <v>1478</v>
      </c>
      <c r="AU166" s="228">
        <v>-203</v>
      </c>
      <c r="AV166" s="229">
        <v>-0.13719999999999999</v>
      </c>
      <c r="AW166" s="228">
        <v>568</v>
      </c>
      <c r="AX166" s="228">
        <v>696</v>
      </c>
      <c r="AY166" s="228">
        <v>-128</v>
      </c>
      <c r="AZ166" s="229">
        <v>-0.18360000000000001</v>
      </c>
      <c r="BA166" s="228">
        <v>683</v>
      </c>
      <c r="BB166" s="228">
        <v>731</v>
      </c>
      <c r="BC166" s="228">
        <v>-48</v>
      </c>
      <c r="BD166" s="229">
        <v>-6.54E-2</v>
      </c>
      <c r="BE166" s="228">
        <v>24</v>
      </c>
      <c r="BF166" s="228">
        <v>52</v>
      </c>
      <c r="BG166" s="228">
        <v>-27</v>
      </c>
      <c r="BH166" s="229">
        <v>-0.52949999999999997</v>
      </c>
      <c r="BI166" s="228">
        <v>488</v>
      </c>
      <c r="BJ166" s="228">
        <v>927</v>
      </c>
      <c r="BK166" s="228">
        <v>-440</v>
      </c>
      <c r="BL166" s="229">
        <v>-0.4743</v>
      </c>
      <c r="BM166" s="228">
        <v>305</v>
      </c>
      <c r="BN166" s="228">
        <v>391</v>
      </c>
      <c r="BO166" s="228">
        <v>-86</v>
      </c>
      <c r="BP166" s="229">
        <v>-0.2195</v>
      </c>
      <c r="BQ166" s="230">
        <v>2068</v>
      </c>
      <c r="BR166" s="230">
        <v>2797</v>
      </c>
      <c r="BS166" s="228">
        <v>-729</v>
      </c>
      <c r="BT166" s="229">
        <v>-0.26050000000000001</v>
      </c>
      <c r="BU166" s="230">
        <v>10430489</v>
      </c>
      <c r="BV166" s="230">
        <v>9551432</v>
      </c>
      <c r="BW166" s="230">
        <v>879057</v>
      </c>
      <c r="BX166" s="229">
        <v>9.1999999999999998E-2</v>
      </c>
      <c r="BY166" s="230">
        <v>2107</v>
      </c>
      <c r="BZ166" s="230">
        <v>2387</v>
      </c>
      <c r="CA166" s="228">
        <v>-280</v>
      </c>
      <c r="CB166" s="229">
        <v>-0.1173</v>
      </c>
      <c r="CC166" s="228">
        <v>273</v>
      </c>
      <c r="CD166" s="228">
        <v>645</v>
      </c>
      <c r="CE166" s="228">
        <v>-372</v>
      </c>
      <c r="CF166" s="229">
        <v>-0.57650000000000001</v>
      </c>
      <c r="CG166" s="230">
        <v>2050</v>
      </c>
      <c r="CH166" s="230">
        <v>1695</v>
      </c>
      <c r="CI166" s="228">
        <v>355</v>
      </c>
      <c r="CJ166" s="229">
        <v>0.20949999999999999</v>
      </c>
      <c r="CK166" s="228">
        <v>57</v>
      </c>
      <c r="CL166" s="228">
        <v>47</v>
      </c>
      <c r="CM166" s="228">
        <v>9</v>
      </c>
      <c r="CN166" s="229">
        <v>0.20180000000000001</v>
      </c>
      <c r="CO166" s="228">
        <v>297</v>
      </c>
      <c r="CP166" s="230">
        <v>1733</v>
      </c>
      <c r="CQ166" s="230">
        <v>-1436</v>
      </c>
      <c r="CR166" s="229">
        <v>-0.82869999999999999</v>
      </c>
      <c r="CS166" s="228">
        <v>268</v>
      </c>
      <c r="CT166" s="228">
        <v>514</v>
      </c>
      <c r="CU166" s="228">
        <v>-246</v>
      </c>
      <c r="CV166" s="229">
        <v>-0.47860000000000003</v>
      </c>
      <c r="CW166" s="230">
        <v>2672</v>
      </c>
      <c r="CX166" s="230">
        <v>4633</v>
      </c>
      <c r="CY166" s="230">
        <v>-1962</v>
      </c>
      <c r="CZ166" s="229">
        <v>-0.4234</v>
      </c>
      <c r="DA166" s="228">
        <v>23.93</v>
      </c>
      <c r="DB166" s="228">
        <v>24.77</v>
      </c>
      <c r="DC166" s="228">
        <v>-0.84</v>
      </c>
      <c r="DD166" s="228">
        <v>-0.84</v>
      </c>
      <c r="DE166" s="228">
        <v>35.83</v>
      </c>
      <c r="DF166" s="228">
        <v>35.909999999999997</v>
      </c>
      <c r="DG166" s="228">
        <v>-11.9</v>
      </c>
      <c r="DH166" s="228">
        <v>-0.08</v>
      </c>
      <c r="DI166" s="228">
        <v>23.96</v>
      </c>
      <c r="DJ166" s="228">
        <v>24.77</v>
      </c>
      <c r="DK166" s="228">
        <v>-0.81</v>
      </c>
      <c r="DL166" s="228">
        <v>-0.81</v>
      </c>
      <c r="DM166" s="228">
        <v>23.89</v>
      </c>
      <c r="DN166" s="228">
        <v>24.76</v>
      </c>
      <c r="DO166" s="228">
        <v>-0.87</v>
      </c>
      <c r="DP166" s="228">
        <v>-0.87</v>
      </c>
      <c r="DQ166" s="228">
        <v>0.9</v>
      </c>
      <c r="DR166" s="228">
        <v>0.3</v>
      </c>
      <c r="DS166" s="228">
        <v>0.6</v>
      </c>
      <c r="DT166" s="229">
        <v>2</v>
      </c>
      <c r="DU166" s="228">
        <v>250</v>
      </c>
      <c r="DV166" s="228">
        <v>240</v>
      </c>
      <c r="DW166" s="228">
        <v>0.63</v>
      </c>
      <c r="DX166" s="228">
        <v>0.42</v>
      </c>
      <c r="DY166" s="228">
        <v>0.21</v>
      </c>
      <c r="DZ166" s="229">
        <v>0.5</v>
      </c>
      <c r="EA166" s="229">
        <v>0.88529999999999998</v>
      </c>
      <c r="EB166" s="230">
        <v>72297000</v>
      </c>
      <c r="EC166" s="229">
        <v>5.9999999999999995E-4</v>
      </c>
      <c r="ED166" s="229">
        <v>0.88529999999999998</v>
      </c>
      <c r="EE166" s="228">
        <v>0.4</v>
      </c>
      <c r="EF166" s="229">
        <v>1.6999999999999999E-3</v>
      </c>
      <c r="EG166" s="230">
        <v>6291922</v>
      </c>
      <c r="EH166" s="230">
        <v>5707537</v>
      </c>
      <c r="EI166" s="229">
        <v>0.1024</v>
      </c>
      <c r="EJ166" s="229">
        <v>0.60319999999999996</v>
      </c>
      <c r="EK166" s="228">
        <v>506.9</v>
      </c>
      <c r="EL166" s="228">
        <v>313.18</v>
      </c>
      <c r="EM166" s="231">
        <v>1276.42</v>
      </c>
      <c r="EN166" s="228">
        <v>0</v>
      </c>
      <c r="EO166" s="231">
        <v>2096.5</v>
      </c>
      <c r="EP166" s="231">
        <v>2833.94</v>
      </c>
      <c r="EQ166" s="228">
        <v>-737.44</v>
      </c>
      <c r="ER166" s="229">
        <v>-0.26019999999999999</v>
      </c>
      <c r="ES166" s="228">
        <v>310.45</v>
      </c>
      <c r="ET166" s="228">
        <v>271.51</v>
      </c>
      <c r="EU166" s="231">
        <v>2107.1</v>
      </c>
      <c r="EV166" s="231">
        <v>1034282422</v>
      </c>
      <c r="EW166" s="231">
        <v>2689.06</v>
      </c>
      <c r="EX166" s="231">
        <v>4728.91</v>
      </c>
      <c r="EY166" s="231">
        <v>-2039.85</v>
      </c>
      <c r="EZ166" s="229">
        <v>-0.43140000000000001</v>
      </c>
      <c r="FA166" s="229">
        <v>0.1072</v>
      </c>
      <c r="FB166" s="227" t="s">
        <v>568</v>
      </c>
      <c r="FC166">
        <f t="shared" si="3"/>
        <v>0</v>
      </c>
    </row>
    <row r="167" spans="1:159" ht="17.25" thickBot="1" x14ac:dyDescent="0.3">
      <c r="A167" s="226">
        <v>45869</v>
      </c>
      <c r="B167" s="227" t="s">
        <v>197</v>
      </c>
      <c r="C167" s="227" t="s">
        <v>270</v>
      </c>
      <c r="D167" s="228">
        <v>15</v>
      </c>
      <c r="E167" s="228">
        <v>0</v>
      </c>
      <c r="F167" s="231">
        <v>46140</v>
      </c>
      <c r="G167" s="231">
        <v>46875</v>
      </c>
      <c r="H167" s="228">
        <v>-735</v>
      </c>
      <c r="I167" s="229">
        <v>-1.5699999999999999E-2</v>
      </c>
      <c r="J167" s="231">
        <v>48805</v>
      </c>
      <c r="K167" s="231">
        <v>48315</v>
      </c>
      <c r="L167" s="228">
        <v>490</v>
      </c>
      <c r="M167" s="229">
        <v>1.01E-2</v>
      </c>
      <c r="N167" s="231">
        <v>48910</v>
      </c>
      <c r="O167" s="231">
        <v>48450</v>
      </c>
      <c r="P167" s="228">
        <v>460</v>
      </c>
      <c r="Q167" s="229">
        <v>9.4999999999999998E-3</v>
      </c>
      <c r="R167" s="231">
        <v>46140</v>
      </c>
      <c r="S167" s="231">
        <v>46875</v>
      </c>
      <c r="T167" s="228">
        <v>-735</v>
      </c>
      <c r="U167" s="229">
        <v>-1.5699999999999999E-2</v>
      </c>
      <c r="V167" s="231">
        <v>45135</v>
      </c>
      <c r="W167" s="231">
        <v>45945</v>
      </c>
      <c r="X167" s="228">
        <v>-810</v>
      </c>
      <c r="Y167" s="229">
        <v>-1.7600000000000001E-2</v>
      </c>
      <c r="Z167" s="231">
        <v>-2665</v>
      </c>
      <c r="AA167" s="228">
        <v>135</v>
      </c>
      <c r="AB167" s="231">
        <v>-2800</v>
      </c>
      <c r="AC167" s="229">
        <v>-5.4600000000000003E-2</v>
      </c>
      <c r="AD167" s="228">
        <v>105</v>
      </c>
      <c r="AE167" s="228">
        <v>135</v>
      </c>
      <c r="AF167" s="228">
        <v>-30</v>
      </c>
      <c r="AG167" s="229">
        <v>2.2000000000000001E-3</v>
      </c>
      <c r="AH167" s="231">
        <v>-2665</v>
      </c>
      <c r="AI167" s="231">
        <v>-1440</v>
      </c>
      <c r="AJ167" s="231">
        <v>-1225</v>
      </c>
      <c r="AK167" s="229">
        <v>-5.4600000000000003E-2</v>
      </c>
      <c r="AL167" s="231">
        <v>-3670</v>
      </c>
      <c r="AM167" s="231">
        <v>-2370</v>
      </c>
      <c r="AN167" s="231">
        <v>-1300</v>
      </c>
      <c r="AO167" s="229">
        <v>-7.5200000000000003E-2</v>
      </c>
      <c r="AP167" s="231">
        <v>48610.080000000002</v>
      </c>
      <c r="AQ167" s="231">
        <v>46478.96</v>
      </c>
      <c r="AR167" s="228">
        <v>0</v>
      </c>
      <c r="AS167" s="228">
        <v>642</v>
      </c>
      <c r="AT167" s="230">
        <v>1398</v>
      </c>
      <c r="AU167" s="228">
        <v>-756</v>
      </c>
      <c r="AV167" s="229">
        <v>-0.54069999999999996</v>
      </c>
      <c r="AW167" s="228">
        <v>265</v>
      </c>
      <c r="AX167" s="228">
        <v>708</v>
      </c>
      <c r="AY167" s="228">
        <v>-443</v>
      </c>
      <c r="AZ167" s="229">
        <v>-0.62570000000000003</v>
      </c>
      <c r="BA167" s="228">
        <v>374</v>
      </c>
      <c r="BB167" s="228">
        <v>686</v>
      </c>
      <c r="BC167" s="228">
        <v>-312</v>
      </c>
      <c r="BD167" s="229">
        <v>-0.45469999999999999</v>
      </c>
      <c r="BE167" s="228">
        <v>3</v>
      </c>
      <c r="BF167" s="228">
        <v>4</v>
      </c>
      <c r="BG167" s="228">
        <v>-1</v>
      </c>
      <c r="BH167" s="229">
        <v>-0.2321</v>
      </c>
      <c r="BI167" s="228">
        <v>549</v>
      </c>
      <c r="BJ167" s="230">
        <v>1789</v>
      </c>
      <c r="BK167" s="230">
        <v>-1240</v>
      </c>
      <c r="BL167" s="229">
        <v>-0.69299999999999995</v>
      </c>
      <c r="BM167" s="228">
        <v>141</v>
      </c>
      <c r="BN167" s="228">
        <v>361</v>
      </c>
      <c r="BO167" s="228">
        <v>-220</v>
      </c>
      <c r="BP167" s="229">
        <v>-0.60940000000000005</v>
      </c>
      <c r="BQ167" s="230">
        <v>1332</v>
      </c>
      <c r="BR167" s="230">
        <v>3548</v>
      </c>
      <c r="BS167" s="230">
        <v>-2216</v>
      </c>
      <c r="BT167" s="229">
        <v>-0.62450000000000006</v>
      </c>
      <c r="BU167" s="230">
        <v>25918</v>
      </c>
      <c r="BV167" s="230">
        <v>64870</v>
      </c>
      <c r="BW167" s="230">
        <v>-38952</v>
      </c>
      <c r="BX167" s="229">
        <v>-0.60050000000000003</v>
      </c>
      <c r="BY167" s="230">
        <v>1292</v>
      </c>
      <c r="BZ167" s="230">
        <v>1449</v>
      </c>
      <c r="CA167" s="228">
        <v>-157</v>
      </c>
      <c r="CB167" s="229">
        <v>-0.1084</v>
      </c>
      <c r="CC167" s="228">
        <v>164</v>
      </c>
      <c r="CD167" s="228">
        <v>241</v>
      </c>
      <c r="CE167" s="228">
        <v>-77</v>
      </c>
      <c r="CF167" s="229">
        <v>-0.31830000000000003</v>
      </c>
      <c r="CG167" s="230">
        <v>1286</v>
      </c>
      <c r="CH167" s="230">
        <v>1204</v>
      </c>
      <c r="CI167" s="228">
        <v>83</v>
      </c>
      <c r="CJ167" s="229">
        <v>6.8599999999999994E-2</v>
      </c>
      <c r="CK167" s="228">
        <v>6</v>
      </c>
      <c r="CL167" s="228">
        <v>5</v>
      </c>
      <c r="CM167" s="228">
        <v>1</v>
      </c>
      <c r="CN167" s="229">
        <v>0.27139999999999997</v>
      </c>
      <c r="CO167" s="228">
        <v>49</v>
      </c>
      <c r="CP167" s="228">
        <v>265</v>
      </c>
      <c r="CQ167" s="228">
        <v>-216</v>
      </c>
      <c r="CR167" s="229">
        <v>-0.81489999999999996</v>
      </c>
      <c r="CS167" s="228">
        <v>14</v>
      </c>
      <c r="CT167" s="228">
        <v>110</v>
      </c>
      <c r="CU167" s="228">
        <v>-96</v>
      </c>
      <c r="CV167" s="229">
        <v>-0.87209999999999999</v>
      </c>
      <c r="CW167" s="230">
        <v>1355</v>
      </c>
      <c r="CX167" s="230">
        <v>1824</v>
      </c>
      <c r="CY167" s="228">
        <v>-469</v>
      </c>
      <c r="CZ167" s="229">
        <v>-0.2571</v>
      </c>
      <c r="DA167" s="228">
        <v>33.130000000000003</v>
      </c>
      <c r="DB167" s="228">
        <v>34.25</v>
      </c>
      <c r="DC167" s="228">
        <v>-1.1200000000000001</v>
      </c>
      <c r="DD167" s="228">
        <v>-1.1200000000000001</v>
      </c>
      <c r="DE167" s="228">
        <v>29.41</v>
      </c>
      <c r="DF167" s="228">
        <v>29.45</v>
      </c>
      <c r="DG167" s="228">
        <v>3.72</v>
      </c>
      <c r="DH167" s="228">
        <v>-0.04</v>
      </c>
      <c r="DI167" s="228">
        <v>33.229999999999997</v>
      </c>
      <c r="DJ167" s="228">
        <v>34.24</v>
      </c>
      <c r="DK167" s="228">
        <v>-1.01</v>
      </c>
      <c r="DL167" s="228">
        <v>-1.01</v>
      </c>
      <c r="DM167" s="228">
        <v>31.97</v>
      </c>
      <c r="DN167" s="228">
        <v>34.31</v>
      </c>
      <c r="DO167" s="228">
        <v>-2.34</v>
      </c>
      <c r="DP167" s="228">
        <v>-2.34</v>
      </c>
      <c r="DQ167" s="228">
        <v>0.28999999999999998</v>
      </c>
      <c r="DR167" s="228">
        <v>0.42</v>
      </c>
      <c r="DS167" s="228">
        <v>-0.13</v>
      </c>
      <c r="DT167" s="229">
        <v>-0.3095</v>
      </c>
      <c r="DU167" s="231">
        <v>50000</v>
      </c>
      <c r="DV167" s="231">
        <v>45000</v>
      </c>
      <c r="DW167" s="228">
        <v>0.26</v>
      </c>
      <c r="DX167" s="228">
        <v>0.2</v>
      </c>
      <c r="DY167" s="228">
        <v>0.06</v>
      </c>
      <c r="DZ167" s="229">
        <v>0.3</v>
      </c>
      <c r="EA167" s="229">
        <v>0.88719999999999999</v>
      </c>
      <c r="EB167" s="230">
        <v>261900</v>
      </c>
      <c r="EC167" s="229">
        <v>-5.6599999999999998E-2</v>
      </c>
      <c r="ED167" s="229">
        <v>0.88719999999999999</v>
      </c>
      <c r="EE167" s="231">
        <v>-2131.12</v>
      </c>
      <c r="EF167" s="229">
        <v>-4.3799999999999999E-2</v>
      </c>
      <c r="EG167" s="230">
        <v>10606</v>
      </c>
      <c r="EH167" s="230">
        <v>39855</v>
      </c>
      <c r="EI167" s="229">
        <v>-0.7339</v>
      </c>
      <c r="EJ167" s="229">
        <v>0.40920000000000001</v>
      </c>
      <c r="EK167" s="228">
        <v>596.57000000000005</v>
      </c>
      <c r="EL167" s="228">
        <v>142.47</v>
      </c>
      <c r="EM167" s="228">
        <v>658.82</v>
      </c>
      <c r="EN167" s="228">
        <v>0</v>
      </c>
      <c r="EO167" s="231">
        <v>1397.87</v>
      </c>
      <c r="EP167" s="231">
        <v>3731.39</v>
      </c>
      <c r="EQ167" s="231">
        <v>-2333.5300000000002</v>
      </c>
      <c r="ER167" s="229">
        <v>-0.62539999999999996</v>
      </c>
      <c r="ES167" s="228">
        <v>53.21</v>
      </c>
      <c r="ET167" s="228">
        <v>13.59</v>
      </c>
      <c r="EU167" s="231">
        <v>1292.1500000000001</v>
      </c>
      <c r="EV167" s="231">
        <v>1274066</v>
      </c>
      <c r="EW167" s="231">
        <v>1358.96</v>
      </c>
      <c r="EX167" s="231">
        <v>1877.39</v>
      </c>
      <c r="EY167" s="228">
        <v>-518.42999999999995</v>
      </c>
      <c r="EZ167" s="229">
        <v>-0.27610000000000001</v>
      </c>
      <c r="FA167" s="229">
        <v>0.2306</v>
      </c>
      <c r="FB167" s="227" t="s">
        <v>568</v>
      </c>
      <c r="FC167">
        <f t="shared" si="3"/>
        <v>0</v>
      </c>
    </row>
    <row r="168" spans="1:159" ht="17.25" thickBot="1" x14ac:dyDescent="0.3">
      <c r="A168" s="226">
        <v>45869</v>
      </c>
      <c r="B168" s="227" t="s">
        <v>168</v>
      </c>
      <c r="C168" s="227" t="s">
        <v>667</v>
      </c>
      <c r="D168" s="228">
        <v>300</v>
      </c>
      <c r="E168" s="228">
        <v>0</v>
      </c>
      <c r="F168" s="231">
        <v>1881.1</v>
      </c>
      <c r="G168" s="231">
        <v>1907.6</v>
      </c>
      <c r="H168" s="228">
        <v>-26.5</v>
      </c>
      <c r="I168" s="229">
        <v>-1.3899999999999999E-2</v>
      </c>
      <c r="J168" s="231">
        <v>1873.7</v>
      </c>
      <c r="K168" s="231">
        <v>1899.9</v>
      </c>
      <c r="L168" s="228">
        <v>-26.2</v>
      </c>
      <c r="M168" s="229">
        <v>-1.38E-2</v>
      </c>
      <c r="N168" s="231">
        <v>1870.3</v>
      </c>
      <c r="O168" s="231">
        <v>1898.4</v>
      </c>
      <c r="P168" s="228">
        <v>-28.1</v>
      </c>
      <c r="Q168" s="229">
        <v>-1.4800000000000001E-2</v>
      </c>
      <c r="R168" s="231">
        <v>1881.1</v>
      </c>
      <c r="S168" s="231">
        <v>1907.6</v>
      </c>
      <c r="T168" s="228">
        <v>-26.5</v>
      </c>
      <c r="U168" s="229">
        <v>-1.3899999999999999E-2</v>
      </c>
      <c r="V168" s="231">
        <v>1885</v>
      </c>
      <c r="W168" s="231">
        <v>1911.9</v>
      </c>
      <c r="X168" s="228">
        <v>-26.9</v>
      </c>
      <c r="Y168" s="229">
        <v>-1.41E-2</v>
      </c>
      <c r="Z168" s="228">
        <v>7.4</v>
      </c>
      <c r="AA168" s="228">
        <v>-1.5</v>
      </c>
      <c r="AB168" s="228">
        <v>8.9</v>
      </c>
      <c r="AC168" s="229">
        <v>3.8999999999999998E-3</v>
      </c>
      <c r="AD168" s="228">
        <v>-3.4</v>
      </c>
      <c r="AE168" s="228">
        <v>-1.5</v>
      </c>
      <c r="AF168" s="228">
        <v>-1.9</v>
      </c>
      <c r="AG168" s="229">
        <v>-1.8E-3</v>
      </c>
      <c r="AH168" s="228">
        <v>7.4</v>
      </c>
      <c r="AI168" s="228">
        <v>7.7</v>
      </c>
      <c r="AJ168" s="228">
        <v>-0.3</v>
      </c>
      <c r="AK168" s="229">
        <v>3.8999999999999998E-3</v>
      </c>
      <c r="AL168" s="228">
        <v>11.3</v>
      </c>
      <c r="AM168" s="228">
        <v>12</v>
      </c>
      <c r="AN168" s="228">
        <v>-0.7</v>
      </c>
      <c r="AO168" s="229">
        <v>6.0000000000000001E-3</v>
      </c>
      <c r="AP168" s="231">
        <v>1880.56</v>
      </c>
      <c r="AQ168" s="231">
        <v>1890.81</v>
      </c>
      <c r="AR168" s="228">
        <v>0</v>
      </c>
      <c r="AS168" s="230">
        <v>1385</v>
      </c>
      <c r="AT168" s="230">
        <v>1053</v>
      </c>
      <c r="AU168" s="228">
        <v>332</v>
      </c>
      <c r="AV168" s="229">
        <v>0.31580000000000003</v>
      </c>
      <c r="AW168" s="228">
        <v>614</v>
      </c>
      <c r="AX168" s="228">
        <v>468</v>
      </c>
      <c r="AY168" s="228">
        <v>146</v>
      </c>
      <c r="AZ168" s="229">
        <v>0.31069999999999998</v>
      </c>
      <c r="BA168" s="228">
        <v>770</v>
      </c>
      <c r="BB168" s="228">
        <v>583</v>
      </c>
      <c r="BC168" s="228">
        <v>187</v>
      </c>
      <c r="BD168" s="229">
        <v>0.32069999999999999</v>
      </c>
      <c r="BE168" s="228">
        <v>1</v>
      </c>
      <c r="BF168" s="228">
        <v>1</v>
      </c>
      <c r="BG168" s="228">
        <v>0</v>
      </c>
      <c r="BH168" s="229">
        <v>-0.21429999999999999</v>
      </c>
      <c r="BI168" s="228">
        <v>599</v>
      </c>
      <c r="BJ168" s="228">
        <v>851</v>
      </c>
      <c r="BK168" s="228">
        <v>-252</v>
      </c>
      <c r="BL168" s="229">
        <v>-0.29630000000000001</v>
      </c>
      <c r="BM168" s="228">
        <v>311</v>
      </c>
      <c r="BN168" s="228">
        <v>311</v>
      </c>
      <c r="BO168" s="228">
        <v>1</v>
      </c>
      <c r="BP168" s="229">
        <v>2.2000000000000001E-3</v>
      </c>
      <c r="BQ168" s="230">
        <v>2295</v>
      </c>
      <c r="BR168" s="230">
        <v>2214</v>
      </c>
      <c r="BS168" s="228">
        <v>81</v>
      </c>
      <c r="BT168" s="229">
        <v>3.6600000000000001E-2</v>
      </c>
      <c r="BU168" s="230">
        <v>1112023</v>
      </c>
      <c r="BV168" s="230">
        <v>1346658</v>
      </c>
      <c r="BW168" s="230">
        <v>-234635</v>
      </c>
      <c r="BX168" s="229">
        <v>-0.17419999999999999</v>
      </c>
      <c r="BY168" s="230">
        <v>1858</v>
      </c>
      <c r="BZ168" s="230">
        <v>2015</v>
      </c>
      <c r="CA168" s="228">
        <v>-157</v>
      </c>
      <c r="CB168" s="229">
        <v>-7.8E-2</v>
      </c>
      <c r="CC168" s="228">
        <v>210</v>
      </c>
      <c r="CD168" s="228">
        <v>622</v>
      </c>
      <c r="CE168" s="228">
        <v>-412</v>
      </c>
      <c r="CF168" s="229">
        <v>-0.66169999999999995</v>
      </c>
      <c r="CG168" s="230">
        <v>1855</v>
      </c>
      <c r="CH168" s="230">
        <v>1390</v>
      </c>
      <c r="CI168" s="228">
        <v>465</v>
      </c>
      <c r="CJ168" s="229">
        <v>0.33460000000000001</v>
      </c>
      <c r="CK168" s="228">
        <v>4</v>
      </c>
      <c r="CL168" s="228">
        <v>4</v>
      </c>
      <c r="CM168" s="228">
        <v>0</v>
      </c>
      <c r="CN168" s="229">
        <v>6.25E-2</v>
      </c>
      <c r="CO168" s="228">
        <v>133</v>
      </c>
      <c r="CP168" s="228">
        <v>696</v>
      </c>
      <c r="CQ168" s="228">
        <v>-563</v>
      </c>
      <c r="CR168" s="229">
        <v>-0.8085</v>
      </c>
      <c r="CS168" s="228">
        <v>76</v>
      </c>
      <c r="CT168" s="228">
        <v>403</v>
      </c>
      <c r="CU168" s="228">
        <v>-327</v>
      </c>
      <c r="CV168" s="229">
        <v>-0.81110000000000004</v>
      </c>
      <c r="CW168" s="230">
        <v>2068</v>
      </c>
      <c r="CX168" s="230">
        <v>3114</v>
      </c>
      <c r="CY168" s="230">
        <v>-1046</v>
      </c>
      <c r="CZ168" s="229">
        <v>-0.33600000000000002</v>
      </c>
      <c r="DA168" s="228">
        <v>32.03</v>
      </c>
      <c r="DB168" s="228">
        <v>32.21</v>
      </c>
      <c r="DC168" s="228">
        <v>-0.18</v>
      </c>
      <c r="DD168" s="228">
        <v>-0.18</v>
      </c>
      <c r="DE168" s="228">
        <v>37.33</v>
      </c>
      <c r="DF168" s="228">
        <v>37.369999999999997</v>
      </c>
      <c r="DG168" s="228">
        <v>-5.3</v>
      </c>
      <c r="DH168" s="228">
        <v>-0.04</v>
      </c>
      <c r="DI168" s="228">
        <v>32.159999999999997</v>
      </c>
      <c r="DJ168" s="228">
        <v>32.18</v>
      </c>
      <c r="DK168" s="228">
        <v>-0.02</v>
      </c>
      <c r="DL168" s="228">
        <v>-0.02</v>
      </c>
      <c r="DM168" s="228">
        <v>31.76</v>
      </c>
      <c r="DN168" s="228">
        <v>32.299999999999997</v>
      </c>
      <c r="DO168" s="228">
        <v>-0.54</v>
      </c>
      <c r="DP168" s="228">
        <v>-0.54</v>
      </c>
      <c r="DQ168" s="228">
        <v>0.56999999999999995</v>
      </c>
      <c r="DR168" s="228">
        <v>0.57999999999999996</v>
      </c>
      <c r="DS168" s="228">
        <v>-0.01</v>
      </c>
      <c r="DT168" s="229">
        <v>-1.72E-2</v>
      </c>
      <c r="DU168" s="231">
        <v>2000</v>
      </c>
      <c r="DV168" s="231">
        <v>1820</v>
      </c>
      <c r="DW168" s="228">
        <v>0.52</v>
      </c>
      <c r="DX168" s="228">
        <v>0.37</v>
      </c>
      <c r="DY168" s="228">
        <v>0.15</v>
      </c>
      <c r="DZ168" s="229">
        <v>0.40539999999999998</v>
      </c>
      <c r="EA168" s="229">
        <v>0.89829999999999999</v>
      </c>
      <c r="EB168" s="230">
        <v>7406100</v>
      </c>
      <c r="EC168" s="229">
        <v>5.7999999999999996E-3</v>
      </c>
      <c r="ED168" s="229">
        <v>0.89829999999999999</v>
      </c>
      <c r="EE168" s="228">
        <v>10.25</v>
      </c>
      <c r="EF168" s="229">
        <v>5.4999999999999997E-3</v>
      </c>
      <c r="EG168" s="230">
        <v>555166</v>
      </c>
      <c r="EH168" s="230">
        <v>593909</v>
      </c>
      <c r="EI168" s="229">
        <v>-6.5199999999999994E-2</v>
      </c>
      <c r="EJ168" s="229">
        <v>0.49919999999999998</v>
      </c>
      <c r="EK168" s="228">
        <v>618.70000000000005</v>
      </c>
      <c r="EL168" s="228">
        <v>305.01</v>
      </c>
      <c r="EM168" s="231">
        <v>1388.84</v>
      </c>
      <c r="EN168" s="228">
        <v>0</v>
      </c>
      <c r="EO168" s="231">
        <v>2312.5500000000002</v>
      </c>
      <c r="EP168" s="231">
        <v>2265.81</v>
      </c>
      <c r="EQ168" s="228">
        <v>46.74</v>
      </c>
      <c r="ER168" s="229">
        <v>2.06E-2</v>
      </c>
      <c r="ES168" s="228">
        <v>139.94</v>
      </c>
      <c r="ET168" s="228">
        <v>73.95</v>
      </c>
      <c r="EU168" s="231">
        <v>1858.35</v>
      </c>
      <c r="EV168" s="231">
        <v>22129978</v>
      </c>
      <c r="EW168" s="231">
        <v>2072.23</v>
      </c>
      <c r="EX168" s="231">
        <v>3129.66</v>
      </c>
      <c r="EY168" s="231">
        <v>-1057.43</v>
      </c>
      <c r="EZ168" s="229">
        <v>-0.33789999999999998</v>
      </c>
      <c r="FA168" s="229">
        <v>0.49669999999999997</v>
      </c>
      <c r="FB168" s="227" t="s">
        <v>568</v>
      </c>
      <c r="FC168">
        <f t="shared" si="3"/>
        <v>0</v>
      </c>
    </row>
    <row r="169" spans="1:159" ht="17.25" thickBot="1" x14ac:dyDescent="0.3">
      <c r="A169" s="226">
        <v>45869</v>
      </c>
      <c r="B169" s="227" t="s">
        <v>616</v>
      </c>
      <c r="C169" s="227" t="s">
        <v>576</v>
      </c>
      <c r="D169" s="228">
        <v>725</v>
      </c>
      <c r="E169" s="228">
        <v>0</v>
      </c>
      <c r="F169" s="231">
        <v>1093.0999999999999</v>
      </c>
      <c r="G169" s="231">
        <v>1073.4000000000001</v>
      </c>
      <c r="H169" s="228">
        <v>19.7</v>
      </c>
      <c r="I169" s="229">
        <v>1.84E-2</v>
      </c>
      <c r="J169" s="231">
        <v>1089.3499999999999</v>
      </c>
      <c r="K169" s="231">
        <v>1068.2</v>
      </c>
      <c r="L169" s="228">
        <v>21.15</v>
      </c>
      <c r="M169" s="229">
        <v>1.9800000000000002E-2</v>
      </c>
      <c r="N169" s="231">
        <v>1086.55</v>
      </c>
      <c r="O169" s="231">
        <v>1067.5</v>
      </c>
      <c r="P169" s="228">
        <v>19.05</v>
      </c>
      <c r="Q169" s="229">
        <v>1.78E-2</v>
      </c>
      <c r="R169" s="231">
        <v>1093.0999999999999</v>
      </c>
      <c r="S169" s="231">
        <v>1073.4000000000001</v>
      </c>
      <c r="T169" s="228">
        <v>19.7</v>
      </c>
      <c r="U169" s="229">
        <v>1.84E-2</v>
      </c>
      <c r="V169" s="231">
        <v>1099.7</v>
      </c>
      <c r="W169" s="231">
        <v>1079.2</v>
      </c>
      <c r="X169" s="228">
        <v>20.5</v>
      </c>
      <c r="Y169" s="229">
        <v>1.9E-2</v>
      </c>
      <c r="Z169" s="228">
        <v>3.75</v>
      </c>
      <c r="AA169" s="228">
        <v>-0.7</v>
      </c>
      <c r="AB169" s="228">
        <v>4.45</v>
      </c>
      <c r="AC169" s="229">
        <v>3.3999999999999998E-3</v>
      </c>
      <c r="AD169" s="228">
        <v>-2.8</v>
      </c>
      <c r="AE169" s="228">
        <v>-0.7</v>
      </c>
      <c r="AF169" s="228">
        <v>-2.1</v>
      </c>
      <c r="AG169" s="229">
        <v>-2.5999999999999999E-3</v>
      </c>
      <c r="AH169" s="228">
        <v>3.75</v>
      </c>
      <c r="AI169" s="228">
        <v>5.2</v>
      </c>
      <c r="AJ169" s="228">
        <v>-1.45</v>
      </c>
      <c r="AK169" s="229">
        <v>3.3999999999999998E-3</v>
      </c>
      <c r="AL169" s="228">
        <v>10.35</v>
      </c>
      <c r="AM169" s="228">
        <v>11</v>
      </c>
      <c r="AN169" s="228">
        <v>-0.65</v>
      </c>
      <c r="AO169" s="229">
        <v>9.4999999999999998E-3</v>
      </c>
      <c r="AP169" s="231">
        <v>1080.07</v>
      </c>
      <c r="AQ169" s="231">
        <v>1085.19</v>
      </c>
      <c r="AR169" s="228">
        <v>0</v>
      </c>
      <c r="AS169" s="230">
        <v>1661</v>
      </c>
      <c r="AT169" s="230">
        <v>1788</v>
      </c>
      <c r="AU169" s="228">
        <v>-127</v>
      </c>
      <c r="AV169" s="229">
        <v>-7.1099999999999997E-2</v>
      </c>
      <c r="AW169" s="228">
        <v>647</v>
      </c>
      <c r="AX169" s="228">
        <v>885</v>
      </c>
      <c r="AY169" s="228">
        <v>-239</v>
      </c>
      <c r="AZ169" s="229">
        <v>-0.2697</v>
      </c>
      <c r="BA169" s="228">
        <v>996</v>
      </c>
      <c r="BB169" s="228">
        <v>898</v>
      </c>
      <c r="BC169" s="228">
        <v>98</v>
      </c>
      <c r="BD169" s="229">
        <v>0.1095</v>
      </c>
      <c r="BE169" s="228">
        <v>18</v>
      </c>
      <c r="BF169" s="228">
        <v>5</v>
      </c>
      <c r="BG169" s="228">
        <v>13</v>
      </c>
      <c r="BH169" s="229">
        <v>2.6349</v>
      </c>
      <c r="BI169" s="230">
        <v>2437</v>
      </c>
      <c r="BJ169" s="230">
        <v>1778</v>
      </c>
      <c r="BK169" s="228">
        <v>658</v>
      </c>
      <c r="BL169" s="229">
        <v>0.37030000000000002</v>
      </c>
      <c r="BM169" s="230">
        <v>1052</v>
      </c>
      <c r="BN169" s="228">
        <v>967</v>
      </c>
      <c r="BO169" s="228">
        <v>85</v>
      </c>
      <c r="BP169" s="229">
        <v>8.8099999999999998E-2</v>
      </c>
      <c r="BQ169" s="230">
        <v>5150</v>
      </c>
      <c r="BR169" s="230">
        <v>4534</v>
      </c>
      <c r="BS169" s="228">
        <v>616</v>
      </c>
      <c r="BT169" s="229">
        <v>0.13600000000000001</v>
      </c>
      <c r="BU169" s="230">
        <v>5721592</v>
      </c>
      <c r="BV169" s="230">
        <v>3195153</v>
      </c>
      <c r="BW169" s="230">
        <v>2526439</v>
      </c>
      <c r="BX169" s="229">
        <v>0.79069999999999996</v>
      </c>
      <c r="BY169" s="230">
        <v>2427</v>
      </c>
      <c r="BZ169" s="230">
        <v>2699</v>
      </c>
      <c r="CA169" s="228">
        <v>-271</v>
      </c>
      <c r="CB169" s="229">
        <v>-0.10059999999999999</v>
      </c>
      <c r="CC169" s="228">
        <v>264</v>
      </c>
      <c r="CD169" s="228">
        <v>429</v>
      </c>
      <c r="CE169" s="228">
        <v>-165</v>
      </c>
      <c r="CF169" s="229">
        <v>-0.38500000000000001</v>
      </c>
      <c r="CG169" s="230">
        <v>2403</v>
      </c>
      <c r="CH169" s="230">
        <v>2251</v>
      </c>
      <c r="CI169" s="228">
        <v>153</v>
      </c>
      <c r="CJ169" s="229">
        <v>6.7799999999999999E-2</v>
      </c>
      <c r="CK169" s="228">
        <v>24</v>
      </c>
      <c r="CL169" s="228">
        <v>19</v>
      </c>
      <c r="CM169" s="228">
        <v>5</v>
      </c>
      <c r="CN169" s="229">
        <v>0.23769999999999999</v>
      </c>
      <c r="CO169" s="228">
        <v>487</v>
      </c>
      <c r="CP169" s="230">
        <v>1269</v>
      </c>
      <c r="CQ169" s="228">
        <v>-782</v>
      </c>
      <c r="CR169" s="229">
        <v>-0.61629999999999996</v>
      </c>
      <c r="CS169" s="228">
        <v>343</v>
      </c>
      <c r="CT169" s="228">
        <v>913</v>
      </c>
      <c r="CU169" s="228">
        <v>-570</v>
      </c>
      <c r="CV169" s="229">
        <v>-0.62460000000000004</v>
      </c>
      <c r="CW169" s="230">
        <v>3257</v>
      </c>
      <c r="CX169" s="230">
        <v>4880</v>
      </c>
      <c r="CY169" s="230">
        <v>-1624</v>
      </c>
      <c r="CZ169" s="229">
        <v>-0.3327</v>
      </c>
      <c r="DA169" s="228">
        <v>37.14</v>
      </c>
      <c r="DB169" s="228">
        <v>36.549999999999997</v>
      </c>
      <c r="DC169" s="228">
        <v>0.59</v>
      </c>
      <c r="DD169" s="228">
        <v>0.59</v>
      </c>
      <c r="DE169" s="228">
        <v>60.38</v>
      </c>
      <c r="DF169" s="228">
        <v>60.48</v>
      </c>
      <c r="DG169" s="228">
        <v>-23.24</v>
      </c>
      <c r="DH169" s="228">
        <v>-0.1</v>
      </c>
      <c r="DI169" s="228">
        <v>36.090000000000003</v>
      </c>
      <c r="DJ169" s="228">
        <v>36.36</v>
      </c>
      <c r="DK169" s="228">
        <v>-0.27</v>
      </c>
      <c r="DL169" s="228">
        <v>-0.27</v>
      </c>
      <c r="DM169" s="228">
        <v>39.94</v>
      </c>
      <c r="DN169" s="228">
        <v>36.97</v>
      </c>
      <c r="DO169" s="228">
        <v>2.97</v>
      </c>
      <c r="DP169" s="228">
        <v>2.97</v>
      </c>
      <c r="DQ169" s="228">
        <v>0.7</v>
      </c>
      <c r="DR169" s="228">
        <v>0.72</v>
      </c>
      <c r="DS169" s="228">
        <v>-0.02</v>
      </c>
      <c r="DT169" s="229">
        <v>-2.7799999999999998E-2</v>
      </c>
      <c r="DU169" s="231">
        <v>1100</v>
      </c>
      <c r="DV169" s="231">
        <v>1000</v>
      </c>
      <c r="DW169" s="228">
        <v>0.43</v>
      </c>
      <c r="DX169" s="228">
        <v>0.54</v>
      </c>
      <c r="DY169" s="228">
        <v>-0.11</v>
      </c>
      <c r="DZ169" s="229">
        <v>-0.20369999999999999</v>
      </c>
      <c r="EA169" s="229">
        <v>0.90200000000000002</v>
      </c>
      <c r="EB169" s="230">
        <v>20766175</v>
      </c>
      <c r="EC169" s="229">
        <v>6.0000000000000001E-3</v>
      </c>
      <c r="ED169" s="229">
        <v>0.90200000000000002</v>
      </c>
      <c r="EE169" s="228">
        <v>5.12</v>
      </c>
      <c r="EF169" s="229">
        <v>4.7000000000000002E-3</v>
      </c>
      <c r="EG169" s="230">
        <v>2591185</v>
      </c>
      <c r="EH169" s="230">
        <v>826344</v>
      </c>
      <c r="EI169" s="229">
        <v>2.1356999999999999</v>
      </c>
      <c r="EJ169" s="229">
        <v>0.45290000000000002</v>
      </c>
      <c r="EK169" s="231">
        <v>2532.96</v>
      </c>
      <c r="EL169" s="231">
        <v>1017.19</v>
      </c>
      <c r="EM169" s="231">
        <v>1645.94</v>
      </c>
      <c r="EN169" s="228">
        <v>0</v>
      </c>
      <c r="EO169" s="231">
        <v>5196.08</v>
      </c>
      <c r="EP169" s="231">
        <v>4494.8500000000004</v>
      </c>
      <c r="EQ169" s="228">
        <v>701.24</v>
      </c>
      <c r="ER169" s="229">
        <v>0.156</v>
      </c>
      <c r="ES169" s="228">
        <v>505.13</v>
      </c>
      <c r="ET169" s="228">
        <v>317.93</v>
      </c>
      <c r="EU169" s="231">
        <v>2427.33</v>
      </c>
      <c r="EV169" s="231">
        <v>127569096</v>
      </c>
      <c r="EW169" s="231">
        <v>3250.38</v>
      </c>
      <c r="EX169" s="231">
        <v>4728.09</v>
      </c>
      <c r="EY169" s="231">
        <v>-1477.71</v>
      </c>
      <c r="EZ169" s="229">
        <v>-0.3125</v>
      </c>
      <c r="FA169" s="229">
        <v>0.23350000000000001</v>
      </c>
      <c r="FB169" s="227" t="s">
        <v>556</v>
      </c>
      <c r="FC169">
        <f t="shared" si="3"/>
        <v>0</v>
      </c>
    </row>
    <row r="170" spans="1:159" ht="17.25" thickBot="1" x14ac:dyDescent="0.3">
      <c r="A170" s="226">
        <v>45869</v>
      </c>
      <c r="B170" s="227" t="s">
        <v>175</v>
      </c>
      <c r="C170" s="227" t="s">
        <v>271</v>
      </c>
      <c r="D170" s="228">
        <v>750</v>
      </c>
      <c r="E170" s="228">
        <v>0</v>
      </c>
      <c r="F170" s="228">
        <v>0</v>
      </c>
      <c r="G170" s="228">
        <v>0</v>
      </c>
      <c r="H170" s="228">
        <v>0</v>
      </c>
      <c r="I170" s="229">
        <v>0</v>
      </c>
      <c r="J170" s="231">
        <v>1251.8</v>
      </c>
      <c r="K170" s="231">
        <v>1287.5999999999999</v>
      </c>
      <c r="L170" s="228">
        <v>-35.799999999999997</v>
      </c>
      <c r="M170" s="229">
        <v>-2.7799999999999998E-2</v>
      </c>
      <c r="N170" s="231">
        <v>1250.5999999999999</v>
      </c>
      <c r="O170" s="231">
        <v>1287.5999999999999</v>
      </c>
      <c r="P170" s="228">
        <v>-37</v>
      </c>
      <c r="Q170" s="229">
        <v>-2.87E-2</v>
      </c>
      <c r="R170" s="228">
        <v>0</v>
      </c>
      <c r="S170" s="228">
        <v>0</v>
      </c>
      <c r="T170" s="228">
        <v>0</v>
      </c>
      <c r="U170" s="229">
        <v>0</v>
      </c>
      <c r="V170" s="228">
        <v>0</v>
      </c>
      <c r="W170" s="228">
        <v>0</v>
      </c>
      <c r="X170" s="228">
        <v>0</v>
      </c>
      <c r="Y170" s="229">
        <v>0</v>
      </c>
      <c r="Z170" s="228">
        <v>0</v>
      </c>
      <c r="AA170" s="228">
        <v>0</v>
      </c>
      <c r="AB170" s="228">
        <v>0</v>
      </c>
      <c r="AC170" s="229">
        <v>0</v>
      </c>
      <c r="AD170" s="228">
        <v>-1.2</v>
      </c>
      <c r="AE170" s="228">
        <v>0</v>
      </c>
      <c r="AF170" s="228">
        <v>-1.2</v>
      </c>
      <c r="AG170" s="229">
        <v>-1E-3</v>
      </c>
      <c r="AH170" s="228">
        <v>0</v>
      </c>
      <c r="AI170" s="228">
        <v>0</v>
      </c>
      <c r="AJ170" s="228">
        <v>0</v>
      </c>
      <c r="AK170" s="229">
        <v>0</v>
      </c>
      <c r="AL170" s="228">
        <v>0</v>
      </c>
      <c r="AM170" s="228">
        <v>0</v>
      </c>
      <c r="AN170" s="228">
        <v>0</v>
      </c>
      <c r="AO170" s="229">
        <v>0</v>
      </c>
      <c r="AP170" s="231">
        <v>1256.55</v>
      </c>
      <c r="AQ170" s="228">
        <v>0</v>
      </c>
      <c r="AR170" s="228">
        <v>0</v>
      </c>
      <c r="AS170" s="228">
        <v>0</v>
      </c>
      <c r="AT170" s="228">
        <v>0</v>
      </c>
      <c r="AU170" s="228">
        <v>0</v>
      </c>
      <c r="AV170" s="229">
        <v>-0.46929999999999999</v>
      </c>
      <c r="AW170" s="228">
        <v>0</v>
      </c>
      <c r="AX170" s="228">
        <v>0</v>
      </c>
      <c r="AY170" s="228">
        <v>0</v>
      </c>
      <c r="AZ170" s="229">
        <v>-0.46929999999999999</v>
      </c>
      <c r="BA170" s="228">
        <v>0</v>
      </c>
      <c r="BB170" s="228">
        <v>0</v>
      </c>
      <c r="BC170" s="228">
        <v>0</v>
      </c>
      <c r="BD170" s="229">
        <v>0</v>
      </c>
      <c r="BE170" s="228">
        <v>0</v>
      </c>
      <c r="BF170" s="228">
        <v>0</v>
      </c>
      <c r="BG170" s="228">
        <v>0</v>
      </c>
      <c r="BH170" s="229">
        <v>0</v>
      </c>
      <c r="BI170" s="228">
        <v>0</v>
      </c>
      <c r="BJ170" s="228">
        <v>0</v>
      </c>
      <c r="BK170" s="228">
        <v>0</v>
      </c>
      <c r="BL170" s="229">
        <v>-0.78600000000000003</v>
      </c>
      <c r="BM170" s="228">
        <v>0</v>
      </c>
      <c r="BN170" s="228">
        <v>0</v>
      </c>
      <c r="BO170" s="228">
        <v>0</v>
      </c>
      <c r="BP170" s="229">
        <v>-0.81240000000000001</v>
      </c>
      <c r="BQ170" s="228">
        <v>0</v>
      </c>
      <c r="BR170" s="228">
        <v>0</v>
      </c>
      <c r="BS170" s="228">
        <v>0</v>
      </c>
      <c r="BT170" s="229">
        <v>-0.7641</v>
      </c>
      <c r="BU170" s="230">
        <v>2343184</v>
      </c>
      <c r="BV170" s="230">
        <v>4532294</v>
      </c>
      <c r="BW170" s="230">
        <v>-2189110</v>
      </c>
      <c r="BX170" s="229">
        <v>-0.48299999999999998</v>
      </c>
      <c r="BY170" s="228">
        <v>0</v>
      </c>
      <c r="BZ170" s="228">
        <v>0</v>
      </c>
      <c r="CA170" s="228">
        <v>0</v>
      </c>
      <c r="CB170" s="229">
        <v>-1</v>
      </c>
      <c r="CC170" s="228">
        <v>0</v>
      </c>
      <c r="CD170" s="228">
        <v>0</v>
      </c>
      <c r="CE170" s="228">
        <v>0</v>
      </c>
      <c r="CF170" s="229">
        <v>-0.26929999999999998</v>
      </c>
      <c r="CG170" s="228">
        <v>0</v>
      </c>
      <c r="CH170" s="228">
        <v>0</v>
      </c>
      <c r="CI170" s="228">
        <v>0</v>
      </c>
      <c r="CJ170" s="229">
        <v>0</v>
      </c>
      <c r="CK170" s="228">
        <v>0</v>
      </c>
      <c r="CL170" s="228">
        <v>0</v>
      </c>
      <c r="CM170" s="228">
        <v>0</v>
      </c>
      <c r="CN170" s="229">
        <v>0</v>
      </c>
      <c r="CO170" s="228">
        <v>0</v>
      </c>
      <c r="CP170" s="228">
        <v>0</v>
      </c>
      <c r="CQ170" s="228">
        <v>0</v>
      </c>
      <c r="CR170" s="229">
        <v>-0.31850000000000001</v>
      </c>
      <c r="CS170" s="228">
        <v>0</v>
      </c>
      <c r="CT170" s="228">
        <v>0</v>
      </c>
      <c r="CU170" s="228">
        <v>0</v>
      </c>
      <c r="CV170" s="229">
        <v>-0.224</v>
      </c>
      <c r="CW170" s="228">
        <v>0</v>
      </c>
      <c r="CX170" s="228">
        <v>0</v>
      </c>
      <c r="CY170" s="228">
        <v>0</v>
      </c>
      <c r="CZ170" s="229">
        <v>-0.52649999999999997</v>
      </c>
      <c r="DA170" s="228">
        <v>45.3</v>
      </c>
      <c r="DB170" s="228">
        <v>45.3</v>
      </c>
      <c r="DC170" s="228">
        <v>0</v>
      </c>
      <c r="DD170" s="228">
        <v>0</v>
      </c>
      <c r="DE170" s="228">
        <v>45.3</v>
      </c>
      <c r="DF170" s="228">
        <v>45.3</v>
      </c>
      <c r="DG170" s="228">
        <v>0</v>
      </c>
      <c r="DH170" s="228">
        <v>0</v>
      </c>
      <c r="DI170" s="228">
        <v>45.3</v>
      </c>
      <c r="DJ170" s="228">
        <v>45.3</v>
      </c>
      <c r="DK170" s="228">
        <v>0</v>
      </c>
      <c r="DL170" s="228">
        <v>0</v>
      </c>
      <c r="DM170" s="228">
        <v>45.3</v>
      </c>
      <c r="DN170" s="228">
        <v>45.3</v>
      </c>
      <c r="DO170" s="228">
        <v>0</v>
      </c>
      <c r="DP170" s="228">
        <v>0</v>
      </c>
      <c r="DQ170" s="228">
        <v>0.59</v>
      </c>
      <c r="DR170" s="228">
        <v>0.52</v>
      </c>
      <c r="DS170" s="228">
        <v>7.0000000000000007E-2</v>
      </c>
      <c r="DT170" s="229">
        <v>0.1346</v>
      </c>
      <c r="DU170" s="231">
        <v>1320</v>
      </c>
      <c r="DV170" s="231">
        <v>1320</v>
      </c>
      <c r="DW170" s="228">
        <v>0.33</v>
      </c>
      <c r="DX170" s="228">
        <v>0.38</v>
      </c>
      <c r="DY170" s="228">
        <v>-0.05</v>
      </c>
      <c r="DZ170" s="229">
        <v>-0.13159999999999999</v>
      </c>
      <c r="EA170" s="229">
        <v>0</v>
      </c>
      <c r="EB170" s="228">
        <v>0</v>
      </c>
      <c r="EC170" s="229">
        <v>0</v>
      </c>
      <c r="ED170" s="229">
        <v>0</v>
      </c>
      <c r="EE170" s="228">
        <v>0</v>
      </c>
      <c r="EF170" s="229">
        <v>0</v>
      </c>
      <c r="EG170" s="230">
        <v>1331186</v>
      </c>
      <c r="EH170" s="230">
        <v>1473918</v>
      </c>
      <c r="EI170" s="229">
        <v>-9.6799999999999997E-2</v>
      </c>
      <c r="EJ170" s="229">
        <v>0.56810000000000005</v>
      </c>
      <c r="EK170" s="228">
        <v>955.38</v>
      </c>
      <c r="EL170" s="228">
        <v>306.11</v>
      </c>
      <c r="EM170" s="228">
        <v>310.70999999999998</v>
      </c>
      <c r="EN170" s="228">
        <v>0</v>
      </c>
      <c r="EO170" s="231">
        <v>1572.21</v>
      </c>
      <c r="EP170" s="231">
        <v>6915.89</v>
      </c>
      <c r="EQ170" s="231">
        <v>-5343.68</v>
      </c>
      <c r="ER170" s="229">
        <v>-0.77270000000000005</v>
      </c>
      <c r="ES170" s="228">
        <v>0</v>
      </c>
      <c r="ET170" s="228">
        <v>0</v>
      </c>
      <c r="EU170" s="228">
        <v>0</v>
      </c>
      <c r="EV170" s="231">
        <v>24011656</v>
      </c>
      <c r="EW170" s="228">
        <v>0</v>
      </c>
      <c r="EX170" s="231">
        <v>1196.6199999999999</v>
      </c>
      <c r="EY170" s="231">
        <v>-1196.6199999999999</v>
      </c>
      <c r="EZ170" s="229">
        <v>-1</v>
      </c>
      <c r="FA170" s="229">
        <v>0.183</v>
      </c>
      <c r="FB170" s="227" t="s">
        <v>237</v>
      </c>
      <c r="FC170">
        <f t="shared" si="3"/>
        <v>0</v>
      </c>
    </row>
    <row r="171" spans="1:159" ht="17.25" thickBot="1" x14ac:dyDescent="0.3">
      <c r="A171" s="226">
        <v>45869</v>
      </c>
      <c r="B171" s="227" t="s">
        <v>221</v>
      </c>
      <c r="C171" s="227" t="s">
        <v>529</v>
      </c>
      <c r="D171" s="228">
        <v>100</v>
      </c>
      <c r="E171" s="228">
        <v>0</v>
      </c>
      <c r="F171" s="231">
        <v>5177.5</v>
      </c>
      <c r="G171" s="231">
        <v>5188</v>
      </c>
      <c r="H171" s="228">
        <v>-10.5</v>
      </c>
      <c r="I171" s="229">
        <v>-2E-3</v>
      </c>
      <c r="J171" s="231">
        <v>5160.5</v>
      </c>
      <c r="K171" s="231">
        <v>5162.5</v>
      </c>
      <c r="L171" s="228">
        <v>-2</v>
      </c>
      <c r="M171" s="229">
        <v>-4.0000000000000002E-4</v>
      </c>
      <c r="N171" s="231">
        <v>5157.5</v>
      </c>
      <c r="O171" s="231">
        <v>5162.5</v>
      </c>
      <c r="P171" s="228">
        <v>-5</v>
      </c>
      <c r="Q171" s="229">
        <v>-1E-3</v>
      </c>
      <c r="R171" s="231">
        <v>5177.5</v>
      </c>
      <c r="S171" s="231">
        <v>5188</v>
      </c>
      <c r="T171" s="228">
        <v>-10.5</v>
      </c>
      <c r="U171" s="229">
        <v>-2E-3</v>
      </c>
      <c r="V171" s="231">
        <v>5206.5</v>
      </c>
      <c r="W171" s="231">
        <v>5212</v>
      </c>
      <c r="X171" s="228">
        <v>-5.5</v>
      </c>
      <c r="Y171" s="229">
        <v>-1.1000000000000001E-3</v>
      </c>
      <c r="Z171" s="228">
        <v>17</v>
      </c>
      <c r="AA171" s="228">
        <v>0</v>
      </c>
      <c r="AB171" s="228">
        <v>17</v>
      </c>
      <c r="AC171" s="229">
        <v>3.3E-3</v>
      </c>
      <c r="AD171" s="228">
        <v>-3</v>
      </c>
      <c r="AE171" s="228">
        <v>0</v>
      </c>
      <c r="AF171" s="228">
        <v>-3</v>
      </c>
      <c r="AG171" s="229">
        <v>-5.9999999999999995E-4</v>
      </c>
      <c r="AH171" s="228">
        <v>17</v>
      </c>
      <c r="AI171" s="228">
        <v>25.5</v>
      </c>
      <c r="AJ171" s="228">
        <v>-8.5</v>
      </c>
      <c r="AK171" s="229">
        <v>3.3E-3</v>
      </c>
      <c r="AL171" s="228">
        <v>46</v>
      </c>
      <c r="AM171" s="228">
        <v>49.5</v>
      </c>
      <c r="AN171" s="228">
        <v>-3.5</v>
      </c>
      <c r="AO171" s="229">
        <v>8.8999999999999999E-3</v>
      </c>
      <c r="AP171" s="231">
        <v>5145.58</v>
      </c>
      <c r="AQ171" s="231">
        <v>5168.75</v>
      </c>
      <c r="AR171" s="228">
        <v>0</v>
      </c>
      <c r="AS171" s="228">
        <v>898</v>
      </c>
      <c r="AT171" s="228">
        <v>857</v>
      </c>
      <c r="AU171" s="228">
        <v>42</v>
      </c>
      <c r="AV171" s="229">
        <v>4.9000000000000002E-2</v>
      </c>
      <c r="AW171" s="228">
        <v>379</v>
      </c>
      <c r="AX171" s="228">
        <v>383</v>
      </c>
      <c r="AY171" s="228">
        <v>-4</v>
      </c>
      <c r="AZ171" s="229">
        <v>-1.15E-2</v>
      </c>
      <c r="BA171" s="228">
        <v>507</v>
      </c>
      <c r="BB171" s="228">
        <v>465</v>
      </c>
      <c r="BC171" s="228">
        <v>42</v>
      </c>
      <c r="BD171" s="229">
        <v>9.11E-2</v>
      </c>
      <c r="BE171" s="228">
        <v>13</v>
      </c>
      <c r="BF171" s="228">
        <v>9</v>
      </c>
      <c r="BG171" s="228">
        <v>4</v>
      </c>
      <c r="BH171" s="229">
        <v>0.45090000000000002</v>
      </c>
      <c r="BI171" s="230">
        <v>1482</v>
      </c>
      <c r="BJ171" s="230">
        <v>2014</v>
      </c>
      <c r="BK171" s="228">
        <v>-531</v>
      </c>
      <c r="BL171" s="229">
        <v>-0.26390000000000002</v>
      </c>
      <c r="BM171" s="228">
        <v>723</v>
      </c>
      <c r="BN171" s="228">
        <v>704</v>
      </c>
      <c r="BO171" s="228">
        <v>19</v>
      </c>
      <c r="BP171" s="229">
        <v>2.63E-2</v>
      </c>
      <c r="BQ171" s="230">
        <v>3104</v>
      </c>
      <c r="BR171" s="230">
        <v>3574</v>
      </c>
      <c r="BS171" s="228">
        <v>-471</v>
      </c>
      <c r="BT171" s="229">
        <v>-0.13170000000000001</v>
      </c>
      <c r="BU171" s="230">
        <v>562574</v>
      </c>
      <c r="BV171" s="230">
        <v>383330</v>
      </c>
      <c r="BW171" s="230">
        <v>179244</v>
      </c>
      <c r="BX171" s="229">
        <v>0.46760000000000002</v>
      </c>
      <c r="BY171" s="230">
        <v>1536</v>
      </c>
      <c r="BZ171" s="230">
        <v>1781</v>
      </c>
      <c r="CA171" s="228">
        <v>-245</v>
      </c>
      <c r="CB171" s="229">
        <v>-0.1376</v>
      </c>
      <c r="CC171" s="228">
        <v>213</v>
      </c>
      <c r="CD171" s="228">
        <v>434</v>
      </c>
      <c r="CE171" s="228">
        <v>-221</v>
      </c>
      <c r="CF171" s="229">
        <v>-0.5081</v>
      </c>
      <c r="CG171" s="230">
        <v>1497</v>
      </c>
      <c r="CH171" s="230">
        <v>1312</v>
      </c>
      <c r="CI171" s="228">
        <v>185</v>
      </c>
      <c r="CJ171" s="229">
        <v>0.1409</v>
      </c>
      <c r="CK171" s="228">
        <v>39</v>
      </c>
      <c r="CL171" s="228">
        <v>35</v>
      </c>
      <c r="CM171" s="228">
        <v>4</v>
      </c>
      <c r="CN171" s="229">
        <v>0.11890000000000001</v>
      </c>
      <c r="CO171" s="228">
        <v>650</v>
      </c>
      <c r="CP171" s="230">
        <v>1417</v>
      </c>
      <c r="CQ171" s="228">
        <v>-767</v>
      </c>
      <c r="CR171" s="229">
        <v>-0.54139999999999999</v>
      </c>
      <c r="CS171" s="228">
        <v>332</v>
      </c>
      <c r="CT171" s="228">
        <v>662</v>
      </c>
      <c r="CU171" s="228">
        <v>-329</v>
      </c>
      <c r="CV171" s="229">
        <v>-0.49780000000000002</v>
      </c>
      <c r="CW171" s="230">
        <v>2518</v>
      </c>
      <c r="CX171" s="230">
        <v>3859</v>
      </c>
      <c r="CY171" s="230">
        <v>-1341</v>
      </c>
      <c r="CZ171" s="229">
        <v>-0.34760000000000002</v>
      </c>
      <c r="DA171" s="228">
        <v>32.340000000000003</v>
      </c>
      <c r="DB171" s="228">
        <v>32.99</v>
      </c>
      <c r="DC171" s="228">
        <v>-0.65</v>
      </c>
      <c r="DD171" s="228">
        <v>-0.65</v>
      </c>
      <c r="DE171" s="228">
        <v>43.2</v>
      </c>
      <c r="DF171" s="228">
        <v>43.31</v>
      </c>
      <c r="DG171" s="228">
        <v>-10.86</v>
      </c>
      <c r="DH171" s="228">
        <v>-0.11</v>
      </c>
      <c r="DI171" s="228">
        <v>32.36</v>
      </c>
      <c r="DJ171" s="228">
        <v>33.08</v>
      </c>
      <c r="DK171" s="228">
        <v>-0.72</v>
      </c>
      <c r="DL171" s="228">
        <v>-0.72</v>
      </c>
      <c r="DM171" s="228">
        <v>32.299999999999997</v>
      </c>
      <c r="DN171" s="228">
        <v>32.799999999999997</v>
      </c>
      <c r="DO171" s="228">
        <v>-0.5</v>
      </c>
      <c r="DP171" s="228">
        <v>-0.5</v>
      </c>
      <c r="DQ171" s="228">
        <v>0.51</v>
      </c>
      <c r="DR171" s="228">
        <v>0.47</v>
      </c>
      <c r="DS171" s="228">
        <v>0.04</v>
      </c>
      <c r="DT171" s="229">
        <v>8.5099999999999995E-2</v>
      </c>
      <c r="DU171" s="231">
        <v>6000</v>
      </c>
      <c r="DV171" s="231">
        <v>5200</v>
      </c>
      <c r="DW171" s="228">
        <v>0.49</v>
      </c>
      <c r="DX171" s="228">
        <v>0.35</v>
      </c>
      <c r="DY171" s="228">
        <v>0.14000000000000001</v>
      </c>
      <c r="DZ171" s="229">
        <v>0.4</v>
      </c>
      <c r="EA171" s="229">
        <v>0.878</v>
      </c>
      <c r="EB171" s="230">
        <v>2601200</v>
      </c>
      <c r="EC171" s="229">
        <v>3.8999999999999998E-3</v>
      </c>
      <c r="ED171" s="229">
        <v>0.878</v>
      </c>
      <c r="EE171" s="228">
        <v>23.17</v>
      </c>
      <c r="EF171" s="229">
        <v>4.4999999999999997E-3</v>
      </c>
      <c r="EG171" s="230">
        <v>267608</v>
      </c>
      <c r="EH171" s="230">
        <v>166099</v>
      </c>
      <c r="EI171" s="229">
        <v>0.61109999999999998</v>
      </c>
      <c r="EJ171" s="229">
        <v>0.47570000000000001</v>
      </c>
      <c r="EK171" s="231">
        <v>1589.56</v>
      </c>
      <c r="EL171" s="228">
        <v>715.91</v>
      </c>
      <c r="EM171" s="228">
        <v>895.29</v>
      </c>
      <c r="EN171" s="228">
        <v>0</v>
      </c>
      <c r="EO171" s="231">
        <v>3200.76</v>
      </c>
      <c r="EP171" s="231">
        <v>3696.51</v>
      </c>
      <c r="EQ171" s="228">
        <v>-495.75</v>
      </c>
      <c r="ER171" s="229">
        <v>-0.1341</v>
      </c>
      <c r="ES171" s="228">
        <v>706.86</v>
      </c>
      <c r="ET171" s="228">
        <v>328.11</v>
      </c>
      <c r="EU171" s="231">
        <v>1535.92</v>
      </c>
      <c r="EV171" s="231">
        <v>21354101</v>
      </c>
      <c r="EW171" s="231">
        <v>2570.89</v>
      </c>
      <c r="EX171" s="231">
        <v>4019.6</v>
      </c>
      <c r="EY171" s="231">
        <v>-1448.71</v>
      </c>
      <c r="EZ171" s="229">
        <v>-0.3604</v>
      </c>
      <c r="FA171" s="229">
        <v>0.22770000000000001</v>
      </c>
      <c r="FB171" s="227" t="s">
        <v>568</v>
      </c>
      <c r="FC171">
        <f t="shared" si="3"/>
        <v>0</v>
      </c>
    </row>
    <row r="172" spans="1:159" ht="17.25" thickBot="1" x14ac:dyDescent="0.3">
      <c r="A172" s="226">
        <v>45869</v>
      </c>
      <c r="B172" s="227" t="s">
        <v>193</v>
      </c>
      <c r="C172" s="227" t="s">
        <v>272</v>
      </c>
      <c r="D172" s="228">
        <v>1800</v>
      </c>
      <c r="E172" s="228">
        <v>0</v>
      </c>
      <c r="F172" s="228">
        <v>289.8</v>
      </c>
      <c r="G172" s="228">
        <v>293.89999999999998</v>
      </c>
      <c r="H172" s="228">
        <v>-4.0999999999999996</v>
      </c>
      <c r="I172" s="229">
        <v>-1.4E-2</v>
      </c>
      <c r="J172" s="228">
        <v>288.2</v>
      </c>
      <c r="K172" s="228">
        <v>292.05</v>
      </c>
      <c r="L172" s="228">
        <v>-3.85</v>
      </c>
      <c r="M172" s="229">
        <v>-1.32E-2</v>
      </c>
      <c r="N172" s="228">
        <v>288.5</v>
      </c>
      <c r="O172" s="228">
        <v>292.35000000000002</v>
      </c>
      <c r="P172" s="228">
        <v>-3.85</v>
      </c>
      <c r="Q172" s="229">
        <v>-1.32E-2</v>
      </c>
      <c r="R172" s="228">
        <v>289.8</v>
      </c>
      <c r="S172" s="228">
        <v>293.89999999999998</v>
      </c>
      <c r="T172" s="228">
        <v>-4.0999999999999996</v>
      </c>
      <c r="U172" s="229">
        <v>-1.4E-2</v>
      </c>
      <c r="V172" s="228">
        <v>291.5</v>
      </c>
      <c r="W172" s="228">
        <v>295.5</v>
      </c>
      <c r="X172" s="228">
        <v>-4</v>
      </c>
      <c r="Y172" s="229">
        <v>-1.35E-2</v>
      </c>
      <c r="Z172" s="228">
        <v>1.6</v>
      </c>
      <c r="AA172" s="228">
        <v>0.3</v>
      </c>
      <c r="AB172" s="228">
        <v>1.3</v>
      </c>
      <c r="AC172" s="229">
        <v>5.5999999999999999E-3</v>
      </c>
      <c r="AD172" s="228">
        <v>0.3</v>
      </c>
      <c r="AE172" s="228">
        <v>0.3</v>
      </c>
      <c r="AF172" s="228">
        <v>0</v>
      </c>
      <c r="AG172" s="229">
        <v>1E-3</v>
      </c>
      <c r="AH172" s="228">
        <v>1.6</v>
      </c>
      <c r="AI172" s="228">
        <v>1.85</v>
      </c>
      <c r="AJ172" s="228">
        <v>-0.25</v>
      </c>
      <c r="AK172" s="229">
        <v>5.5999999999999999E-3</v>
      </c>
      <c r="AL172" s="228">
        <v>3.3</v>
      </c>
      <c r="AM172" s="228">
        <v>3.45</v>
      </c>
      <c r="AN172" s="228">
        <v>-0.15</v>
      </c>
      <c r="AO172" s="229">
        <v>1.15E-2</v>
      </c>
      <c r="AP172" s="228">
        <v>289.08</v>
      </c>
      <c r="AQ172" s="228">
        <v>290.58</v>
      </c>
      <c r="AR172" s="228">
        <v>0</v>
      </c>
      <c r="AS172" s="228">
        <v>528</v>
      </c>
      <c r="AT172" s="228">
        <v>641</v>
      </c>
      <c r="AU172" s="228">
        <v>-113</v>
      </c>
      <c r="AV172" s="229">
        <v>-0.1762</v>
      </c>
      <c r="AW172" s="228">
        <v>231</v>
      </c>
      <c r="AX172" s="228">
        <v>303</v>
      </c>
      <c r="AY172" s="228">
        <v>-72</v>
      </c>
      <c r="AZ172" s="229">
        <v>-0.23769999999999999</v>
      </c>
      <c r="BA172" s="228">
        <v>294</v>
      </c>
      <c r="BB172" s="228">
        <v>335</v>
      </c>
      <c r="BC172" s="228">
        <v>-41</v>
      </c>
      <c r="BD172" s="229">
        <v>-0.1221</v>
      </c>
      <c r="BE172" s="228">
        <v>3</v>
      </c>
      <c r="BF172" s="228">
        <v>3</v>
      </c>
      <c r="BG172" s="228">
        <v>0</v>
      </c>
      <c r="BH172" s="229">
        <v>1.89E-2</v>
      </c>
      <c r="BI172" s="228">
        <v>485</v>
      </c>
      <c r="BJ172" s="228">
        <v>233</v>
      </c>
      <c r="BK172" s="228">
        <v>253</v>
      </c>
      <c r="BL172" s="229">
        <v>1.0859000000000001</v>
      </c>
      <c r="BM172" s="228">
        <v>362</v>
      </c>
      <c r="BN172" s="228">
        <v>191</v>
      </c>
      <c r="BO172" s="228">
        <v>171</v>
      </c>
      <c r="BP172" s="229">
        <v>0.89500000000000002</v>
      </c>
      <c r="BQ172" s="230">
        <v>1375</v>
      </c>
      <c r="BR172" s="230">
        <v>1064</v>
      </c>
      <c r="BS172" s="228">
        <v>311</v>
      </c>
      <c r="BT172" s="229">
        <v>0.29199999999999998</v>
      </c>
      <c r="BU172" s="230">
        <v>1446190</v>
      </c>
      <c r="BV172" s="230">
        <v>1667988</v>
      </c>
      <c r="BW172" s="230">
        <v>-221798</v>
      </c>
      <c r="BX172" s="229">
        <v>-0.13300000000000001</v>
      </c>
      <c r="BY172" s="230">
        <v>1090</v>
      </c>
      <c r="BZ172" s="230">
        <v>1102</v>
      </c>
      <c r="CA172" s="228">
        <v>-12</v>
      </c>
      <c r="CB172" s="229">
        <v>-1.1299999999999999E-2</v>
      </c>
      <c r="CC172" s="228">
        <v>85</v>
      </c>
      <c r="CD172" s="228">
        <v>165</v>
      </c>
      <c r="CE172" s="228">
        <v>-80</v>
      </c>
      <c r="CF172" s="229">
        <v>-0.4839</v>
      </c>
      <c r="CG172" s="230">
        <v>1083</v>
      </c>
      <c r="CH172" s="228">
        <v>932</v>
      </c>
      <c r="CI172" s="228">
        <v>150</v>
      </c>
      <c r="CJ172" s="229">
        <v>0.16139999999999999</v>
      </c>
      <c r="CK172" s="228">
        <v>7</v>
      </c>
      <c r="CL172" s="228">
        <v>5</v>
      </c>
      <c r="CM172" s="228">
        <v>2</v>
      </c>
      <c r="CN172" s="229">
        <v>0.34649999999999997</v>
      </c>
      <c r="CO172" s="228">
        <v>263</v>
      </c>
      <c r="CP172" s="228">
        <v>452</v>
      </c>
      <c r="CQ172" s="228">
        <v>-189</v>
      </c>
      <c r="CR172" s="229">
        <v>-0.41799999999999998</v>
      </c>
      <c r="CS172" s="228">
        <v>211</v>
      </c>
      <c r="CT172" s="228">
        <v>307</v>
      </c>
      <c r="CU172" s="228">
        <v>-96</v>
      </c>
      <c r="CV172" s="229">
        <v>-0.31390000000000001</v>
      </c>
      <c r="CW172" s="230">
        <v>1564</v>
      </c>
      <c r="CX172" s="230">
        <v>1862</v>
      </c>
      <c r="CY172" s="228">
        <v>-298</v>
      </c>
      <c r="CZ172" s="229">
        <v>-0.16009999999999999</v>
      </c>
      <c r="DA172" s="228">
        <v>20.98</v>
      </c>
      <c r="DB172" s="228">
        <v>21.86</v>
      </c>
      <c r="DC172" s="228">
        <v>-0.88</v>
      </c>
      <c r="DD172" s="228">
        <v>-0.88</v>
      </c>
      <c r="DE172" s="228">
        <v>34.31</v>
      </c>
      <c r="DF172" s="228">
        <v>34.35</v>
      </c>
      <c r="DG172" s="228">
        <v>-13.33</v>
      </c>
      <c r="DH172" s="228">
        <v>-0.04</v>
      </c>
      <c r="DI172" s="228">
        <v>21.38</v>
      </c>
      <c r="DJ172" s="228">
        <v>22.29</v>
      </c>
      <c r="DK172" s="228">
        <v>-0.91</v>
      </c>
      <c r="DL172" s="228">
        <v>-0.91</v>
      </c>
      <c r="DM172" s="228">
        <v>20.309999999999999</v>
      </c>
      <c r="DN172" s="228">
        <v>21.24</v>
      </c>
      <c r="DO172" s="228">
        <v>-0.93</v>
      </c>
      <c r="DP172" s="228">
        <v>-0.93</v>
      </c>
      <c r="DQ172" s="228">
        <v>0.8</v>
      </c>
      <c r="DR172" s="228">
        <v>0.68</v>
      </c>
      <c r="DS172" s="228">
        <v>0.12</v>
      </c>
      <c r="DT172" s="229">
        <v>0.17649999999999999</v>
      </c>
      <c r="DU172" s="228">
        <v>310</v>
      </c>
      <c r="DV172" s="228">
        <v>310</v>
      </c>
      <c r="DW172" s="228">
        <v>0.75</v>
      </c>
      <c r="DX172" s="228">
        <v>0.82</v>
      </c>
      <c r="DY172" s="228">
        <v>-7.0000000000000007E-2</v>
      </c>
      <c r="DZ172" s="229">
        <v>-8.5400000000000004E-2</v>
      </c>
      <c r="EA172" s="229">
        <v>0.92759999999999998</v>
      </c>
      <c r="EB172" s="230">
        <v>32351400</v>
      </c>
      <c r="EC172" s="229">
        <v>4.4999999999999997E-3</v>
      </c>
      <c r="ED172" s="229">
        <v>0.92759999999999998</v>
      </c>
      <c r="EE172" s="228">
        <v>1.5</v>
      </c>
      <c r="EF172" s="229">
        <v>5.1999999999999998E-3</v>
      </c>
      <c r="EG172" s="230">
        <v>708913</v>
      </c>
      <c r="EH172" s="230">
        <v>788276</v>
      </c>
      <c r="EI172" s="229">
        <v>-0.1007</v>
      </c>
      <c r="EJ172" s="229">
        <v>0.49020000000000002</v>
      </c>
      <c r="EK172" s="228">
        <v>515.49</v>
      </c>
      <c r="EL172" s="228">
        <v>396.44</v>
      </c>
      <c r="EM172" s="228">
        <v>527.92999999999995</v>
      </c>
      <c r="EN172" s="228">
        <v>0</v>
      </c>
      <c r="EO172" s="231">
        <v>1439.86</v>
      </c>
      <c r="EP172" s="231">
        <v>1094.25</v>
      </c>
      <c r="EQ172" s="228">
        <v>345.61</v>
      </c>
      <c r="ER172" s="229">
        <v>0.31580000000000003</v>
      </c>
      <c r="ES172" s="228">
        <v>280.02</v>
      </c>
      <c r="ET172" s="228">
        <v>218.44</v>
      </c>
      <c r="EU172" s="231">
        <v>1089.8499999999999</v>
      </c>
      <c r="EV172" s="231">
        <v>150000017</v>
      </c>
      <c r="EW172" s="231">
        <v>1588.31</v>
      </c>
      <c r="EX172" s="231">
        <v>1922.89</v>
      </c>
      <c r="EY172" s="228">
        <v>-334.58</v>
      </c>
      <c r="EZ172" s="229">
        <v>-0.17399999999999999</v>
      </c>
      <c r="FA172" s="229">
        <v>0.35980000000000001</v>
      </c>
      <c r="FB172" s="227" t="s">
        <v>568</v>
      </c>
      <c r="FC172">
        <f t="shared" si="3"/>
        <v>0</v>
      </c>
    </row>
    <row r="173" spans="1:159" ht="17.25" thickBot="1" x14ac:dyDescent="0.3">
      <c r="A173" s="226">
        <v>45869</v>
      </c>
      <c r="B173" s="227" t="s">
        <v>175</v>
      </c>
      <c r="C173" s="227" t="s">
        <v>273</v>
      </c>
      <c r="D173" s="228">
        <v>1300</v>
      </c>
      <c r="E173" s="228">
        <v>0</v>
      </c>
      <c r="F173" s="228">
        <v>408.95</v>
      </c>
      <c r="G173" s="228">
        <v>410.95</v>
      </c>
      <c r="H173" s="228">
        <v>-2</v>
      </c>
      <c r="I173" s="229">
        <v>-4.8999999999999998E-3</v>
      </c>
      <c r="J173" s="228">
        <v>409.95</v>
      </c>
      <c r="K173" s="228">
        <v>411.9</v>
      </c>
      <c r="L173" s="228">
        <v>-1.95</v>
      </c>
      <c r="M173" s="229">
        <v>-4.7000000000000002E-3</v>
      </c>
      <c r="N173" s="228">
        <v>409.4</v>
      </c>
      <c r="O173" s="228">
        <v>411.2</v>
      </c>
      <c r="P173" s="228">
        <v>-1.8</v>
      </c>
      <c r="Q173" s="229">
        <v>-4.4000000000000003E-3</v>
      </c>
      <c r="R173" s="228">
        <v>408.95</v>
      </c>
      <c r="S173" s="228">
        <v>410.95</v>
      </c>
      <c r="T173" s="228">
        <v>-2</v>
      </c>
      <c r="U173" s="229">
        <v>-4.8999999999999998E-3</v>
      </c>
      <c r="V173" s="228">
        <v>410.45</v>
      </c>
      <c r="W173" s="228">
        <v>412.2</v>
      </c>
      <c r="X173" s="228">
        <v>-1.75</v>
      </c>
      <c r="Y173" s="229">
        <v>-4.1999999999999997E-3</v>
      </c>
      <c r="Z173" s="228">
        <v>-1</v>
      </c>
      <c r="AA173" s="228">
        <v>-0.7</v>
      </c>
      <c r="AB173" s="228">
        <v>-0.3</v>
      </c>
      <c r="AC173" s="229">
        <v>-2.3999999999999998E-3</v>
      </c>
      <c r="AD173" s="228">
        <v>-0.55000000000000004</v>
      </c>
      <c r="AE173" s="228">
        <v>-0.7</v>
      </c>
      <c r="AF173" s="228">
        <v>0.15</v>
      </c>
      <c r="AG173" s="229">
        <v>-1.2999999999999999E-3</v>
      </c>
      <c r="AH173" s="228">
        <v>-1</v>
      </c>
      <c r="AI173" s="228">
        <v>-0.95</v>
      </c>
      <c r="AJ173" s="228">
        <v>-0.05</v>
      </c>
      <c r="AK173" s="229">
        <v>-2.3999999999999998E-3</v>
      </c>
      <c r="AL173" s="228">
        <v>0.5</v>
      </c>
      <c r="AM173" s="228">
        <v>0.3</v>
      </c>
      <c r="AN173" s="228">
        <v>0.2</v>
      </c>
      <c r="AO173" s="229">
        <v>1.1999999999999999E-3</v>
      </c>
      <c r="AP173" s="228">
        <v>408.8</v>
      </c>
      <c r="AQ173" s="228">
        <v>408.19</v>
      </c>
      <c r="AR173" s="228">
        <v>0</v>
      </c>
      <c r="AS173" s="230">
        <v>1376</v>
      </c>
      <c r="AT173" s="230">
        <v>1524</v>
      </c>
      <c r="AU173" s="228">
        <v>-148</v>
      </c>
      <c r="AV173" s="229">
        <v>-9.69E-2</v>
      </c>
      <c r="AW173" s="228">
        <v>666</v>
      </c>
      <c r="AX173" s="228">
        <v>752</v>
      </c>
      <c r="AY173" s="228">
        <v>-86</v>
      </c>
      <c r="AZ173" s="229">
        <v>-0.1139</v>
      </c>
      <c r="BA173" s="228">
        <v>619</v>
      </c>
      <c r="BB173" s="228">
        <v>652</v>
      </c>
      <c r="BC173" s="228">
        <v>-34</v>
      </c>
      <c r="BD173" s="229">
        <v>-5.1700000000000003E-2</v>
      </c>
      <c r="BE173" s="228">
        <v>91</v>
      </c>
      <c r="BF173" s="228">
        <v>119</v>
      </c>
      <c r="BG173" s="228">
        <v>-28</v>
      </c>
      <c r="BH173" s="229">
        <v>-0.23710000000000001</v>
      </c>
      <c r="BI173" s="228">
        <v>787</v>
      </c>
      <c r="BJ173" s="228">
        <v>789</v>
      </c>
      <c r="BK173" s="228">
        <v>-2</v>
      </c>
      <c r="BL173" s="229">
        <v>-2.7000000000000001E-3</v>
      </c>
      <c r="BM173" s="228">
        <v>606</v>
      </c>
      <c r="BN173" s="228">
        <v>602</v>
      </c>
      <c r="BO173" s="228">
        <v>4</v>
      </c>
      <c r="BP173" s="229">
        <v>6.3E-3</v>
      </c>
      <c r="BQ173" s="230">
        <v>2769</v>
      </c>
      <c r="BR173" s="230">
        <v>2915</v>
      </c>
      <c r="BS173" s="228">
        <v>-146</v>
      </c>
      <c r="BT173" s="229">
        <v>-5.0099999999999999E-2</v>
      </c>
      <c r="BU173" s="230">
        <v>4118055</v>
      </c>
      <c r="BV173" s="230">
        <v>2309442</v>
      </c>
      <c r="BW173" s="230">
        <v>1808613</v>
      </c>
      <c r="BX173" s="229">
        <v>0.78310000000000002</v>
      </c>
      <c r="BY173" s="230">
        <v>1990</v>
      </c>
      <c r="BZ173" s="230">
        <v>2289</v>
      </c>
      <c r="CA173" s="228">
        <v>-299</v>
      </c>
      <c r="CB173" s="229">
        <v>-0.13070000000000001</v>
      </c>
      <c r="CC173" s="228">
        <v>251</v>
      </c>
      <c r="CD173" s="228">
        <v>623</v>
      </c>
      <c r="CE173" s="228">
        <v>-372</v>
      </c>
      <c r="CF173" s="229">
        <v>-0.5968</v>
      </c>
      <c r="CG173" s="230">
        <v>1641</v>
      </c>
      <c r="CH173" s="230">
        <v>1379</v>
      </c>
      <c r="CI173" s="228">
        <v>262</v>
      </c>
      <c r="CJ173" s="229">
        <v>0.18959999999999999</v>
      </c>
      <c r="CK173" s="228">
        <v>350</v>
      </c>
      <c r="CL173" s="228">
        <v>287</v>
      </c>
      <c r="CM173" s="228">
        <v>63</v>
      </c>
      <c r="CN173" s="229">
        <v>0.21779999999999999</v>
      </c>
      <c r="CO173" s="228">
        <v>500</v>
      </c>
      <c r="CP173" s="228">
        <v>915</v>
      </c>
      <c r="CQ173" s="228">
        <v>-415</v>
      </c>
      <c r="CR173" s="229">
        <v>-0.45369999999999999</v>
      </c>
      <c r="CS173" s="228">
        <v>518</v>
      </c>
      <c r="CT173" s="228">
        <v>707</v>
      </c>
      <c r="CU173" s="228">
        <v>-189</v>
      </c>
      <c r="CV173" s="229">
        <v>-0.26740000000000003</v>
      </c>
      <c r="CW173" s="230">
        <v>3008</v>
      </c>
      <c r="CX173" s="230">
        <v>3912</v>
      </c>
      <c r="CY173" s="228">
        <v>-903</v>
      </c>
      <c r="CZ173" s="229">
        <v>-0.23100000000000001</v>
      </c>
      <c r="DA173" s="228">
        <v>30.9</v>
      </c>
      <c r="DB173" s="228">
        <v>30.32</v>
      </c>
      <c r="DC173" s="228">
        <v>0.57999999999999996</v>
      </c>
      <c r="DD173" s="228">
        <v>0.57999999999999996</v>
      </c>
      <c r="DE173" s="228">
        <v>48.84</v>
      </c>
      <c r="DF173" s="228">
        <v>48.96</v>
      </c>
      <c r="DG173" s="228">
        <v>-17.940000000000001</v>
      </c>
      <c r="DH173" s="228">
        <v>-0.12</v>
      </c>
      <c r="DI173" s="228">
        <v>30.88</v>
      </c>
      <c r="DJ173" s="228">
        <v>30.8</v>
      </c>
      <c r="DK173" s="228">
        <v>0.08</v>
      </c>
      <c r="DL173" s="228">
        <v>0.08</v>
      </c>
      <c r="DM173" s="228">
        <v>30.93</v>
      </c>
      <c r="DN173" s="228">
        <v>29.87</v>
      </c>
      <c r="DO173" s="228">
        <v>1.06</v>
      </c>
      <c r="DP173" s="228">
        <v>1.06</v>
      </c>
      <c r="DQ173" s="228">
        <v>1.04</v>
      </c>
      <c r="DR173" s="228">
        <v>0.77</v>
      </c>
      <c r="DS173" s="228">
        <v>0.27</v>
      </c>
      <c r="DT173" s="229">
        <v>0.35060000000000002</v>
      </c>
      <c r="DU173" s="228">
        <v>420</v>
      </c>
      <c r="DV173" s="228">
        <v>400</v>
      </c>
      <c r="DW173" s="228">
        <v>0.77</v>
      </c>
      <c r="DX173" s="228">
        <v>0.76</v>
      </c>
      <c r="DY173" s="228">
        <v>0.01</v>
      </c>
      <c r="DZ173" s="229">
        <v>1.32E-2</v>
      </c>
      <c r="EA173" s="229">
        <v>0.88790000000000002</v>
      </c>
      <c r="EB173" s="230">
        <v>40740700</v>
      </c>
      <c r="EC173" s="229">
        <v>-1.1000000000000001E-3</v>
      </c>
      <c r="ED173" s="229">
        <v>0.88790000000000002</v>
      </c>
      <c r="EE173" s="228">
        <v>-0.61</v>
      </c>
      <c r="EF173" s="229">
        <v>-1.5E-3</v>
      </c>
      <c r="EG173" s="230">
        <v>1886484</v>
      </c>
      <c r="EH173" s="230">
        <v>1017938</v>
      </c>
      <c r="EI173" s="229">
        <v>0.85319999999999996</v>
      </c>
      <c r="EJ173" s="229">
        <v>0.45810000000000001</v>
      </c>
      <c r="EK173" s="228">
        <v>828.96</v>
      </c>
      <c r="EL173" s="228">
        <v>617.64</v>
      </c>
      <c r="EM173" s="231">
        <v>1374.71</v>
      </c>
      <c r="EN173" s="228">
        <v>0</v>
      </c>
      <c r="EO173" s="231">
        <v>2821.31</v>
      </c>
      <c r="EP173" s="231">
        <v>2990.16</v>
      </c>
      <c r="EQ173" s="228">
        <v>-168.86</v>
      </c>
      <c r="ER173" s="229">
        <v>-5.6500000000000002E-2</v>
      </c>
      <c r="ES173" s="228">
        <v>529.73</v>
      </c>
      <c r="ET173" s="228">
        <v>521.97</v>
      </c>
      <c r="EU173" s="231">
        <v>1991.4</v>
      </c>
      <c r="EV173" s="231">
        <v>290447407</v>
      </c>
      <c r="EW173" s="231">
        <v>3043.1</v>
      </c>
      <c r="EX173" s="231">
        <v>3993.12</v>
      </c>
      <c r="EY173" s="228">
        <v>-950.02</v>
      </c>
      <c r="EZ173" s="229">
        <v>-0.2379</v>
      </c>
      <c r="FA173" s="229">
        <v>0.25330000000000003</v>
      </c>
      <c r="FB173" s="227" t="s">
        <v>568</v>
      </c>
      <c r="FC173">
        <f t="shared" si="3"/>
        <v>0</v>
      </c>
    </row>
    <row r="174" spans="1:159" ht="17.25" thickBot="1" x14ac:dyDescent="0.3">
      <c r="A174" s="226">
        <v>45869</v>
      </c>
      <c r="B174" s="227" t="s">
        <v>184</v>
      </c>
      <c r="C174" s="227" t="s">
        <v>682</v>
      </c>
      <c r="D174" s="228">
        <v>700</v>
      </c>
      <c r="E174" s="228">
        <v>0</v>
      </c>
      <c r="F174" s="228">
        <v>817.6</v>
      </c>
      <c r="G174" s="228">
        <v>810.5</v>
      </c>
      <c r="H174" s="228">
        <v>7.1</v>
      </c>
      <c r="I174" s="229">
        <v>8.8000000000000005E-3</v>
      </c>
      <c r="J174" s="228">
        <v>811.65</v>
      </c>
      <c r="K174" s="228">
        <v>805.4</v>
      </c>
      <c r="L174" s="228">
        <v>6.25</v>
      </c>
      <c r="M174" s="229">
        <v>7.7999999999999996E-3</v>
      </c>
      <c r="N174" s="228">
        <v>811.95</v>
      </c>
      <c r="O174" s="228">
        <v>806.1</v>
      </c>
      <c r="P174" s="228">
        <v>5.85</v>
      </c>
      <c r="Q174" s="229">
        <v>7.3000000000000001E-3</v>
      </c>
      <c r="R174" s="228">
        <v>817.6</v>
      </c>
      <c r="S174" s="228">
        <v>810.5</v>
      </c>
      <c r="T174" s="228">
        <v>7.1</v>
      </c>
      <c r="U174" s="229">
        <v>8.8000000000000005E-3</v>
      </c>
      <c r="V174" s="228">
        <v>823.25</v>
      </c>
      <c r="W174" s="228">
        <v>814.65</v>
      </c>
      <c r="X174" s="228">
        <v>8.6</v>
      </c>
      <c r="Y174" s="229">
        <v>1.06E-2</v>
      </c>
      <c r="Z174" s="228">
        <v>5.95</v>
      </c>
      <c r="AA174" s="228">
        <v>0.7</v>
      </c>
      <c r="AB174" s="228">
        <v>5.25</v>
      </c>
      <c r="AC174" s="229">
        <v>7.3000000000000001E-3</v>
      </c>
      <c r="AD174" s="228">
        <v>0.3</v>
      </c>
      <c r="AE174" s="228">
        <v>0.7</v>
      </c>
      <c r="AF174" s="228">
        <v>-0.4</v>
      </c>
      <c r="AG174" s="229">
        <v>4.0000000000000002E-4</v>
      </c>
      <c r="AH174" s="228">
        <v>5.95</v>
      </c>
      <c r="AI174" s="228">
        <v>5.0999999999999996</v>
      </c>
      <c r="AJ174" s="228">
        <v>0.85</v>
      </c>
      <c r="AK174" s="229">
        <v>7.3000000000000001E-3</v>
      </c>
      <c r="AL174" s="228">
        <v>11.6</v>
      </c>
      <c r="AM174" s="228">
        <v>9.25</v>
      </c>
      <c r="AN174" s="228">
        <v>2.35</v>
      </c>
      <c r="AO174" s="229">
        <v>1.43E-2</v>
      </c>
      <c r="AP174" s="228">
        <v>810.9</v>
      </c>
      <c r="AQ174" s="228">
        <v>815.95</v>
      </c>
      <c r="AR174" s="228">
        <v>0</v>
      </c>
      <c r="AS174" s="228">
        <v>494</v>
      </c>
      <c r="AT174" s="228">
        <v>364</v>
      </c>
      <c r="AU174" s="228">
        <v>130</v>
      </c>
      <c r="AV174" s="229">
        <v>0.3574</v>
      </c>
      <c r="AW174" s="228">
        <v>157</v>
      </c>
      <c r="AX174" s="228">
        <v>158</v>
      </c>
      <c r="AY174" s="228">
        <v>-1</v>
      </c>
      <c r="AZ174" s="229">
        <v>-4.0000000000000001E-3</v>
      </c>
      <c r="BA174" s="228">
        <v>334</v>
      </c>
      <c r="BB174" s="228">
        <v>205</v>
      </c>
      <c r="BC174" s="228">
        <v>129</v>
      </c>
      <c r="BD174" s="229">
        <v>0.62780000000000002</v>
      </c>
      <c r="BE174" s="228">
        <v>3</v>
      </c>
      <c r="BF174" s="228">
        <v>1</v>
      </c>
      <c r="BG174" s="228">
        <v>2</v>
      </c>
      <c r="BH174" s="229">
        <v>1.7142999999999999</v>
      </c>
      <c r="BI174" s="228">
        <v>252</v>
      </c>
      <c r="BJ174" s="228">
        <v>200</v>
      </c>
      <c r="BK174" s="228">
        <v>52</v>
      </c>
      <c r="BL174" s="229">
        <v>0.25990000000000002</v>
      </c>
      <c r="BM174" s="228">
        <v>64</v>
      </c>
      <c r="BN174" s="228">
        <v>65</v>
      </c>
      <c r="BO174" s="228">
        <v>-1</v>
      </c>
      <c r="BP174" s="229">
        <v>-2.0299999999999999E-2</v>
      </c>
      <c r="BQ174" s="228">
        <v>810</v>
      </c>
      <c r="BR174" s="228">
        <v>629</v>
      </c>
      <c r="BS174" s="228">
        <v>181</v>
      </c>
      <c r="BT174" s="229">
        <v>0.28749999999999998</v>
      </c>
      <c r="BU174" s="230">
        <v>2349927</v>
      </c>
      <c r="BV174" s="230">
        <v>1073075</v>
      </c>
      <c r="BW174" s="230">
        <v>1276852</v>
      </c>
      <c r="BX174" s="229">
        <v>1.1899</v>
      </c>
      <c r="BY174" s="228">
        <v>563</v>
      </c>
      <c r="BZ174" s="228">
        <v>550</v>
      </c>
      <c r="CA174" s="228">
        <v>12</v>
      </c>
      <c r="CB174" s="229">
        <v>2.2599999999999999E-2</v>
      </c>
      <c r="CC174" s="228">
        <v>17</v>
      </c>
      <c r="CD174" s="228">
        <v>99</v>
      </c>
      <c r="CE174" s="228">
        <v>-83</v>
      </c>
      <c r="CF174" s="229">
        <v>-0.83120000000000005</v>
      </c>
      <c r="CG174" s="228">
        <v>558</v>
      </c>
      <c r="CH174" s="228">
        <v>448</v>
      </c>
      <c r="CI174" s="228">
        <v>111</v>
      </c>
      <c r="CJ174" s="229">
        <v>0.247</v>
      </c>
      <c r="CK174" s="228">
        <v>4</v>
      </c>
      <c r="CL174" s="228">
        <v>3</v>
      </c>
      <c r="CM174" s="228">
        <v>1</v>
      </c>
      <c r="CN174" s="229">
        <v>0.38179999999999997</v>
      </c>
      <c r="CO174" s="228">
        <v>66</v>
      </c>
      <c r="CP174" s="228">
        <v>136</v>
      </c>
      <c r="CQ174" s="228">
        <v>-70</v>
      </c>
      <c r="CR174" s="229">
        <v>-0.5141</v>
      </c>
      <c r="CS174" s="228">
        <v>28</v>
      </c>
      <c r="CT174" s="228">
        <v>75</v>
      </c>
      <c r="CU174" s="228">
        <v>-48</v>
      </c>
      <c r="CV174" s="229">
        <v>-0.62970000000000004</v>
      </c>
      <c r="CW174" s="228">
        <v>656</v>
      </c>
      <c r="CX174" s="228">
        <v>761</v>
      </c>
      <c r="CY174" s="228">
        <v>-105</v>
      </c>
      <c r="CZ174" s="229">
        <v>-0.13769999999999999</v>
      </c>
      <c r="DA174" s="228">
        <v>41.56</v>
      </c>
      <c r="DB174" s="228">
        <v>41.15</v>
      </c>
      <c r="DC174" s="228">
        <v>0.41</v>
      </c>
      <c r="DD174" s="228">
        <v>0.41</v>
      </c>
      <c r="DE174" s="228">
        <v>64.56</v>
      </c>
      <c r="DF174" s="228">
        <v>64.72</v>
      </c>
      <c r="DG174" s="228">
        <v>-23</v>
      </c>
      <c r="DH174" s="228">
        <v>-0.16</v>
      </c>
      <c r="DI174" s="228">
        <v>41.52</v>
      </c>
      <c r="DJ174" s="228">
        <v>41.24</v>
      </c>
      <c r="DK174" s="228">
        <v>0.28000000000000003</v>
      </c>
      <c r="DL174" s="228">
        <v>0.28000000000000003</v>
      </c>
      <c r="DM174" s="228">
        <v>41.72</v>
      </c>
      <c r="DN174" s="228">
        <v>40.83</v>
      </c>
      <c r="DO174" s="228">
        <v>0.89</v>
      </c>
      <c r="DP174" s="228">
        <v>0.89</v>
      </c>
      <c r="DQ174" s="228">
        <v>0.42</v>
      </c>
      <c r="DR174" s="228">
        <v>0.56000000000000005</v>
      </c>
      <c r="DS174" s="228">
        <v>-0.14000000000000001</v>
      </c>
      <c r="DT174" s="229">
        <v>-0.25</v>
      </c>
      <c r="DU174" s="228">
        <v>840</v>
      </c>
      <c r="DV174" s="228">
        <v>800</v>
      </c>
      <c r="DW174" s="228">
        <v>0.25</v>
      </c>
      <c r="DX174" s="228">
        <v>0.32</v>
      </c>
      <c r="DY174" s="228">
        <v>-7.0000000000000007E-2</v>
      </c>
      <c r="DZ174" s="229">
        <v>-0.21879999999999999</v>
      </c>
      <c r="EA174" s="229">
        <v>0.97109999999999996</v>
      </c>
      <c r="EB174" s="230">
        <v>5513900</v>
      </c>
      <c r="EC174" s="229">
        <v>7.0000000000000001E-3</v>
      </c>
      <c r="ED174" s="229">
        <v>0.97109999999999996</v>
      </c>
      <c r="EE174" s="228">
        <v>5.05</v>
      </c>
      <c r="EF174" s="229">
        <v>6.1999999999999998E-3</v>
      </c>
      <c r="EG174" s="230">
        <v>692295</v>
      </c>
      <c r="EH174" s="230">
        <v>362135</v>
      </c>
      <c r="EI174" s="229">
        <v>0.91169999999999995</v>
      </c>
      <c r="EJ174" s="229">
        <v>0.29459999999999997</v>
      </c>
      <c r="EK174" s="228">
        <v>261.95</v>
      </c>
      <c r="EL174" s="228">
        <v>61.88</v>
      </c>
      <c r="EM174" s="228">
        <v>492.07</v>
      </c>
      <c r="EN174" s="228">
        <v>0</v>
      </c>
      <c r="EO174" s="228">
        <v>815.9</v>
      </c>
      <c r="EP174" s="228">
        <v>628.84</v>
      </c>
      <c r="EQ174" s="228">
        <v>187.06</v>
      </c>
      <c r="ER174" s="229">
        <v>0.29749999999999999</v>
      </c>
      <c r="ES174" s="228">
        <v>67.319999999999993</v>
      </c>
      <c r="ET174" s="228">
        <v>26.37</v>
      </c>
      <c r="EU174" s="228">
        <v>562.62</v>
      </c>
      <c r="EV174" s="231">
        <v>28664814</v>
      </c>
      <c r="EW174" s="228">
        <v>656.31</v>
      </c>
      <c r="EX174" s="228">
        <v>751.12</v>
      </c>
      <c r="EY174" s="228">
        <v>-94.81</v>
      </c>
      <c r="EZ174" s="229">
        <v>-0.12620000000000001</v>
      </c>
      <c r="FA174" s="229">
        <v>0.28010000000000002</v>
      </c>
      <c r="FB174" s="227" t="s">
        <v>555</v>
      </c>
      <c r="FC174">
        <f t="shared" si="3"/>
        <v>0</v>
      </c>
    </row>
    <row r="175" spans="1:159" ht="17.25" thickBot="1" x14ac:dyDescent="0.3">
      <c r="A175" s="226">
        <v>45869</v>
      </c>
      <c r="B175" s="227" t="s">
        <v>206</v>
      </c>
      <c r="C175" s="227" t="s">
        <v>646</v>
      </c>
      <c r="D175" s="228">
        <v>350</v>
      </c>
      <c r="E175" s="228">
        <v>0</v>
      </c>
      <c r="F175" s="231">
        <v>1490.9</v>
      </c>
      <c r="G175" s="231">
        <v>1509.2</v>
      </c>
      <c r="H175" s="228">
        <v>-18.3</v>
      </c>
      <c r="I175" s="229">
        <v>-1.21E-2</v>
      </c>
      <c r="J175" s="231">
        <v>1484</v>
      </c>
      <c r="K175" s="231">
        <v>1501.8</v>
      </c>
      <c r="L175" s="228">
        <v>-17.8</v>
      </c>
      <c r="M175" s="229">
        <v>-1.1900000000000001E-2</v>
      </c>
      <c r="N175" s="231">
        <v>1485.2</v>
      </c>
      <c r="O175" s="231">
        <v>1501.4</v>
      </c>
      <c r="P175" s="228">
        <v>-16.2</v>
      </c>
      <c r="Q175" s="229">
        <v>-1.0800000000000001E-2</v>
      </c>
      <c r="R175" s="231">
        <v>1490.9</v>
      </c>
      <c r="S175" s="231">
        <v>1509.2</v>
      </c>
      <c r="T175" s="228">
        <v>-18.3</v>
      </c>
      <c r="U175" s="229">
        <v>-1.21E-2</v>
      </c>
      <c r="V175" s="231">
        <v>1495.6</v>
      </c>
      <c r="W175" s="231">
        <v>1516.6</v>
      </c>
      <c r="X175" s="228">
        <v>-21</v>
      </c>
      <c r="Y175" s="229">
        <v>-1.38E-2</v>
      </c>
      <c r="Z175" s="228">
        <v>6.9</v>
      </c>
      <c r="AA175" s="228">
        <v>-0.4</v>
      </c>
      <c r="AB175" s="228">
        <v>7.3</v>
      </c>
      <c r="AC175" s="229">
        <v>4.5999999999999999E-3</v>
      </c>
      <c r="AD175" s="228">
        <v>1.2</v>
      </c>
      <c r="AE175" s="228">
        <v>-0.4</v>
      </c>
      <c r="AF175" s="228">
        <v>1.6</v>
      </c>
      <c r="AG175" s="229">
        <v>8.0000000000000004E-4</v>
      </c>
      <c r="AH175" s="228">
        <v>6.9</v>
      </c>
      <c r="AI175" s="228">
        <v>7.4</v>
      </c>
      <c r="AJ175" s="228">
        <v>-0.5</v>
      </c>
      <c r="AK175" s="229">
        <v>4.5999999999999999E-3</v>
      </c>
      <c r="AL175" s="228">
        <v>11.6</v>
      </c>
      <c r="AM175" s="228">
        <v>14.8</v>
      </c>
      <c r="AN175" s="228">
        <v>-3.2</v>
      </c>
      <c r="AO175" s="229">
        <v>7.7999999999999996E-3</v>
      </c>
      <c r="AP175" s="231">
        <v>1481.31</v>
      </c>
      <c r="AQ175" s="231">
        <v>1487.79</v>
      </c>
      <c r="AR175" s="228">
        <v>0</v>
      </c>
      <c r="AS175" s="228">
        <v>334</v>
      </c>
      <c r="AT175" s="228">
        <v>382</v>
      </c>
      <c r="AU175" s="228">
        <v>-48</v>
      </c>
      <c r="AV175" s="229">
        <v>-0.1255</v>
      </c>
      <c r="AW175" s="228">
        <v>160</v>
      </c>
      <c r="AX175" s="228">
        <v>187</v>
      </c>
      <c r="AY175" s="228">
        <v>-27</v>
      </c>
      <c r="AZ175" s="229">
        <v>-0.14630000000000001</v>
      </c>
      <c r="BA175" s="228">
        <v>173</v>
      </c>
      <c r="BB175" s="228">
        <v>194</v>
      </c>
      <c r="BC175" s="228">
        <v>-21</v>
      </c>
      <c r="BD175" s="229">
        <v>-0.1085</v>
      </c>
      <c r="BE175" s="228">
        <v>1</v>
      </c>
      <c r="BF175" s="228">
        <v>1</v>
      </c>
      <c r="BG175" s="228">
        <v>1</v>
      </c>
      <c r="BH175" s="229">
        <v>0.90910000000000002</v>
      </c>
      <c r="BI175" s="228">
        <v>101</v>
      </c>
      <c r="BJ175" s="228">
        <v>159</v>
      </c>
      <c r="BK175" s="228">
        <v>-59</v>
      </c>
      <c r="BL175" s="229">
        <v>-0.36859999999999998</v>
      </c>
      <c r="BM175" s="228">
        <v>42</v>
      </c>
      <c r="BN175" s="228">
        <v>38</v>
      </c>
      <c r="BO175" s="228">
        <v>4</v>
      </c>
      <c r="BP175" s="229">
        <v>0.1153</v>
      </c>
      <c r="BQ175" s="228">
        <v>477</v>
      </c>
      <c r="BR175" s="228">
        <v>579</v>
      </c>
      <c r="BS175" s="228">
        <v>-102</v>
      </c>
      <c r="BT175" s="229">
        <v>-0.17680000000000001</v>
      </c>
      <c r="BU175" s="230">
        <v>490950</v>
      </c>
      <c r="BV175" s="230">
        <v>363464</v>
      </c>
      <c r="BW175" s="230">
        <v>127486</v>
      </c>
      <c r="BX175" s="229">
        <v>0.3508</v>
      </c>
      <c r="BY175" s="228">
        <v>598</v>
      </c>
      <c r="BZ175" s="228">
        <v>693</v>
      </c>
      <c r="CA175" s="228">
        <v>-95</v>
      </c>
      <c r="CB175" s="229">
        <v>-0.13730000000000001</v>
      </c>
      <c r="CC175" s="228">
        <v>96</v>
      </c>
      <c r="CD175" s="228">
        <v>210</v>
      </c>
      <c r="CE175" s="228">
        <v>-114</v>
      </c>
      <c r="CF175" s="229">
        <v>-0.54479999999999995</v>
      </c>
      <c r="CG175" s="228">
        <v>595</v>
      </c>
      <c r="CH175" s="228">
        <v>481</v>
      </c>
      <c r="CI175" s="228">
        <v>114</v>
      </c>
      <c r="CJ175" s="229">
        <v>0.23810000000000001</v>
      </c>
      <c r="CK175" s="228">
        <v>3</v>
      </c>
      <c r="CL175" s="228">
        <v>3</v>
      </c>
      <c r="CM175" s="228">
        <v>0</v>
      </c>
      <c r="CN175" s="229">
        <v>9.6199999999999994E-2</v>
      </c>
      <c r="CO175" s="228">
        <v>44</v>
      </c>
      <c r="CP175" s="228">
        <v>166</v>
      </c>
      <c r="CQ175" s="228">
        <v>-121</v>
      </c>
      <c r="CR175" s="229">
        <v>-0.73240000000000005</v>
      </c>
      <c r="CS175" s="228">
        <v>26</v>
      </c>
      <c r="CT175" s="228">
        <v>87</v>
      </c>
      <c r="CU175" s="228">
        <v>-61</v>
      </c>
      <c r="CV175" s="229">
        <v>-0.70299999999999996</v>
      </c>
      <c r="CW175" s="228">
        <v>668</v>
      </c>
      <c r="CX175" s="228">
        <v>946</v>
      </c>
      <c r="CY175" s="228">
        <v>-278</v>
      </c>
      <c r="CZ175" s="229">
        <v>-0.29360000000000003</v>
      </c>
      <c r="DA175" s="228">
        <v>30.23</v>
      </c>
      <c r="DB175" s="228">
        <v>30.4</v>
      </c>
      <c r="DC175" s="228">
        <v>-0.17</v>
      </c>
      <c r="DD175" s="228">
        <v>-0.17</v>
      </c>
      <c r="DE175" s="228">
        <v>47.72</v>
      </c>
      <c r="DF175" s="228">
        <v>47.81</v>
      </c>
      <c r="DG175" s="228">
        <v>-17.489999999999998</v>
      </c>
      <c r="DH175" s="228">
        <v>-0.09</v>
      </c>
      <c r="DI175" s="228">
        <v>30.17</v>
      </c>
      <c r="DJ175" s="228">
        <v>30.19</v>
      </c>
      <c r="DK175" s="228">
        <v>-0.02</v>
      </c>
      <c r="DL175" s="228">
        <v>-0.02</v>
      </c>
      <c r="DM175" s="228">
        <v>30.32</v>
      </c>
      <c r="DN175" s="228">
        <v>31.14</v>
      </c>
      <c r="DO175" s="228">
        <v>-0.82</v>
      </c>
      <c r="DP175" s="228">
        <v>-0.82</v>
      </c>
      <c r="DQ175" s="228">
        <v>0.57999999999999996</v>
      </c>
      <c r="DR175" s="228">
        <v>0.53</v>
      </c>
      <c r="DS175" s="228">
        <v>0.05</v>
      </c>
      <c r="DT175" s="229">
        <v>9.4299999999999995E-2</v>
      </c>
      <c r="DU175" s="231">
        <v>1600</v>
      </c>
      <c r="DV175" s="231">
        <v>1500</v>
      </c>
      <c r="DW175" s="228">
        <v>0.42</v>
      </c>
      <c r="DX175" s="228">
        <v>0.24</v>
      </c>
      <c r="DY175" s="228">
        <v>0.18</v>
      </c>
      <c r="DZ175" s="229">
        <v>0.75</v>
      </c>
      <c r="EA175" s="229">
        <v>0.86219999999999997</v>
      </c>
      <c r="EB175" s="230">
        <v>3241350</v>
      </c>
      <c r="EC175" s="229">
        <v>3.8E-3</v>
      </c>
      <c r="ED175" s="229">
        <v>0.86219999999999997</v>
      </c>
      <c r="EE175" s="228">
        <v>6.48</v>
      </c>
      <c r="EF175" s="229">
        <v>4.4000000000000003E-3</v>
      </c>
      <c r="EG175" s="230">
        <v>301581</v>
      </c>
      <c r="EH175" s="230">
        <v>184857</v>
      </c>
      <c r="EI175" s="229">
        <v>0.63139999999999996</v>
      </c>
      <c r="EJ175" s="229">
        <v>0.61429999999999996</v>
      </c>
      <c r="EK175" s="228">
        <v>106.27</v>
      </c>
      <c r="EL175" s="228">
        <v>42.51</v>
      </c>
      <c r="EM175" s="228">
        <v>332.84</v>
      </c>
      <c r="EN175" s="228">
        <v>0</v>
      </c>
      <c r="EO175" s="228">
        <v>481.61</v>
      </c>
      <c r="EP175" s="228">
        <v>593.99</v>
      </c>
      <c r="EQ175" s="228">
        <v>-112.37</v>
      </c>
      <c r="ER175" s="229">
        <v>-0.18920000000000001</v>
      </c>
      <c r="ES175" s="228">
        <v>46.91</v>
      </c>
      <c r="ET175" s="228">
        <v>25.71</v>
      </c>
      <c r="EU175" s="228">
        <v>597.96</v>
      </c>
      <c r="EV175" s="231">
        <v>37710874</v>
      </c>
      <c r="EW175" s="228">
        <v>670.58</v>
      </c>
      <c r="EX175" s="228">
        <v>967.13</v>
      </c>
      <c r="EY175" s="228">
        <v>-296.55</v>
      </c>
      <c r="EZ175" s="229">
        <v>-0.30659999999999998</v>
      </c>
      <c r="FA175" s="229">
        <v>0.1188</v>
      </c>
      <c r="FB175" s="227" t="s">
        <v>568</v>
      </c>
      <c r="FC175">
        <f t="shared" si="3"/>
        <v>0</v>
      </c>
    </row>
    <row r="176" spans="1:159" ht="17.25" thickBot="1" x14ac:dyDescent="0.3">
      <c r="A176" s="226">
        <v>45869</v>
      </c>
      <c r="B176" s="227" t="s">
        <v>168</v>
      </c>
      <c r="C176" s="227" t="s">
        <v>274</v>
      </c>
      <c r="D176" s="228">
        <v>250</v>
      </c>
      <c r="E176" s="228">
        <v>0</v>
      </c>
      <c r="F176" s="231">
        <v>2885.6</v>
      </c>
      <c r="G176" s="231">
        <v>2886.7</v>
      </c>
      <c r="H176" s="228">
        <v>-1.1000000000000001</v>
      </c>
      <c r="I176" s="229">
        <v>-4.0000000000000002E-4</v>
      </c>
      <c r="J176" s="231">
        <v>2869.8</v>
      </c>
      <c r="K176" s="231">
        <v>2874.1</v>
      </c>
      <c r="L176" s="228">
        <v>-4.3</v>
      </c>
      <c r="M176" s="229">
        <v>-1.5E-3</v>
      </c>
      <c r="N176" s="231">
        <v>2873.7</v>
      </c>
      <c r="O176" s="231">
        <v>2870.1</v>
      </c>
      <c r="P176" s="228">
        <v>3.6</v>
      </c>
      <c r="Q176" s="229">
        <v>1.2999999999999999E-3</v>
      </c>
      <c r="R176" s="231">
        <v>2885.6</v>
      </c>
      <c r="S176" s="231">
        <v>2886.7</v>
      </c>
      <c r="T176" s="228">
        <v>-1.1000000000000001</v>
      </c>
      <c r="U176" s="229">
        <v>-4.0000000000000002E-4</v>
      </c>
      <c r="V176" s="231">
        <v>2898.2</v>
      </c>
      <c r="W176" s="231">
        <v>2901</v>
      </c>
      <c r="X176" s="228">
        <v>-2.8</v>
      </c>
      <c r="Y176" s="229">
        <v>-1E-3</v>
      </c>
      <c r="Z176" s="228">
        <v>15.8</v>
      </c>
      <c r="AA176" s="228">
        <v>-4</v>
      </c>
      <c r="AB176" s="228">
        <v>19.8</v>
      </c>
      <c r="AC176" s="229">
        <v>5.4999999999999997E-3</v>
      </c>
      <c r="AD176" s="228">
        <v>3.9</v>
      </c>
      <c r="AE176" s="228">
        <v>-4</v>
      </c>
      <c r="AF176" s="228">
        <v>7.9</v>
      </c>
      <c r="AG176" s="229">
        <v>1.4E-3</v>
      </c>
      <c r="AH176" s="228">
        <v>15.8</v>
      </c>
      <c r="AI176" s="228">
        <v>12.6</v>
      </c>
      <c r="AJ176" s="228">
        <v>3.2</v>
      </c>
      <c r="AK176" s="229">
        <v>5.4999999999999997E-3</v>
      </c>
      <c r="AL176" s="228">
        <v>28.4</v>
      </c>
      <c r="AM176" s="228">
        <v>26.9</v>
      </c>
      <c r="AN176" s="228">
        <v>1.5</v>
      </c>
      <c r="AO176" s="229">
        <v>9.9000000000000008E-3</v>
      </c>
      <c r="AP176" s="231">
        <v>2863.7</v>
      </c>
      <c r="AQ176" s="231">
        <v>2877.98</v>
      </c>
      <c r="AR176" s="228">
        <v>0</v>
      </c>
      <c r="AS176" s="228">
        <v>388</v>
      </c>
      <c r="AT176" s="228">
        <v>668</v>
      </c>
      <c r="AU176" s="228">
        <v>-280</v>
      </c>
      <c r="AV176" s="229">
        <v>-0.41959999999999997</v>
      </c>
      <c r="AW176" s="228">
        <v>184</v>
      </c>
      <c r="AX176" s="228">
        <v>320</v>
      </c>
      <c r="AY176" s="228">
        <v>-136</v>
      </c>
      <c r="AZ176" s="229">
        <v>-0.42559999999999998</v>
      </c>
      <c r="BA176" s="228">
        <v>202</v>
      </c>
      <c r="BB176" s="228">
        <v>347</v>
      </c>
      <c r="BC176" s="228">
        <v>-144</v>
      </c>
      <c r="BD176" s="229">
        <v>-0.41620000000000001</v>
      </c>
      <c r="BE176" s="228">
        <v>2</v>
      </c>
      <c r="BF176" s="228">
        <v>2</v>
      </c>
      <c r="BG176" s="228">
        <v>0</v>
      </c>
      <c r="BH176" s="229">
        <v>4.3499999999999997E-2</v>
      </c>
      <c r="BI176" s="228">
        <v>264</v>
      </c>
      <c r="BJ176" s="228">
        <v>183</v>
      </c>
      <c r="BK176" s="228">
        <v>81</v>
      </c>
      <c r="BL176" s="229">
        <v>0.44479999999999997</v>
      </c>
      <c r="BM176" s="228">
        <v>140</v>
      </c>
      <c r="BN176" s="228">
        <v>56</v>
      </c>
      <c r="BO176" s="228">
        <v>84</v>
      </c>
      <c r="BP176" s="229">
        <v>1.4923</v>
      </c>
      <c r="BQ176" s="228">
        <v>792</v>
      </c>
      <c r="BR176" s="228">
        <v>908</v>
      </c>
      <c r="BS176" s="228">
        <v>-115</v>
      </c>
      <c r="BT176" s="229">
        <v>-0.12690000000000001</v>
      </c>
      <c r="BU176" s="230">
        <v>197388</v>
      </c>
      <c r="BV176" s="230">
        <v>253048</v>
      </c>
      <c r="BW176" s="230">
        <v>-55660</v>
      </c>
      <c r="BX176" s="229">
        <v>-0.22</v>
      </c>
      <c r="BY176" s="228">
        <v>959</v>
      </c>
      <c r="BZ176" s="230">
        <v>1005</v>
      </c>
      <c r="CA176" s="228">
        <v>-46</v>
      </c>
      <c r="CB176" s="229">
        <v>-4.5600000000000002E-2</v>
      </c>
      <c r="CC176" s="228">
        <v>51</v>
      </c>
      <c r="CD176" s="228">
        <v>132</v>
      </c>
      <c r="CE176" s="228">
        <v>-81</v>
      </c>
      <c r="CF176" s="229">
        <v>-0.6139</v>
      </c>
      <c r="CG176" s="228">
        <v>954</v>
      </c>
      <c r="CH176" s="228">
        <v>869</v>
      </c>
      <c r="CI176" s="228">
        <v>85</v>
      </c>
      <c r="CJ176" s="229">
        <v>9.8199999999999996E-2</v>
      </c>
      <c r="CK176" s="228">
        <v>5</v>
      </c>
      <c r="CL176" s="228">
        <v>5</v>
      </c>
      <c r="CM176" s="228">
        <v>1</v>
      </c>
      <c r="CN176" s="229">
        <v>0.1343</v>
      </c>
      <c r="CO176" s="228">
        <v>92</v>
      </c>
      <c r="CP176" s="228">
        <v>305</v>
      </c>
      <c r="CQ176" s="228">
        <v>-213</v>
      </c>
      <c r="CR176" s="229">
        <v>-0.69720000000000004</v>
      </c>
      <c r="CS176" s="228">
        <v>71</v>
      </c>
      <c r="CT176" s="228">
        <v>163</v>
      </c>
      <c r="CU176" s="228">
        <v>-91</v>
      </c>
      <c r="CV176" s="229">
        <v>-0.56079999999999997</v>
      </c>
      <c r="CW176" s="230">
        <v>1123</v>
      </c>
      <c r="CX176" s="230">
        <v>1473</v>
      </c>
      <c r="CY176" s="228">
        <v>-350</v>
      </c>
      <c r="CZ176" s="229">
        <v>-0.2374</v>
      </c>
      <c r="DA176" s="228">
        <v>23.67</v>
      </c>
      <c r="DB176" s="228">
        <v>23.84</v>
      </c>
      <c r="DC176" s="228">
        <v>-0.17</v>
      </c>
      <c r="DD176" s="228">
        <v>-0.17</v>
      </c>
      <c r="DE176" s="228">
        <v>22.96</v>
      </c>
      <c r="DF176" s="228">
        <v>23.01</v>
      </c>
      <c r="DG176" s="228">
        <v>0.71</v>
      </c>
      <c r="DH176" s="228">
        <v>-0.05</v>
      </c>
      <c r="DI176" s="228">
        <v>23.82</v>
      </c>
      <c r="DJ176" s="228">
        <v>23.79</v>
      </c>
      <c r="DK176" s="228">
        <v>0.03</v>
      </c>
      <c r="DL176" s="228">
        <v>0.03</v>
      </c>
      <c r="DM176" s="228">
        <v>23.47</v>
      </c>
      <c r="DN176" s="228">
        <v>23.93</v>
      </c>
      <c r="DO176" s="228">
        <v>-0.46</v>
      </c>
      <c r="DP176" s="228">
        <v>-0.46</v>
      </c>
      <c r="DQ176" s="228">
        <v>0.77</v>
      </c>
      <c r="DR176" s="228">
        <v>0.53</v>
      </c>
      <c r="DS176" s="228">
        <v>0.24</v>
      </c>
      <c r="DT176" s="229">
        <v>0.45279999999999998</v>
      </c>
      <c r="DU176" s="231">
        <v>3000</v>
      </c>
      <c r="DV176" s="231">
        <v>2800</v>
      </c>
      <c r="DW176" s="228">
        <v>0.53</v>
      </c>
      <c r="DX176" s="228">
        <v>0.31</v>
      </c>
      <c r="DY176" s="228">
        <v>0.22</v>
      </c>
      <c r="DZ176" s="229">
        <v>0.7097</v>
      </c>
      <c r="EA176" s="229">
        <v>0.94969999999999999</v>
      </c>
      <c r="EB176" s="230">
        <v>3027000</v>
      </c>
      <c r="EC176" s="229">
        <v>4.1000000000000003E-3</v>
      </c>
      <c r="ED176" s="229">
        <v>0.94969999999999999</v>
      </c>
      <c r="EE176" s="228">
        <v>14.28</v>
      </c>
      <c r="EF176" s="229">
        <v>5.0000000000000001E-3</v>
      </c>
      <c r="EG176" s="230">
        <v>106624</v>
      </c>
      <c r="EH176" s="230">
        <v>180860</v>
      </c>
      <c r="EI176" s="229">
        <v>-0.41049999999999998</v>
      </c>
      <c r="EJ176" s="229">
        <v>0.54020000000000001</v>
      </c>
      <c r="EK176" s="228">
        <v>272.58</v>
      </c>
      <c r="EL176" s="228">
        <v>141.21</v>
      </c>
      <c r="EM176" s="228">
        <v>386.04</v>
      </c>
      <c r="EN176" s="228">
        <v>0</v>
      </c>
      <c r="EO176" s="228">
        <v>799.84</v>
      </c>
      <c r="EP176" s="228">
        <v>916.31</v>
      </c>
      <c r="EQ176" s="228">
        <v>-116.47</v>
      </c>
      <c r="ER176" s="229">
        <v>-0.12709999999999999</v>
      </c>
      <c r="ES176" s="228">
        <v>96.14</v>
      </c>
      <c r="ET176" s="228">
        <v>70.56</v>
      </c>
      <c r="EU176" s="228">
        <v>959.41</v>
      </c>
      <c r="EV176" s="231">
        <v>31030515</v>
      </c>
      <c r="EW176" s="231">
        <v>1126.1099999999999</v>
      </c>
      <c r="EX176" s="231">
        <v>1492.76</v>
      </c>
      <c r="EY176" s="228">
        <v>-366.65</v>
      </c>
      <c r="EZ176" s="229">
        <v>-0.24560000000000001</v>
      </c>
      <c r="FA176" s="229">
        <v>0.12540000000000001</v>
      </c>
      <c r="FB176" s="227" t="s">
        <v>568</v>
      </c>
      <c r="FC176">
        <f t="shared" si="3"/>
        <v>0</v>
      </c>
    </row>
    <row r="177" spans="1:159" ht="17.25" thickBot="1" x14ac:dyDescent="0.3">
      <c r="A177" s="226">
        <v>45869</v>
      </c>
      <c r="B177" s="227" t="s">
        <v>498</v>
      </c>
      <c r="C177" s="227" t="s">
        <v>483</v>
      </c>
      <c r="D177" s="228">
        <v>175</v>
      </c>
      <c r="E177" s="228">
        <v>0</v>
      </c>
      <c r="F177" s="231">
        <v>4255</v>
      </c>
      <c r="G177" s="231">
        <v>4329.8</v>
      </c>
      <c r="H177" s="228">
        <v>-74.8</v>
      </c>
      <c r="I177" s="229">
        <v>-1.7299999999999999E-2</v>
      </c>
      <c r="J177" s="231">
        <v>4250.8999999999996</v>
      </c>
      <c r="K177" s="231">
        <v>4324.2</v>
      </c>
      <c r="L177" s="228">
        <v>-73.3</v>
      </c>
      <c r="M177" s="229">
        <v>-1.7000000000000001E-2</v>
      </c>
      <c r="N177" s="231">
        <v>4257.2</v>
      </c>
      <c r="O177" s="231">
        <v>4319.8</v>
      </c>
      <c r="P177" s="228">
        <v>-62.6</v>
      </c>
      <c r="Q177" s="229">
        <v>-1.4500000000000001E-2</v>
      </c>
      <c r="R177" s="231">
        <v>4255</v>
      </c>
      <c r="S177" s="231">
        <v>4329.8</v>
      </c>
      <c r="T177" s="228">
        <v>-74.8</v>
      </c>
      <c r="U177" s="229">
        <v>-1.7299999999999999E-2</v>
      </c>
      <c r="V177" s="231">
        <v>4272.2</v>
      </c>
      <c r="W177" s="231">
        <v>4353.1000000000004</v>
      </c>
      <c r="X177" s="228">
        <v>-80.900000000000006</v>
      </c>
      <c r="Y177" s="229">
        <v>-1.8599999999999998E-2</v>
      </c>
      <c r="Z177" s="228">
        <v>4.0999999999999996</v>
      </c>
      <c r="AA177" s="228">
        <v>-4.4000000000000004</v>
      </c>
      <c r="AB177" s="228">
        <v>8.5</v>
      </c>
      <c r="AC177" s="229">
        <v>1E-3</v>
      </c>
      <c r="AD177" s="228">
        <v>6.3</v>
      </c>
      <c r="AE177" s="228">
        <v>-4.4000000000000004</v>
      </c>
      <c r="AF177" s="228">
        <v>10.7</v>
      </c>
      <c r="AG177" s="229">
        <v>1.5E-3</v>
      </c>
      <c r="AH177" s="228">
        <v>4.0999999999999996</v>
      </c>
      <c r="AI177" s="228">
        <v>5.6</v>
      </c>
      <c r="AJ177" s="228">
        <v>-1.5</v>
      </c>
      <c r="AK177" s="229">
        <v>1E-3</v>
      </c>
      <c r="AL177" s="228">
        <v>21.3</v>
      </c>
      <c r="AM177" s="228">
        <v>28.9</v>
      </c>
      <c r="AN177" s="228">
        <v>-7.6</v>
      </c>
      <c r="AO177" s="229">
        <v>5.0000000000000001E-3</v>
      </c>
      <c r="AP177" s="231">
        <v>4227.8500000000004</v>
      </c>
      <c r="AQ177" s="231">
        <v>4230.1499999999996</v>
      </c>
      <c r="AR177" s="228">
        <v>0</v>
      </c>
      <c r="AS177" s="228">
        <v>332</v>
      </c>
      <c r="AT177" s="228">
        <v>526</v>
      </c>
      <c r="AU177" s="228">
        <v>-194</v>
      </c>
      <c r="AV177" s="229">
        <v>-0.36849999999999999</v>
      </c>
      <c r="AW177" s="228">
        <v>101</v>
      </c>
      <c r="AX177" s="228">
        <v>217</v>
      </c>
      <c r="AY177" s="228">
        <v>-115</v>
      </c>
      <c r="AZ177" s="229">
        <v>-0.53239999999999998</v>
      </c>
      <c r="BA177" s="228">
        <v>228</v>
      </c>
      <c r="BB177" s="228">
        <v>307</v>
      </c>
      <c r="BC177" s="228">
        <v>-79</v>
      </c>
      <c r="BD177" s="229">
        <v>-0.25659999999999999</v>
      </c>
      <c r="BE177" s="228">
        <v>3</v>
      </c>
      <c r="BF177" s="228">
        <v>2</v>
      </c>
      <c r="BG177" s="228">
        <v>0</v>
      </c>
      <c r="BH177" s="229">
        <v>0.2069</v>
      </c>
      <c r="BI177" s="228">
        <v>393</v>
      </c>
      <c r="BJ177" s="230">
        <v>1086</v>
      </c>
      <c r="BK177" s="228">
        <v>-693</v>
      </c>
      <c r="BL177" s="229">
        <v>-0.63800000000000001</v>
      </c>
      <c r="BM177" s="228">
        <v>113</v>
      </c>
      <c r="BN177" s="228">
        <v>184</v>
      </c>
      <c r="BO177" s="228">
        <v>-71</v>
      </c>
      <c r="BP177" s="229">
        <v>-0.38519999999999999</v>
      </c>
      <c r="BQ177" s="228">
        <v>838</v>
      </c>
      <c r="BR177" s="230">
        <v>1795</v>
      </c>
      <c r="BS177" s="228">
        <v>-957</v>
      </c>
      <c r="BT177" s="229">
        <v>-0.53320000000000001</v>
      </c>
      <c r="BU177" s="230">
        <v>272202</v>
      </c>
      <c r="BV177" s="230">
        <v>261503</v>
      </c>
      <c r="BW177" s="230">
        <v>10699</v>
      </c>
      <c r="BX177" s="229">
        <v>4.0899999999999999E-2</v>
      </c>
      <c r="BY177" s="228">
        <v>664</v>
      </c>
      <c r="BZ177" s="228">
        <v>668</v>
      </c>
      <c r="CA177" s="228">
        <v>-3</v>
      </c>
      <c r="CB177" s="229">
        <v>-5.0000000000000001E-3</v>
      </c>
      <c r="CC177" s="228">
        <v>24</v>
      </c>
      <c r="CD177" s="228">
        <v>41</v>
      </c>
      <c r="CE177" s="228">
        <v>-17</v>
      </c>
      <c r="CF177" s="229">
        <v>-0.4173</v>
      </c>
      <c r="CG177" s="228">
        <v>661</v>
      </c>
      <c r="CH177" s="228">
        <v>624</v>
      </c>
      <c r="CI177" s="228">
        <v>37</v>
      </c>
      <c r="CJ177" s="229">
        <v>5.91E-2</v>
      </c>
      <c r="CK177" s="228">
        <v>3</v>
      </c>
      <c r="CL177" s="228">
        <v>3</v>
      </c>
      <c r="CM177" s="228">
        <v>0</v>
      </c>
      <c r="CN177" s="229">
        <v>7.8899999999999998E-2</v>
      </c>
      <c r="CO177" s="228">
        <v>99</v>
      </c>
      <c r="CP177" s="228">
        <v>201</v>
      </c>
      <c r="CQ177" s="228">
        <v>-102</v>
      </c>
      <c r="CR177" s="229">
        <v>-0.5081</v>
      </c>
      <c r="CS177" s="228">
        <v>56</v>
      </c>
      <c r="CT177" s="228">
        <v>129</v>
      </c>
      <c r="CU177" s="228">
        <v>-73</v>
      </c>
      <c r="CV177" s="229">
        <v>-0.56440000000000001</v>
      </c>
      <c r="CW177" s="228">
        <v>820</v>
      </c>
      <c r="CX177" s="228">
        <v>998</v>
      </c>
      <c r="CY177" s="228">
        <v>-178</v>
      </c>
      <c r="CZ177" s="229">
        <v>-0.17879999999999999</v>
      </c>
      <c r="DA177" s="228">
        <v>29.53</v>
      </c>
      <c r="DB177" s="228">
        <v>31</v>
      </c>
      <c r="DC177" s="228">
        <v>-1.47</v>
      </c>
      <c r="DD177" s="228">
        <v>-1.47</v>
      </c>
      <c r="DE177" s="228">
        <v>31.6</v>
      </c>
      <c r="DF177" s="228">
        <v>31.6</v>
      </c>
      <c r="DG177" s="228">
        <v>-2.0699999999999998</v>
      </c>
      <c r="DH177" s="228">
        <v>0</v>
      </c>
      <c r="DI177" s="228">
        <v>29.45</v>
      </c>
      <c r="DJ177" s="228">
        <v>30.97</v>
      </c>
      <c r="DK177" s="228">
        <v>-1.52</v>
      </c>
      <c r="DL177" s="228">
        <v>-1.52</v>
      </c>
      <c r="DM177" s="228">
        <v>29.76</v>
      </c>
      <c r="DN177" s="228">
        <v>31.15</v>
      </c>
      <c r="DO177" s="228">
        <v>-1.39</v>
      </c>
      <c r="DP177" s="228">
        <v>-1.39</v>
      </c>
      <c r="DQ177" s="228">
        <v>0.56999999999999995</v>
      </c>
      <c r="DR177" s="228">
        <v>0.64</v>
      </c>
      <c r="DS177" s="228">
        <v>-7.0000000000000007E-2</v>
      </c>
      <c r="DT177" s="229">
        <v>-0.1094</v>
      </c>
      <c r="DU177" s="231">
        <v>4300</v>
      </c>
      <c r="DV177" s="231">
        <v>4000</v>
      </c>
      <c r="DW177" s="228">
        <v>0.28999999999999998</v>
      </c>
      <c r="DX177" s="228">
        <v>0.17</v>
      </c>
      <c r="DY177" s="228">
        <v>0.12</v>
      </c>
      <c r="DZ177" s="229">
        <v>0.70589999999999997</v>
      </c>
      <c r="EA177" s="229">
        <v>0.9657</v>
      </c>
      <c r="EB177" s="230">
        <v>1474200</v>
      </c>
      <c r="EC177" s="229">
        <v>-5.0000000000000001E-4</v>
      </c>
      <c r="ED177" s="229">
        <v>0.9657</v>
      </c>
      <c r="EE177" s="228">
        <v>2.2999999999999998</v>
      </c>
      <c r="EF177" s="229">
        <v>5.0000000000000001E-4</v>
      </c>
      <c r="EG177" s="230">
        <v>108976</v>
      </c>
      <c r="EH177" s="230">
        <v>100372</v>
      </c>
      <c r="EI177" s="229">
        <v>8.5699999999999998E-2</v>
      </c>
      <c r="EJ177" s="229">
        <v>0.40029999999999999</v>
      </c>
      <c r="EK177" s="228">
        <v>405.09</v>
      </c>
      <c r="EL177" s="228">
        <v>111.87</v>
      </c>
      <c r="EM177" s="228">
        <v>330.04</v>
      </c>
      <c r="EN177" s="228">
        <v>0</v>
      </c>
      <c r="EO177" s="228">
        <v>847</v>
      </c>
      <c r="EP177" s="231">
        <v>1842.42</v>
      </c>
      <c r="EQ177" s="228">
        <v>-995.43</v>
      </c>
      <c r="ER177" s="229">
        <v>-0.5403</v>
      </c>
      <c r="ES177" s="228">
        <v>101.91</v>
      </c>
      <c r="ET177" s="228">
        <v>54.17</v>
      </c>
      <c r="EU177" s="228">
        <v>664.44</v>
      </c>
      <c r="EV177" s="231">
        <v>16356551</v>
      </c>
      <c r="EW177" s="228">
        <v>820.52</v>
      </c>
      <c r="EX177" s="231">
        <v>1007.79</v>
      </c>
      <c r="EY177" s="228">
        <v>-187.27</v>
      </c>
      <c r="EZ177" s="229">
        <v>-0.18579999999999999</v>
      </c>
      <c r="FA177" s="229">
        <v>0.1178</v>
      </c>
      <c r="FB177" s="227" t="s">
        <v>568</v>
      </c>
      <c r="FC177">
        <f t="shared" si="3"/>
        <v>0</v>
      </c>
    </row>
    <row r="178" spans="1:159" ht="17.25" thickBot="1" x14ac:dyDescent="0.3">
      <c r="A178" s="226">
        <v>45869</v>
      </c>
      <c r="B178" s="227" t="s">
        <v>172</v>
      </c>
      <c r="C178" s="227" t="s">
        <v>275</v>
      </c>
      <c r="D178" s="228">
        <v>8000</v>
      </c>
      <c r="E178" s="228">
        <v>0</v>
      </c>
      <c r="F178" s="228">
        <v>105.72</v>
      </c>
      <c r="G178" s="228">
        <v>108.8</v>
      </c>
      <c r="H178" s="228">
        <v>-3.08</v>
      </c>
      <c r="I178" s="229">
        <v>-2.8299999999999999E-2</v>
      </c>
      <c r="J178" s="228">
        <v>105.38</v>
      </c>
      <c r="K178" s="228">
        <v>108.1</v>
      </c>
      <c r="L178" s="228">
        <v>-2.72</v>
      </c>
      <c r="M178" s="229">
        <v>-2.52E-2</v>
      </c>
      <c r="N178" s="228">
        <v>105.29</v>
      </c>
      <c r="O178" s="228">
        <v>108.25</v>
      </c>
      <c r="P178" s="228">
        <v>-2.96</v>
      </c>
      <c r="Q178" s="229">
        <v>-2.7300000000000001E-2</v>
      </c>
      <c r="R178" s="228">
        <v>105.72</v>
      </c>
      <c r="S178" s="228">
        <v>108.8</v>
      </c>
      <c r="T178" s="228">
        <v>-3.08</v>
      </c>
      <c r="U178" s="229">
        <v>-2.8299999999999999E-2</v>
      </c>
      <c r="V178" s="228">
        <v>106.35</v>
      </c>
      <c r="W178" s="228">
        <v>109.44</v>
      </c>
      <c r="X178" s="228">
        <v>-3.09</v>
      </c>
      <c r="Y178" s="229">
        <v>-2.8199999999999999E-2</v>
      </c>
      <c r="Z178" s="228">
        <v>0.34</v>
      </c>
      <c r="AA178" s="228">
        <v>0.15</v>
      </c>
      <c r="AB178" s="228">
        <v>0.19</v>
      </c>
      <c r="AC178" s="229">
        <v>3.2000000000000002E-3</v>
      </c>
      <c r="AD178" s="228">
        <v>-0.09</v>
      </c>
      <c r="AE178" s="228">
        <v>0.15</v>
      </c>
      <c r="AF178" s="228">
        <v>-0.24</v>
      </c>
      <c r="AG178" s="229">
        <v>-8.9999999999999998E-4</v>
      </c>
      <c r="AH178" s="228">
        <v>0.34</v>
      </c>
      <c r="AI178" s="228">
        <v>0.7</v>
      </c>
      <c r="AJ178" s="228">
        <v>-0.36</v>
      </c>
      <c r="AK178" s="229">
        <v>3.2000000000000002E-3</v>
      </c>
      <c r="AL178" s="228">
        <v>0.97</v>
      </c>
      <c r="AM178" s="228">
        <v>1.34</v>
      </c>
      <c r="AN178" s="228">
        <v>-0.37</v>
      </c>
      <c r="AO178" s="229">
        <v>9.1999999999999998E-3</v>
      </c>
      <c r="AP178" s="228">
        <v>105.46</v>
      </c>
      <c r="AQ178" s="228">
        <v>106.04</v>
      </c>
      <c r="AR178" s="228">
        <v>0</v>
      </c>
      <c r="AS178" s="230">
        <v>2295</v>
      </c>
      <c r="AT178" s="230">
        <v>3270</v>
      </c>
      <c r="AU178" s="228">
        <v>-975</v>
      </c>
      <c r="AV178" s="229">
        <v>-0.29820000000000002</v>
      </c>
      <c r="AW178" s="228">
        <v>764</v>
      </c>
      <c r="AX178" s="230">
        <v>1417</v>
      </c>
      <c r="AY178" s="228">
        <v>-652</v>
      </c>
      <c r="AZ178" s="229">
        <v>-0.46039999999999998</v>
      </c>
      <c r="BA178" s="230">
        <v>1483</v>
      </c>
      <c r="BB178" s="230">
        <v>1807</v>
      </c>
      <c r="BC178" s="228">
        <v>-324</v>
      </c>
      <c r="BD178" s="229">
        <v>-0.17949999999999999</v>
      </c>
      <c r="BE178" s="228">
        <v>48</v>
      </c>
      <c r="BF178" s="228">
        <v>46</v>
      </c>
      <c r="BG178" s="228">
        <v>1</v>
      </c>
      <c r="BH178" s="229">
        <v>3.1099999999999999E-2</v>
      </c>
      <c r="BI178" s="230">
        <v>3764</v>
      </c>
      <c r="BJ178" s="230">
        <v>7296</v>
      </c>
      <c r="BK178" s="230">
        <v>-3532</v>
      </c>
      <c r="BL178" s="229">
        <v>-0.48409999999999997</v>
      </c>
      <c r="BM178" s="230">
        <v>2453</v>
      </c>
      <c r="BN178" s="230">
        <v>3932</v>
      </c>
      <c r="BO178" s="230">
        <v>-1479</v>
      </c>
      <c r="BP178" s="229">
        <v>-0.37609999999999999</v>
      </c>
      <c r="BQ178" s="230">
        <v>8513</v>
      </c>
      <c r="BR178" s="230">
        <v>14498</v>
      </c>
      <c r="BS178" s="230">
        <v>-5985</v>
      </c>
      <c r="BT178" s="229">
        <v>-0.4128</v>
      </c>
      <c r="BU178" s="230">
        <v>45053022</v>
      </c>
      <c r="BV178" s="230">
        <v>52377317</v>
      </c>
      <c r="BW178" s="230">
        <v>-7324295</v>
      </c>
      <c r="BX178" s="229">
        <v>-0.13980000000000001</v>
      </c>
      <c r="BY178" s="230">
        <v>2704</v>
      </c>
      <c r="BZ178" s="230">
        <v>2766</v>
      </c>
      <c r="CA178" s="228">
        <v>-62</v>
      </c>
      <c r="CB178" s="229">
        <v>-2.24E-2</v>
      </c>
      <c r="CC178" s="228">
        <v>225</v>
      </c>
      <c r="CD178" s="228">
        <v>565</v>
      </c>
      <c r="CE178" s="228">
        <v>-341</v>
      </c>
      <c r="CF178" s="229">
        <v>-0.60219999999999996</v>
      </c>
      <c r="CG178" s="230">
        <v>2616</v>
      </c>
      <c r="CH178" s="230">
        <v>2136</v>
      </c>
      <c r="CI178" s="228">
        <v>480</v>
      </c>
      <c r="CJ178" s="229">
        <v>0.22500000000000001</v>
      </c>
      <c r="CK178" s="228">
        <v>88</v>
      </c>
      <c r="CL178" s="228">
        <v>65</v>
      </c>
      <c r="CM178" s="228">
        <v>23</v>
      </c>
      <c r="CN178" s="229">
        <v>0.35410000000000003</v>
      </c>
      <c r="CO178" s="228">
        <v>984</v>
      </c>
      <c r="CP178" s="230">
        <v>1787</v>
      </c>
      <c r="CQ178" s="228">
        <v>-803</v>
      </c>
      <c r="CR178" s="229">
        <v>-0.44940000000000002</v>
      </c>
      <c r="CS178" s="228">
        <v>660</v>
      </c>
      <c r="CT178" s="230">
        <v>1177</v>
      </c>
      <c r="CU178" s="228">
        <v>-517</v>
      </c>
      <c r="CV178" s="229">
        <v>-0.43919999999999998</v>
      </c>
      <c r="CW178" s="230">
        <v>4348</v>
      </c>
      <c r="CX178" s="230">
        <v>5730</v>
      </c>
      <c r="CY178" s="230">
        <v>-1382</v>
      </c>
      <c r="CZ178" s="229">
        <v>-0.2412</v>
      </c>
      <c r="DA178" s="228">
        <v>27.27</v>
      </c>
      <c r="DB178" s="228">
        <v>28.85</v>
      </c>
      <c r="DC178" s="228">
        <v>-1.58</v>
      </c>
      <c r="DD178" s="228">
        <v>-1.58</v>
      </c>
      <c r="DE178" s="228">
        <v>39.770000000000003</v>
      </c>
      <c r="DF178" s="228">
        <v>39.68</v>
      </c>
      <c r="DG178" s="228">
        <v>-12.5</v>
      </c>
      <c r="DH178" s="228">
        <v>0.09</v>
      </c>
      <c r="DI178" s="228">
        <v>27.75</v>
      </c>
      <c r="DJ178" s="228">
        <v>29.02</v>
      </c>
      <c r="DK178" s="228">
        <v>-1.27</v>
      </c>
      <c r="DL178" s="228">
        <v>-1.27</v>
      </c>
      <c r="DM178" s="228">
        <v>26.46</v>
      </c>
      <c r="DN178" s="228">
        <v>28.6</v>
      </c>
      <c r="DO178" s="228">
        <v>-2.14</v>
      </c>
      <c r="DP178" s="228">
        <v>-2.14</v>
      </c>
      <c r="DQ178" s="228">
        <v>0.67</v>
      </c>
      <c r="DR178" s="228">
        <v>0.66</v>
      </c>
      <c r="DS178" s="228">
        <v>0.01</v>
      </c>
      <c r="DT178" s="229">
        <v>1.52E-2</v>
      </c>
      <c r="DU178" s="228">
        <v>110</v>
      </c>
      <c r="DV178" s="228">
        <v>105</v>
      </c>
      <c r="DW178" s="228">
        <v>0.65</v>
      </c>
      <c r="DX178" s="228">
        <v>0.54</v>
      </c>
      <c r="DY178" s="228">
        <v>0.11</v>
      </c>
      <c r="DZ178" s="229">
        <v>0.20369999999999999</v>
      </c>
      <c r="EA178" s="229">
        <v>0.92320000000000002</v>
      </c>
      <c r="EB178" s="230">
        <v>208168000</v>
      </c>
      <c r="EC178" s="229">
        <v>4.1000000000000003E-3</v>
      </c>
      <c r="ED178" s="229">
        <v>0.92320000000000002</v>
      </c>
      <c r="EE178" s="228">
        <v>0.57999999999999996</v>
      </c>
      <c r="EF178" s="229">
        <v>5.4999999999999997E-3</v>
      </c>
      <c r="EG178" s="230">
        <v>13533342</v>
      </c>
      <c r="EH178" s="230">
        <v>9993518</v>
      </c>
      <c r="EI178" s="229">
        <v>0.35420000000000001</v>
      </c>
      <c r="EJ178" s="229">
        <v>0.3004</v>
      </c>
      <c r="EK178" s="231">
        <v>3967.78</v>
      </c>
      <c r="EL178" s="231">
        <v>2510.38</v>
      </c>
      <c r="EM178" s="231">
        <v>2298.25</v>
      </c>
      <c r="EN178" s="228">
        <v>0</v>
      </c>
      <c r="EO178" s="231">
        <v>8776.42</v>
      </c>
      <c r="EP178" s="231">
        <v>15283.37</v>
      </c>
      <c r="EQ178" s="231">
        <v>-6506.95</v>
      </c>
      <c r="ER178" s="229">
        <v>-0.42580000000000001</v>
      </c>
      <c r="ES178" s="231">
        <v>1050.8800000000001</v>
      </c>
      <c r="ET178" s="228">
        <v>662.95</v>
      </c>
      <c r="EU178" s="231">
        <v>2704.76</v>
      </c>
      <c r="EV178" s="231">
        <v>687763516</v>
      </c>
      <c r="EW178" s="231">
        <v>4418.59</v>
      </c>
      <c r="EX178" s="231">
        <v>5946.64</v>
      </c>
      <c r="EY178" s="231">
        <v>-1528.05</v>
      </c>
      <c r="EZ178" s="229">
        <v>-0.25700000000000001</v>
      </c>
      <c r="FA178" s="229">
        <v>0.59799999999999998</v>
      </c>
      <c r="FB178" s="227" t="s">
        <v>568</v>
      </c>
      <c r="FC178">
        <f t="shared" si="3"/>
        <v>0</v>
      </c>
    </row>
    <row r="179" spans="1:159" ht="17.25" thickBot="1" x14ac:dyDescent="0.3">
      <c r="A179" s="226">
        <v>45869</v>
      </c>
      <c r="B179" s="227" t="s">
        <v>175</v>
      </c>
      <c r="C179" s="227" t="s">
        <v>672</v>
      </c>
      <c r="D179" s="228">
        <v>650</v>
      </c>
      <c r="E179" s="228">
        <v>0</v>
      </c>
      <c r="F179" s="228">
        <v>986.2</v>
      </c>
      <c r="G179" s="228">
        <v>987.1</v>
      </c>
      <c r="H179" s="228">
        <v>-0.9</v>
      </c>
      <c r="I179" s="229">
        <v>-8.9999999999999998E-4</v>
      </c>
      <c r="J179" s="228">
        <v>986.2</v>
      </c>
      <c r="K179" s="228">
        <v>986.8</v>
      </c>
      <c r="L179" s="228">
        <v>-0.6</v>
      </c>
      <c r="M179" s="229">
        <v>-5.9999999999999995E-4</v>
      </c>
      <c r="N179" s="228">
        <v>986.4</v>
      </c>
      <c r="O179" s="228">
        <v>986.6</v>
      </c>
      <c r="P179" s="228">
        <v>-0.2</v>
      </c>
      <c r="Q179" s="229">
        <v>-2.0000000000000001E-4</v>
      </c>
      <c r="R179" s="228">
        <v>986.2</v>
      </c>
      <c r="S179" s="228">
        <v>987.1</v>
      </c>
      <c r="T179" s="228">
        <v>-0.9</v>
      </c>
      <c r="U179" s="229">
        <v>-8.9999999999999998E-4</v>
      </c>
      <c r="V179" s="228">
        <v>992</v>
      </c>
      <c r="W179" s="228">
        <v>992.3</v>
      </c>
      <c r="X179" s="228">
        <v>-0.3</v>
      </c>
      <c r="Y179" s="229">
        <v>-2.9999999999999997E-4</v>
      </c>
      <c r="Z179" s="228">
        <v>0</v>
      </c>
      <c r="AA179" s="228">
        <v>-0.2</v>
      </c>
      <c r="AB179" s="228">
        <v>0.2</v>
      </c>
      <c r="AC179" s="229">
        <v>0</v>
      </c>
      <c r="AD179" s="228">
        <v>0.2</v>
      </c>
      <c r="AE179" s="228">
        <v>-0.2</v>
      </c>
      <c r="AF179" s="228">
        <v>0.4</v>
      </c>
      <c r="AG179" s="229">
        <v>2.0000000000000001E-4</v>
      </c>
      <c r="AH179" s="228">
        <v>0</v>
      </c>
      <c r="AI179" s="228">
        <v>0.3</v>
      </c>
      <c r="AJ179" s="228">
        <v>-0.3</v>
      </c>
      <c r="AK179" s="229">
        <v>0</v>
      </c>
      <c r="AL179" s="228">
        <v>5.8</v>
      </c>
      <c r="AM179" s="228">
        <v>5.5</v>
      </c>
      <c r="AN179" s="228">
        <v>0.3</v>
      </c>
      <c r="AO179" s="229">
        <v>5.8999999999999999E-3</v>
      </c>
      <c r="AP179" s="228">
        <v>989.83</v>
      </c>
      <c r="AQ179" s="228">
        <v>989.19</v>
      </c>
      <c r="AR179" s="228">
        <v>0</v>
      </c>
      <c r="AS179" s="228">
        <v>347</v>
      </c>
      <c r="AT179" s="228">
        <v>482</v>
      </c>
      <c r="AU179" s="228">
        <v>-135</v>
      </c>
      <c r="AV179" s="229">
        <v>-0.28010000000000002</v>
      </c>
      <c r="AW179" s="228">
        <v>161</v>
      </c>
      <c r="AX179" s="228">
        <v>219</v>
      </c>
      <c r="AY179" s="228">
        <v>-58</v>
      </c>
      <c r="AZ179" s="229">
        <v>-0.26429999999999998</v>
      </c>
      <c r="BA179" s="228">
        <v>182</v>
      </c>
      <c r="BB179" s="228">
        <v>258</v>
      </c>
      <c r="BC179" s="228">
        <v>-76</v>
      </c>
      <c r="BD179" s="229">
        <v>-0.2959</v>
      </c>
      <c r="BE179" s="228">
        <v>4</v>
      </c>
      <c r="BF179" s="228">
        <v>4</v>
      </c>
      <c r="BG179" s="228">
        <v>-1</v>
      </c>
      <c r="BH179" s="229">
        <v>-0.1429</v>
      </c>
      <c r="BI179" s="228">
        <v>276</v>
      </c>
      <c r="BJ179" s="228">
        <v>269</v>
      </c>
      <c r="BK179" s="228">
        <v>7</v>
      </c>
      <c r="BL179" s="229">
        <v>2.53E-2</v>
      </c>
      <c r="BM179" s="228">
        <v>149</v>
      </c>
      <c r="BN179" s="228">
        <v>110</v>
      </c>
      <c r="BO179" s="228">
        <v>39</v>
      </c>
      <c r="BP179" s="229">
        <v>0.35499999999999998</v>
      </c>
      <c r="BQ179" s="228">
        <v>771</v>
      </c>
      <c r="BR179" s="228">
        <v>860</v>
      </c>
      <c r="BS179" s="228">
        <v>-89</v>
      </c>
      <c r="BT179" s="229">
        <v>-0.1037</v>
      </c>
      <c r="BU179" s="230">
        <v>846484</v>
      </c>
      <c r="BV179" s="230">
        <v>916030</v>
      </c>
      <c r="BW179" s="230">
        <v>-69546</v>
      </c>
      <c r="BX179" s="229">
        <v>-7.5899999999999995E-2</v>
      </c>
      <c r="BY179" s="228">
        <v>898</v>
      </c>
      <c r="BZ179" s="230">
        <v>1001</v>
      </c>
      <c r="CA179" s="228">
        <v>-103</v>
      </c>
      <c r="CB179" s="229">
        <v>-0.1024</v>
      </c>
      <c r="CC179" s="228">
        <v>104</v>
      </c>
      <c r="CD179" s="228">
        <v>189</v>
      </c>
      <c r="CE179" s="228">
        <v>-86</v>
      </c>
      <c r="CF179" s="229">
        <v>-0.45240000000000002</v>
      </c>
      <c r="CG179" s="228">
        <v>888</v>
      </c>
      <c r="CH179" s="228">
        <v>802</v>
      </c>
      <c r="CI179" s="228">
        <v>86</v>
      </c>
      <c r="CJ179" s="229">
        <v>0.10730000000000001</v>
      </c>
      <c r="CK179" s="228">
        <v>10</v>
      </c>
      <c r="CL179" s="228">
        <v>9</v>
      </c>
      <c r="CM179" s="228">
        <v>1</v>
      </c>
      <c r="CN179" s="229">
        <v>7.6899999999999996E-2</v>
      </c>
      <c r="CO179" s="228">
        <v>105</v>
      </c>
      <c r="CP179" s="228">
        <v>374</v>
      </c>
      <c r="CQ179" s="228">
        <v>-268</v>
      </c>
      <c r="CR179" s="229">
        <v>-0.71789999999999998</v>
      </c>
      <c r="CS179" s="228">
        <v>93</v>
      </c>
      <c r="CT179" s="228">
        <v>207</v>
      </c>
      <c r="CU179" s="228">
        <v>-114</v>
      </c>
      <c r="CV179" s="229">
        <v>-0.55020000000000002</v>
      </c>
      <c r="CW179" s="230">
        <v>1097</v>
      </c>
      <c r="CX179" s="230">
        <v>1581</v>
      </c>
      <c r="CY179" s="228">
        <v>-485</v>
      </c>
      <c r="CZ179" s="229">
        <v>-0.30649999999999999</v>
      </c>
      <c r="DA179" s="228">
        <v>28.99</v>
      </c>
      <c r="DB179" s="228">
        <v>30.4</v>
      </c>
      <c r="DC179" s="228">
        <v>-1.41</v>
      </c>
      <c r="DD179" s="228">
        <v>-1.41</v>
      </c>
      <c r="DE179" s="228">
        <v>45.99</v>
      </c>
      <c r="DF179" s="228">
        <v>46.11</v>
      </c>
      <c r="DG179" s="228">
        <v>-17</v>
      </c>
      <c r="DH179" s="228">
        <v>-0.12</v>
      </c>
      <c r="DI179" s="228">
        <v>29.67</v>
      </c>
      <c r="DJ179" s="228">
        <v>30.72</v>
      </c>
      <c r="DK179" s="228">
        <v>-1.05</v>
      </c>
      <c r="DL179" s="228">
        <v>-1.05</v>
      </c>
      <c r="DM179" s="228">
        <v>27.79</v>
      </c>
      <c r="DN179" s="228">
        <v>29.55</v>
      </c>
      <c r="DO179" s="228">
        <v>-1.76</v>
      </c>
      <c r="DP179" s="228">
        <v>-1.76</v>
      </c>
      <c r="DQ179" s="228">
        <v>0.88</v>
      </c>
      <c r="DR179" s="228">
        <v>0.55000000000000004</v>
      </c>
      <c r="DS179" s="228">
        <v>0.33</v>
      </c>
      <c r="DT179" s="229">
        <v>0.6</v>
      </c>
      <c r="DU179" s="231">
        <v>1100</v>
      </c>
      <c r="DV179" s="231">
        <v>1000</v>
      </c>
      <c r="DW179" s="228">
        <v>0.54</v>
      </c>
      <c r="DX179" s="228">
        <v>0.41</v>
      </c>
      <c r="DY179" s="228">
        <v>0.13</v>
      </c>
      <c r="DZ179" s="229">
        <v>0.31709999999999999</v>
      </c>
      <c r="EA179" s="229">
        <v>0.89649999999999996</v>
      </c>
      <c r="EB179" s="230">
        <v>8228350</v>
      </c>
      <c r="EC179" s="229">
        <v>-2.0000000000000001E-4</v>
      </c>
      <c r="ED179" s="229">
        <v>0.89649999999999996</v>
      </c>
      <c r="EE179" s="228">
        <v>-0.64</v>
      </c>
      <c r="EF179" s="229">
        <v>-5.9999999999999995E-4</v>
      </c>
      <c r="EG179" s="230">
        <v>476578</v>
      </c>
      <c r="EH179" s="230">
        <v>507843</v>
      </c>
      <c r="EI179" s="229">
        <v>-6.1600000000000002E-2</v>
      </c>
      <c r="EJ179" s="229">
        <v>0.56299999999999994</v>
      </c>
      <c r="EK179" s="228">
        <v>300.60000000000002</v>
      </c>
      <c r="EL179" s="228">
        <v>153.78</v>
      </c>
      <c r="EM179" s="228">
        <v>347.97</v>
      </c>
      <c r="EN179" s="228">
        <v>0</v>
      </c>
      <c r="EO179" s="228">
        <v>802.35</v>
      </c>
      <c r="EP179" s="228">
        <v>890.68</v>
      </c>
      <c r="EQ179" s="228">
        <v>-88.33</v>
      </c>
      <c r="ER179" s="229">
        <v>-9.9199999999999997E-2</v>
      </c>
      <c r="ES179" s="228">
        <v>114.73</v>
      </c>
      <c r="ET179" s="228">
        <v>93.47</v>
      </c>
      <c r="EU179" s="228">
        <v>898.33</v>
      </c>
      <c r="EV179" s="231">
        <v>37374767</v>
      </c>
      <c r="EW179" s="231">
        <v>1106.53</v>
      </c>
      <c r="EX179" s="231">
        <v>1636.1</v>
      </c>
      <c r="EY179" s="228">
        <v>-529.57000000000005</v>
      </c>
      <c r="EZ179" s="229">
        <v>-0.32369999999999999</v>
      </c>
      <c r="FA179" s="229">
        <v>0.29749999999999999</v>
      </c>
      <c r="FB179" s="227" t="s">
        <v>568</v>
      </c>
      <c r="FC179">
        <f t="shared" si="3"/>
        <v>0</v>
      </c>
    </row>
    <row r="180" spans="1:159" ht="17.25" thickBot="1" x14ac:dyDescent="0.3">
      <c r="A180" s="226">
        <v>45869</v>
      </c>
      <c r="B180" s="227" t="s">
        <v>616</v>
      </c>
      <c r="C180" s="227" t="s">
        <v>574</v>
      </c>
      <c r="D180" s="228">
        <v>350</v>
      </c>
      <c r="E180" s="228">
        <v>0</v>
      </c>
      <c r="F180" s="231">
        <v>1820</v>
      </c>
      <c r="G180" s="231">
        <v>1829.2</v>
      </c>
      <c r="H180" s="228">
        <v>-9.1999999999999993</v>
      </c>
      <c r="I180" s="229">
        <v>-5.0000000000000001E-3</v>
      </c>
      <c r="J180" s="231">
        <v>1812.1</v>
      </c>
      <c r="K180" s="231">
        <v>1821.4</v>
      </c>
      <c r="L180" s="228">
        <v>-9.3000000000000007</v>
      </c>
      <c r="M180" s="229">
        <v>-5.1000000000000004E-3</v>
      </c>
      <c r="N180" s="231">
        <v>1810.5</v>
      </c>
      <c r="O180" s="231">
        <v>1819.4</v>
      </c>
      <c r="P180" s="228">
        <v>-8.9</v>
      </c>
      <c r="Q180" s="229">
        <v>-4.8999999999999998E-3</v>
      </c>
      <c r="R180" s="231">
        <v>1820</v>
      </c>
      <c r="S180" s="231">
        <v>1829.2</v>
      </c>
      <c r="T180" s="228">
        <v>-9.1999999999999993</v>
      </c>
      <c r="U180" s="229">
        <v>-5.0000000000000001E-3</v>
      </c>
      <c r="V180" s="231">
        <v>1829.3</v>
      </c>
      <c r="W180" s="231">
        <v>1838.4</v>
      </c>
      <c r="X180" s="228">
        <v>-9.1</v>
      </c>
      <c r="Y180" s="229">
        <v>-4.8999999999999998E-3</v>
      </c>
      <c r="Z180" s="228">
        <v>7.9</v>
      </c>
      <c r="AA180" s="228">
        <v>-2</v>
      </c>
      <c r="AB180" s="228">
        <v>9.9</v>
      </c>
      <c r="AC180" s="229">
        <v>4.4000000000000003E-3</v>
      </c>
      <c r="AD180" s="228">
        <v>-1.6</v>
      </c>
      <c r="AE180" s="228">
        <v>-2</v>
      </c>
      <c r="AF180" s="228">
        <v>0.4</v>
      </c>
      <c r="AG180" s="229">
        <v>-8.9999999999999998E-4</v>
      </c>
      <c r="AH180" s="228">
        <v>7.9</v>
      </c>
      <c r="AI180" s="228">
        <v>7.8</v>
      </c>
      <c r="AJ180" s="228">
        <v>0.1</v>
      </c>
      <c r="AK180" s="229">
        <v>4.4000000000000003E-3</v>
      </c>
      <c r="AL180" s="228">
        <v>17.2</v>
      </c>
      <c r="AM180" s="228">
        <v>17</v>
      </c>
      <c r="AN180" s="228">
        <v>0.2</v>
      </c>
      <c r="AO180" s="229">
        <v>9.4999999999999998E-3</v>
      </c>
      <c r="AP180" s="231">
        <v>1801.91</v>
      </c>
      <c r="AQ180" s="231">
        <v>1811.8</v>
      </c>
      <c r="AR180" s="228">
        <v>0</v>
      </c>
      <c r="AS180" s="228">
        <v>666</v>
      </c>
      <c r="AT180" s="228">
        <v>930</v>
      </c>
      <c r="AU180" s="228">
        <v>-264</v>
      </c>
      <c r="AV180" s="229">
        <v>-0.2843</v>
      </c>
      <c r="AW180" s="228">
        <v>265</v>
      </c>
      <c r="AX180" s="228">
        <v>441</v>
      </c>
      <c r="AY180" s="228">
        <v>-176</v>
      </c>
      <c r="AZ180" s="229">
        <v>-0.39979999999999999</v>
      </c>
      <c r="BA180" s="228">
        <v>397</v>
      </c>
      <c r="BB180" s="228">
        <v>487</v>
      </c>
      <c r="BC180" s="228">
        <v>-90</v>
      </c>
      <c r="BD180" s="229">
        <v>-0.18440000000000001</v>
      </c>
      <c r="BE180" s="228">
        <v>4</v>
      </c>
      <c r="BF180" s="228">
        <v>2</v>
      </c>
      <c r="BG180" s="228">
        <v>2</v>
      </c>
      <c r="BH180" s="229">
        <v>0.8125</v>
      </c>
      <c r="BI180" s="228">
        <v>497</v>
      </c>
      <c r="BJ180" s="228">
        <v>567</v>
      </c>
      <c r="BK180" s="228">
        <v>-70</v>
      </c>
      <c r="BL180" s="229">
        <v>-0.1229</v>
      </c>
      <c r="BM180" s="228">
        <v>185</v>
      </c>
      <c r="BN180" s="228">
        <v>144</v>
      </c>
      <c r="BO180" s="228">
        <v>41</v>
      </c>
      <c r="BP180" s="229">
        <v>0.28449999999999998</v>
      </c>
      <c r="BQ180" s="230">
        <v>1348</v>
      </c>
      <c r="BR180" s="230">
        <v>1641</v>
      </c>
      <c r="BS180" s="228">
        <v>-293</v>
      </c>
      <c r="BT180" s="229">
        <v>-0.17860000000000001</v>
      </c>
      <c r="BU180" s="230">
        <v>1157498</v>
      </c>
      <c r="BV180" s="230">
        <v>957142</v>
      </c>
      <c r="BW180" s="230">
        <v>200356</v>
      </c>
      <c r="BX180" s="229">
        <v>0.20930000000000001</v>
      </c>
      <c r="BY180" s="230">
        <v>1411</v>
      </c>
      <c r="BZ180" s="230">
        <v>1523</v>
      </c>
      <c r="CA180" s="228">
        <v>-113</v>
      </c>
      <c r="CB180" s="229">
        <v>-7.3899999999999993E-2</v>
      </c>
      <c r="CC180" s="228">
        <v>95</v>
      </c>
      <c r="CD180" s="228">
        <v>247</v>
      </c>
      <c r="CE180" s="228">
        <v>-152</v>
      </c>
      <c r="CF180" s="229">
        <v>-0.61639999999999995</v>
      </c>
      <c r="CG180" s="230">
        <v>1407</v>
      </c>
      <c r="CH180" s="230">
        <v>1272</v>
      </c>
      <c r="CI180" s="228">
        <v>134</v>
      </c>
      <c r="CJ180" s="229">
        <v>0.1055</v>
      </c>
      <c r="CK180" s="228">
        <v>4</v>
      </c>
      <c r="CL180" s="228">
        <v>4</v>
      </c>
      <c r="CM180" s="228">
        <v>0</v>
      </c>
      <c r="CN180" s="229">
        <v>0.1186</v>
      </c>
      <c r="CO180" s="228">
        <v>61</v>
      </c>
      <c r="CP180" s="228">
        <v>279</v>
      </c>
      <c r="CQ180" s="228">
        <v>-218</v>
      </c>
      <c r="CR180" s="229">
        <v>-0.78190000000000004</v>
      </c>
      <c r="CS180" s="228">
        <v>77</v>
      </c>
      <c r="CT180" s="228">
        <v>189</v>
      </c>
      <c r="CU180" s="228">
        <v>-111</v>
      </c>
      <c r="CV180" s="229">
        <v>-0.59089999999999998</v>
      </c>
      <c r="CW180" s="230">
        <v>1549</v>
      </c>
      <c r="CX180" s="230">
        <v>1990</v>
      </c>
      <c r="CY180" s="228">
        <v>-442</v>
      </c>
      <c r="CZ180" s="229">
        <v>-0.222</v>
      </c>
      <c r="DA180" s="228">
        <v>36.340000000000003</v>
      </c>
      <c r="DB180" s="228">
        <v>37.71</v>
      </c>
      <c r="DC180" s="228">
        <v>-1.37</v>
      </c>
      <c r="DD180" s="228">
        <v>-1.37</v>
      </c>
      <c r="DE180" s="228">
        <v>51.03</v>
      </c>
      <c r="DF180" s="228">
        <v>51.15</v>
      </c>
      <c r="DG180" s="228">
        <v>-14.69</v>
      </c>
      <c r="DH180" s="228">
        <v>-0.12</v>
      </c>
      <c r="DI180" s="228">
        <v>36.51</v>
      </c>
      <c r="DJ180" s="228">
        <v>37.340000000000003</v>
      </c>
      <c r="DK180" s="228">
        <v>-0.83</v>
      </c>
      <c r="DL180" s="228">
        <v>-0.83</v>
      </c>
      <c r="DM180" s="228">
        <v>36.130000000000003</v>
      </c>
      <c r="DN180" s="228">
        <v>38.200000000000003</v>
      </c>
      <c r="DO180" s="228">
        <v>-2.0699999999999998</v>
      </c>
      <c r="DP180" s="228">
        <v>-2.0699999999999998</v>
      </c>
      <c r="DQ180" s="228">
        <v>1.27</v>
      </c>
      <c r="DR180" s="228">
        <v>0.68</v>
      </c>
      <c r="DS180" s="228">
        <v>0.59</v>
      </c>
      <c r="DT180" s="229">
        <v>0.86760000000000004</v>
      </c>
      <c r="DU180" s="231">
        <v>2000</v>
      </c>
      <c r="DV180" s="231">
        <v>1700</v>
      </c>
      <c r="DW180" s="228">
        <v>0.37</v>
      </c>
      <c r="DX180" s="228">
        <v>0.25</v>
      </c>
      <c r="DY180" s="228">
        <v>0.12</v>
      </c>
      <c r="DZ180" s="229">
        <v>0.48</v>
      </c>
      <c r="EA180" s="229">
        <v>0.93700000000000006</v>
      </c>
      <c r="EB180" s="230">
        <v>7011200</v>
      </c>
      <c r="EC180" s="229">
        <v>5.1999999999999998E-3</v>
      </c>
      <c r="ED180" s="229">
        <v>0.93700000000000006</v>
      </c>
      <c r="EE180" s="228">
        <v>9.89</v>
      </c>
      <c r="EF180" s="229">
        <v>5.4999999999999997E-3</v>
      </c>
      <c r="EG180" s="230">
        <v>478005</v>
      </c>
      <c r="EH180" s="230">
        <v>570435</v>
      </c>
      <c r="EI180" s="229">
        <v>-0.16200000000000001</v>
      </c>
      <c r="EJ180" s="229">
        <v>0.41299999999999998</v>
      </c>
      <c r="EK180" s="228">
        <v>516.35</v>
      </c>
      <c r="EL180" s="228">
        <v>181.3</v>
      </c>
      <c r="EM180" s="228">
        <v>661.12</v>
      </c>
      <c r="EN180" s="228">
        <v>0</v>
      </c>
      <c r="EO180" s="231">
        <v>1358.76</v>
      </c>
      <c r="EP180" s="231">
        <v>1656.95</v>
      </c>
      <c r="EQ180" s="228">
        <v>-298.19</v>
      </c>
      <c r="ER180" s="229">
        <v>-0.18</v>
      </c>
      <c r="ES180" s="228">
        <v>62.38</v>
      </c>
      <c r="ET180" s="228">
        <v>72.88</v>
      </c>
      <c r="EU180" s="231">
        <v>1410.79</v>
      </c>
      <c r="EV180" s="231">
        <v>91593795</v>
      </c>
      <c r="EW180" s="231">
        <v>1546.04</v>
      </c>
      <c r="EX180" s="231">
        <v>2005.34</v>
      </c>
      <c r="EY180" s="228">
        <v>-459.3</v>
      </c>
      <c r="EZ180" s="229">
        <v>-0.22900000000000001</v>
      </c>
      <c r="FA180" s="229">
        <v>9.2899999999999996E-2</v>
      </c>
      <c r="FB180" s="227" t="s">
        <v>568</v>
      </c>
      <c r="FC180">
        <f t="shared" si="3"/>
        <v>0</v>
      </c>
    </row>
    <row r="181" spans="1:159" ht="17.25" thickBot="1" x14ac:dyDescent="0.3">
      <c r="A181" s="226">
        <v>45869</v>
      </c>
      <c r="B181" s="227" t="s">
        <v>184</v>
      </c>
      <c r="C181" s="227" t="s">
        <v>519</v>
      </c>
      <c r="D181" s="228">
        <v>125</v>
      </c>
      <c r="E181" s="228">
        <v>0</v>
      </c>
      <c r="F181" s="231">
        <v>6837</v>
      </c>
      <c r="G181" s="231">
        <v>6964.5</v>
      </c>
      <c r="H181" s="228">
        <v>-127.5</v>
      </c>
      <c r="I181" s="229">
        <v>-1.83E-2</v>
      </c>
      <c r="J181" s="231">
        <v>6821</v>
      </c>
      <c r="K181" s="231">
        <v>6931</v>
      </c>
      <c r="L181" s="228">
        <v>-110</v>
      </c>
      <c r="M181" s="229">
        <v>-1.5900000000000001E-2</v>
      </c>
      <c r="N181" s="231">
        <v>6800</v>
      </c>
      <c r="O181" s="231">
        <v>6930.5</v>
      </c>
      <c r="P181" s="228">
        <v>-130.5</v>
      </c>
      <c r="Q181" s="229">
        <v>-1.8800000000000001E-2</v>
      </c>
      <c r="R181" s="231">
        <v>6837</v>
      </c>
      <c r="S181" s="231">
        <v>6964.5</v>
      </c>
      <c r="T181" s="228">
        <v>-127.5</v>
      </c>
      <c r="U181" s="229">
        <v>-1.83E-2</v>
      </c>
      <c r="V181" s="231">
        <v>6878.5</v>
      </c>
      <c r="W181" s="231">
        <v>7003.5</v>
      </c>
      <c r="X181" s="228">
        <v>-125</v>
      </c>
      <c r="Y181" s="229">
        <v>-1.78E-2</v>
      </c>
      <c r="Z181" s="228">
        <v>16</v>
      </c>
      <c r="AA181" s="228">
        <v>-0.5</v>
      </c>
      <c r="AB181" s="228">
        <v>16.5</v>
      </c>
      <c r="AC181" s="229">
        <v>2.3E-3</v>
      </c>
      <c r="AD181" s="228">
        <v>-21</v>
      </c>
      <c r="AE181" s="228">
        <v>-0.5</v>
      </c>
      <c r="AF181" s="228">
        <v>-20.5</v>
      </c>
      <c r="AG181" s="229">
        <v>-3.0999999999999999E-3</v>
      </c>
      <c r="AH181" s="228">
        <v>16</v>
      </c>
      <c r="AI181" s="228">
        <v>33.5</v>
      </c>
      <c r="AJ181" s="228">
        <v>-17.5</v>
      </c>
      <c r="AK181" s="229">
        <v>2.3E-3</v>
      </c>
      <c r="AL181" s="228">
        <v>57.5</v>
      </c>
      <c r="AM181" s="228">
        <v>72.5</v>
      </c>
      <c r="AN181" s="228">
        <v>-15</v>
      </c>
      <c r="AO181" s="229">
        <v>8.3999999999999995E-3</v>
      </c>
      <c r="AP181" s="231">
        <v>6799.82</v>
      </c>
      <c r="AQ181" s="231">
        <v>6828.14</v>
      </c>
      <c r="AR181" s="228">
        <v>0</v>
      </c>
      <c r="AS181" s="230">
        <v>1323</v>
      </c>
      <c r="AT181" s="228">
        <v>674</v>
      </c>
      <c r="AU181" s="228">
        <v>650</v>
      </c>
      <c r="AV181" s="229">
        <v>0.9647</v>
      </c>
      <c r="AW181" s="228">
        <v>444</v>
      </c>
      <c r="AX181" s="228">
        <v>329</v>
      </c>
      <c r="AY181" s="228">
        <v>116</v>
      </c>
      <c r="AZ181" s="229">
        <v>0.35199999999999998</v>
      </c>
      <c r="BA181" s="228">
        <v>865</v>
      </c>
      <c r="BB181" s="228">
        <v>341</v>
      </c>
      <c r="BC181" s="228">
        <v>524</v>
      </c>
      <c r="BD181" s="229">
        <v>1.5356000000000001</v>
      </c>
      <c r="BE181" s="228">
        <v>13</v>
      </c>
      <c r="BF181" s="228">
        <v>3</v>
      </c>
      <c r="BG181" s="228">
        <v>10</v>
      </c>
      <c r="BH181" s="229">
        <v>2.9</v>
      </c>
      <c r="BI181" s="230">
        <v>1390</v>
      </c>
      <c r="BJ181" s="228">
        <v>971</v>
      </c>
      <c r="BK181" s="228">
        <v>419</v>
      </c>
      <c r="BL181" s="229">
        <v>0.43120000000000003</v>
      </c>
      <c r="BM181" s="228">
        <v>798</v>
      </c>
      <c r="BN181" s="228">
        <v>692</v>
      </c>
      <c r="BO181" s="228">
        <v>107</v>
      </c>
      <c r="BP181" s="229">
        <v>0.15459999999999999</v>
      </c>
      <c r="BQ181" s="230">
        <v>3512</v>
      </c>
      <c r="BR181" s="230">
        <v>2336</v>
      </c>
      <c r="BS181" s="230">
        <v>1175</v>
      </c>
      <c r="BT181" s="229">
        <v>0.50309999999999999</v>
      </c>
      <c r="BU181" s="230">
        <v>702034</v>
      </c>
      <c r="BV181" s="230">
        <v>229670</v>
      </c>
      <c r="BW181" s="230">
        <v>472364</v>
      </c>
      <c r="BX181" s="229">
        <v>2.0567000000000002</v>
      </c>
      <c r="BY181" s="230">
        <v>1253</v>
      </c>
      <c r="BZ181" s="230">
        <v>1422</v>
      </c>
      <c r="CA181" s="228">
        <v>-170</v>
      </c>
      <c r="CB181" s="229">
        <v>-0.1193</v>
      </c>
      <c r="CC181" s="228">
        <v>95</v>
      </c>
      <c r="CD181" s="228">
        <v>308</v>
      </c>
      <c r="CE181" s="228">
        <v>-213</v>
      </c>
      <c r="CF181" s="229">
        <v>-0.69099999999999995</v>
      </c>
      <c r="CG181" s="230">
        <v>1231</v>
      </c>
      <c r="CH181" s="230">
        <v>1095</v>
      </c>
      <c r="CI181" s="228">
        <v>136</v>
      </c>
      <c r="CJ181" s="229">
        <v>0.1241</v>
      </c>
      <c r="CK181" s="228">
        <v>22</v>
      </c>
      <c r="CL181" s="228">
        <v>19</v>
      </c>
      <c r="CM181" s="228">
        <v>2</v>
      </c>
      <c r="CN181" s="229">
        <v>0.1278</v>
      </c>
      <c r="CO181" s="228">
        <v>364</v>
      </c>
      <c r="CP181" s="228">
        <v>839</v>
      </c>
      <c r="CQ181" s="228">
        <v>-474</v>
      </c>
      <c r="CR181" s="229">
        <v>-0.5655</v>
      </c>
      <c r="CS181" s="228">
        <v>212</v>
      </c>
      <c r="CT181" s="228">
        <v>650</v>
      </c>
      <c r="CU181" s="228">
        <v>-437</v>
      </c>
      <c r="CV181" s="229">
        <v>-0.6734</v>
      </c>
      <c r="CW181" s="230">
        <v>1829</v>
      </c>
      <c r="CX181" s="230">
        <v>2911</v>
      </c>
      <c r="CY181" s="230">
        <v>-1081</v>
      </c>
      <c r="CZ181" s="229">
        <v>-0.3715</v>
      </c>
      <c r="DA181" s="228">
        <v>26.42</v>
      </c>
      <c r="DB181" s="228">
        <v>25.57</v>
      </c>
      <c r="DC181" s="228">
        <v>0.85</v>
      </c>
      <c r="DD181" s="228">
        <v>0.85</v>
      </c>
      <c r="DE181" s="228">
        <v>44.92</v>
      </c>
      <c r="DF181" s="228">
        <v>44.98</v>
      </c>
      <c r="DG181" s="228">
        <v>-18.5</v>
      </c>
      <c r="DH181" s="228">
        <v>-0.06</v>
      </c>
      <c r="DI181" s="228">
        <v>26.27</v>
      </c>
      <c r="DJ181" s="228">
        <v>25.37</v>
      </c>
      <c r="DK181" s="228">
        <v>0.9</v>
      </c>
      <c r="DL181" s="228">
        <v>0.9</v>
      </c>
      <c r="DM181" s="228">
        <v>26.68</v>
      </c>
      <c r="DN181" s="228">
        <v>25.95</v>
      </c>
      <c r="DO181" s="228">
        <v>0.73</v>
      </c>
      <c r="DP181" s="228">
        <v>0.73</v>
      </c>
      <c r="DQ181" s="228">
        <v>0.57999999999999996</v>
      </c>
      <c r="DR181" s="228">
        <v>0.77</v>
      </c>
      <c r="DS181" s="228">
        <v>-0.19</v>
      </c>
      <c r="DT181" s="229">
        <v>-0.24679999999999999</v>
      </c>
      <c r="DU181" s="231">
        <v>7000</v>
      </c>
      <c r="DV181" s="231">
        <v>7000</v>
      </c>
      <c r="DW181" s="228">
        <v>0.56999999999999995</v>
      </c>
      <c r="DX181" s="228">
        <v>0.71</v>
      </c>
      <c r="DY181" s="228">
        <v>-0.14000000000000001</v>
      </c>
      <c r="DZ181" s="229">
        <v>-0.19719999999999999</v>
      </c>
      <c r="EA181" s="229">
        <v>0.9294</v>
      </c>
      <c r="EB181" s="230">
        <v>1629750</v>
      </c>
      <c r="EC181" s="229">
        <v>5.4000000000000003E-3</v>
      </c>
      <c r="ED181" s="229">
        <v>0.9294</v>
      </c>
      <c r="EE181" s="228">
        <v>28.32</v>
      </c>
      <c r="EF181" s="229">
        <v>4.1999999999999997E-3</v>
      </c>
      <c r="EG181" s="230">
        <v>382384</v>
      </c>
      <c r="EH181" s="230">
        <v>128383</v>
      </c>
      <c r="EI181" s="229">
        <v>1.9784999999999999</v>
      </c>
      <c r="EJ181" s="229">
        <v>0.54469999999999996</v>
      </c>
      <c r="EK181" s="231">
        <v>1444.7</v>
      </c>
      <c r="EL181" s="228">
        <v>790.29</v>
      </c>
      <c r="EM181" s="231">
        <v>1319.81</v>
      </c>
      <c r="EN181" s="228">
        <v>0</v>
      </c>
      <c r="EO181" s="231">
        <v>3554.8</v>
      </c>
      <c r="EP181" s="231">
        <v>2376.8200000000002</v>
      </c>
      <c r="EQ181" s="231">
        <v>1177.98</v>
      </c>
      <c r="ER181" s="229">
        <v>0.49559999999999998</v>
      </c>
      <c r="ES181" s="228">
        <v>368.87</v>
      </c>
      <c r="ET181" s="228">
        <v>207.76</v>
      </c>
      <c r="EU181" s="231">
        <v>1252.76</v>
      </c>
      <c r="EV181" s="231">
        <v>11118199</v>
      </c>
      <c r="EW181" s="231">
        <v>1829.39</v>
      </c>
      <c r="EX181" s="231">
        <v>2922.29</v>
      </c>
      <c r="EY181" s="231">
        <v>-1092.9000000000001</v>
      </c>
      <c r="EZ181" s="229">
        <v>-0.374</v>
      </c>
      <c r="FA181" s="229">
        <v>0.24060000000000001</v>
      </c>
      <c r="FB181" s="227" t="s">
        <v>568</v>
      </c>
      <c r="FC181">
        <f t="shared" si="3"/>
        <v>0</v>
      </c>
    </row>
    <row r="182" spans="1:159" ht="17.25" thickBot="1" x14ac:dyDescent="0.3">
      <c r="A182" s="226">
        <v>45869</v>
      </c>
      <c r="B182" s="227" t="s">
        <v>175</v>
      </c>
      <c r="C182" s="227" t="s">
        <v>597</v>
      </c>
      <c r="D182" s="228">
        <v>1700</v>
      </c>
      <c r="E182" s="228">
        <v>0</v>
      </c>
      <c r="F182" s="228">
        <v>423.95</v>
      </c>
      <c r="G182" s="228">
        <v>416.6</v>
      </c>
      <c r="H182" s="228">
        <v>7.35</v>
      </c>
      <c r="I182" s="229">
        <v>1.7600000000000001E-2</v>
      </c>
      <c r="J182" s="228">
        <v>422.25</v>
      </c>
      <c r="K182" s="228">
        <v>414</v>
      </c>
      <c r="L182" s="228">
        <v>8.25</v>
      </c>
      <c r="M182" s="229">
        <v>1.9900000000000001E-2</v>
      </c>
      <c r="N182" s="228">
        <v>422.2</v>
      </c>
      <c r="O182" s="228">
        <v>414.8</v>
      </c>
      <c r="P182" s="228">
        <v>7.4</v>
      </c>
      <c r="Q182" s="229">
        <v>1.78E-2</v>
      </c>
      <c r="R182" s="228">
        <v>423.95</v>
      </c>
      <c r="S182" s="228">
        <v>416.6</v>
      </c>
      <c r="T182" s="228">
        <v>7.35</v>
      </c>
      <c r="U182" s="229">
        <v>1.7600000000000001E-2</v>
      </c>
      <c r="V182" s="228">
        <v>0</v>
      </c>
      <c r="W182" s="228">
        <v>0</v>
      </c>
      <c r="X182" s="228">
        <v>0</v>
      </c>
      <c r="Y182" s="229">
        <v>0</v>
      </c>
      <c r="Z182" s="228">
        <v>1.7</v>
      </c>
      <c r="AA182" s="228">
        <v>0.8</v>
      </c>
      <c r="AB182" s="228">
        <v>0.9</v>
      </c>
      <c r="AC182" s="229">
        <v>4.0000000000000001E-3</v>
      </c>
      <c r="AD182" s="228">
        <v>-0.05</v>
      </c>
      <c r="AE182" s="228">
        <v>0.8</v>
      </c>
      <c r="AF182" s="228">
        <v>-0.85</v>
      </c>
      <c r="AG182" s="229">
        <v>-1E-4</v>
      </c>
      <c r="AH182" s="228">
        <v>1.7</v>
      </c>
      <c r="AI182" s="228">
        <v>2.6</v>
      </c>
      <c r="AJ182" s="228">
        <v>-0.9</v>
      </c>
      <c r="AK182" s="229">
        <v>4.0000000000000001E-3</v>
      </c>
      <c r="AL182" s="228">
        <v>0</v>
      </c>
      <c r="AM182" s="228">
        <v>0</v>
      </c>
      <c r="AN182" s="228">
        <v>0</v>
      </c>
      <c r="AO182" s="229">
        <v>0</v>
      </c>
      <c r="AP182" s="228">
        <v>423.61</v>
      </c>
      <c r="AQ182" s="228">
        <v>425.48</v>
      </c>
      <c r="AR182" s="228">
        <v>0</v>
      </c>
      <c r="AS182" s="228">
        <v>428</v>
      </c>
      <c r="AT182" s="228">
        <v>536</v>
      </c>
      <c r="AU182" s="228">
        <v>-107</v>
      </c>
      <c r="AV182" s="229">
        <v>-0.2006</v>
      </c>
      <c r="AW182" s="228">
        <v>212</v>
      </c>
      <c r="AX182" s="228">
        <v>262</v>
      </c>
      <c r="AY182" s="228">
        <v>-50</v>
      </c>
      <c r="AZ182" s="229">
        <v>-0.18970000000000001</v>
      </c>
      <c r="BA182" s="228">
        <v>216</v>
      </c>
      <c r="BB182" s="228">
        <v>274</v>
      </c>
      <c r="BC182" s="228">
        <v>-58</v>
      </c>
      <c r="BD182" s="229">
        <v>-0.21110000000000001</v>
      </c>
      <c r="BE182" s="228">
        <v>0</v>
      </c>
      <c r="BF182" s="228">
        <v>0</v>
      </c>
      <c r="BG182" s="228">
        <v>0</v>
      </c>
      <c r="BH182" s="229">
        <v>0</v>
      </c>
      <c r="BI182" s="228">
        <v>323</v>
      </c>
      <c r="BJ182" s="228">
        <v>494</v>
      </c>
      <c r="BK182" s="228">
        <v>-170</v>
      </c>
      <c r="BL182" s="229">
        <v>-0.34460000000000002</v>
      </c>
      <c r="BM182" s="228">
        <v>148</v>
      </c>
      <c r="BN182" s="228">
        <v>244</v>
      </c>
      <c r="BO182" s="228">
        <v>-96</v>
      </c>
      <c r="BP182" s="229">
        <v>-0.39229999999999998</v>
      </c>
      <c r="BQ182" s="228">
        <v>900</v>
      </c>
      <c r="BR182" s="230">
        <v>1273</v>
      </c>
      <c r="BS182" s="228">
        <v>-373</v>
      </c>
      <c r="BT182" s="229">
        <v>-0.29320000000000002</v>
      </c>
      <c r="BU182" s="230">
        <v>2349350</v>
      </c>
      <c r="BV182" s="230">
        <v>1457944</v>
      </c>
      <c r="BW182" s="230">
        <v>891406</v>
      </c>
      <c r="BX182" s="229">
        <v>0.61140000000000005</v>
      </c>
      <c r="BY182" s="228">
        <v>485</v>
      </c>
      <c r="BZ182" s="228">
        <v>641</v>
      </c>
      <c r="CA182" s="228">
        <v>-155</v>
      </c>
      <c r="CB182" s="229">
        <v>-0.24249999999999999</v>
      </c>
      <c r="CC182" s="228">
        <v>106</v>
      </c>
      <c r="CD182" s="228">
        <v>183</v>
      </c>
      <c r="CE182" s="228">
        <v>-77</v>
      </c>
      <c r="CF182" s="229">
        <v>-0.41949999999999998</v>
      </c>
      <c r="CG182" s="228">
        <v>485</v>
      </c>
      <c r="CH182" s="228">
        <v>458</v>
      </c>
      <c r="CI182" s="228">
        <v>28</v>
      </c>
      <c r="CJ182" s="229">
        <v>6.0600000000000001E-2</v>
      </c>
      <c r="CK182" s="228">
        <v>0</v>
      </c>
      <c r="CL182" s="228">
        <v>0</v>
      </c>
      <c r="CM182" s="228">
        <v>0</v>
      </c>
      <c r="CN182" s="229">
        <v>0</v>
      </c>
      <c r="CO182" s="228">
        <v>105</v>
      </c>
      <c r="CP182" s="228">
        <v>362</v>
      </c>
      <c r="CQ182" s="228">
        <v>-257</v>
      </c>
      <c r="CR182" s="229">
        <v>-0.71009999999999995</v>
      </c>
      <c r="CS182" s="228">
        <v>69</v>
      </c>
      <c r="CT182" s="228">
        <v>193</v>
      </c>
      <c r="CU182" s="228">
        <v>-124</v>
      </c>
      <c r="CV182" s="229">
        <v>-0.64029999999999998</v>
      </c>
      <c r="CW182" s="228">
        <v>660</v>
      </c>
      <c r="CX182" s="230">
        <v>1196</v>
      </c>
      <c r="CY182" s="228">
        <v>-536</v>
      </c>
      <c r="CZ182" s="229">
        <v>-0.44829999999999998</v>
      </c>
      <c r="DA182" s="228">
        <v>36.119999999999997</v>
      </c>
      <c r="DB182" s="228">
        <v>36.619999999999997</v>
      </c>
      <c r="DC182" s="228">
        <v>-0.5</v>
      </c>
      <c r="DD182" s="228">
        <v>-0.5</v>
      </c>
      <c r="DE182" s="228">
        <v>44.89</v>
      </c>
      <c r="DF182" s="228">
        <v>44.94</v>
      </c>
      <c r="DG182" s="228">
        <v>-8.77</v>
      </c>
      <c r="DH182" s="228">
        <v>-0.05</v>
      </c>
      <c r="DI182" s="228">
        <v>35.93</v>
      </c>
      <c r="DJ182" s="228">
        <v>36.64</v>
      </c>
      <c r="DK182" s="228">
        <v>-0.71</v>
      </c>
      <c r="DL182" s="228">
        <v>-0.71</v>
      </c>
      <c r="DM182" s="228">
        <v>36.6</v>
      </c>
      <c r="DN182" s="228">
        <v>36.58</v>
      </c>
      <c r="DO182" s="228">
        <v>0.02</v>
      </c>
      <c r="DP182" s="228">
        <v>0.02</v>
      </c>
      <c r="DQ182" s="228">
        <v>0.66</v>
      </c>
      <c r="DR182" s="228">
        <v>0.53</v>
      </c>
      <c r="DS182" s="228">
        <v>0.13</v>
      </c>
      <c r="DT182" s="229">
        <v>0.24529999999999999</v>
      </c>
      <c r="DU182" s="228">
        <v>440</v>
      </c>
      <c r="DV182" s="228">
        <v>400</v>
      </c>
      <c r="DW182" s="228">
        <v>0.46</v>
      </c>
      <c r="DX182" s="228">
        <v>0.49</v>
      </c>
      <c r="DY182" s="228">
        <v>-0.03</v>
      </c>
      <c r="DZ182" s="229">
        <v>-6.1199999999999997E-2</v>
      </c>
      <c r="EA182" s="229">
        <v>0.82030000000000003</v>
      </c>
      <c r="EB182" s="230">
        <v>10791600</v>
      </c>
      <c r="EC182" s="229">
        <v>4.1000000000000003E-3</v>
      </c>
      <c r="ED182" s="229">
        <v>0.82030000000000003</v>
      </c>
      <c r="EE182" s="228">
        <v>1.87</v>
      </c>
      <c r="EF182" s="229">
        <v>4.4000000000000003E-3</v>
      </c>
      <c r="EG182" s="230">
        <v>728332</v>
      </c>
      <c r="EH182" s="230">
        <v>292635</v>
      </c>
      <c r="EI182" s="229">
        <v>1.4888999999999999</v>
      </c>
      <c r="EJ182" s="229">
        <v>0.31</v>
      </c>
      <c r="EK182" s="228">
        <v>339.88</v>
      </c>
      <c r="EL182" s="228">
        <v>147.47</v>
      </c>
      <c r="EM182" s="228">
        <v>428.79</v>
      </c>
      <c r="EN182" s="228">
        <v>0</v>
      </c>
      <c r="EO182" s="228">
        <v>916.14</v>
      </c>
      <c r="EP182" s="231">
        <v>1282.92</v>
      </c>
      <c r="EQ182" s="228">
        <v>-366.78</v>
      </c>
      <c r="ER182" s="229">
        <v>-0.28589999999999999</v>
      </c>
      <c r="ES182" s="228">
        <v>111.27</v>
      </c>
      <c r="ET182" s="228">
        <v>65.42</v>
      </c>
      <c r="EU182" s="228">
        <v>485.26</v>
      </c>
      <c r="EV182" s="231">
        <v>57287573</v>
      </c>
      <c r="EW182" s="228">
        <v>661.95</v>
      </c>
      <c r="EX182" s="231">
        <v>1199.72</v>
      </c>
      <c r="EY182" s="228">
        <v>-537.77</v>
      </c>
      <c r="EZ182" s="229">
        <v>-0.44819999999999999</v>
      </c>
      <c r="FA182" s="229">
        <v>0.27160000000000001</v>
      </c>
      <c r="FB182" s="227" t="s">
        <v>556</v>
      </c>
      <c r="FC182">
        <f t="shared" si="3"/>
        <v>0</v>
      </c>
    </row>
    <row r="183" spans="1:159" ht="17.25" thickBot="1" x14ac:dyDescent="0.3">
      <c r="A183" s="226">
        <v>45869</v>
      </c>
      <c r="B183" s="227" t="s">
        <v>161</v>
      </c>
      <c r="C183" s="227" t="s">
        <v>276</v>
      </c>
      <c r="D183" s="228">
        <v>1900</v>
      </c>
      <c r="E183" s="228">
        <v>0</v>
      </c>
      <c r="F183" s="228">
        <v>291.89999999999998</v>
      </c>
      <c r="G183" s="228">
        <v>289.45</v>
      </c>
      <c r="H183" s="228">
        <v>2.4500000000000002</v>
      </c>
      <c r="I183" s="229">
        <v>8.5000000000000006E-3</v>
      </c>
      <c r="J183" s="228">
        <v>291</v>
      </c>
      <c r="K183" s="228">
        <v>288.95</v>
      </c>
      <c r="L183" s="228">
        <v>2.0499999999999998</v>
      </c>
      <c r="M183" s="229">
        <v>7.1000000000000004E-3</v>
      </c>
      <c r="N183" s="228">
        <v>291.7</v>
      </c>
      <c r="O183" s="228">
        <v>289.25</v>
      </c>
      <c r="P183" s="228">
        <v>2.4500000000000002</v>
      </c>
      <c r="Q183" s="229">
        <v>8.5000000000000006E-3</v>
      </c>
      <c r="R183" s="228">
        <v>291.89999999999998</v>
      </c>
      <c r="S183" s="228">
        <v>289.45</v>
      </c>
      <c r="T183" s="228">
        <v>2.4500000000000002</v>
      </c>
      <c r="U183" s="229">
        <v>8.5000000000000006E-3</v>
      </c>
      <c r="V183" s="228">
        <v>292.60000000000002</v>
      </c>
      <c r="W183" s="228">
        <v>290.95</v>
      </c>
      <c r="X183" s="228">
        <v>1.65</v>
      </c>
      <c r="Y183" s="229">
        <v>5.7000000000000002E-3</v>
      </c>
      <c r="Z183" s="228">
        <v>0.9</v>
      </c>
      <c r="AA183" s="228">
        <v>0.3</v>
      </c>
      <c r="AB183" s="228">
        <v>0.6</v>
      </c>
      <c r="AC183" s="229">
        <v>3.0999999999999999E-3</v>
      </c>
      <c r="AD183" s="228">
        <v>0.7</v>
      </c>
      <c r="AE183" s="228">
        <v>0.3</v>
      </c>
      <c r="AF183" s="228">
        <v>0.4</v>
      </c>
      <c r="AG183" s="229">
        <v>2.3999999999999998E-3</v>
      </c>
      <c r="AH183" s="228">
        <v>0.9</v>
      </c>
      <c r="AI183" s="228">
        <v>0.5</v>
      </c>
      <c r="AJ183" s="228">
        <v>0.4</v>
      </c>
      <c r="AK183" s="229">
        <v>3.0999999999999999E-3</v>
      </c>
      <c r="AL183" s="228">
        <v>1.6</v>
      </c>
      <c r="AM183" s="228">
        <v>2</v>
      </c>
      <c r="AN183" s="228">
        <v>-0.4</v>
      </c>
      <c r="AO183" s="229">
        <v>5.4999999999999997E-3</v>
      </c>
      <c r="AP183" s="228">
        <v>292.02999999999997</v>
      </c>
      <c r="AQ183" s="228">
        <v>292.48</v>
      </c>
      <c r="AR183" s="228">
        <v>0</v>
      </c>
      <c r="AS183" s="228">
        <v>858</v>
      </c>
      <c r="AT183" s="230">
        <v>1303</v>
      </c>
      <c r="AU183" s="228">
        <v>-445</v>
      </c>
      <c r="AV183" s="229">
        <v>-0.34189999999999998</v>
      </c>
      <c r="AW183" s="228">
        <v>331</v>
      </c>
      <c r="AX183" s="228">
        <v>587</v>
      </c>
      <c r="AY183" s="228">
        <v>-256</v>
      </c>
      <c r="AZ183" s="229">
        <v>-0.43590000000000001</v>
      </c>
      <c r="BA183" s="228">
        <v>469</v>
      </c>
      <c r="BB183" s="228">
        <v>691</v>
      </c>
      <c r="BC183" s="228">
        <v>-222</v>
      </c>
      <c r="BD183" s="229">
        <v>-0.32169999999999999</v>
      </c>
      <c r="BE183" s="228">
        <v>58</v>
      </c>
      <c r="BF183" s="228">
        <v>26</v>
      </c>
      <c r="BG183" s="228">
        <v>32</v>
      </c>
      <c r="BH183" s="229">
        <v>1.2635000000000001</v>
      </c>
      <c r="BI183" s="228">
        <v>815</v>
      </c>
      <c r="BJ183" s="230">
        <v>1230</v>
      </c>
      <c r="BK183" s="228">
        <v>-414</v>
      </c>
      <c r="BL183" s="229">
        <v>-0.33689999999999998</v>
      </c>
      <c r="BM183" s="228">
        <v>587</v>
      </c>
      <c r="BN183" s="230">
        <v>1083</v>
      </c>
      <c r="BO183" s="228">
        <v>-496</v>
      </c>
      <c r="BP183" s="229">
        <v>-0.45810000000000001</v>
      </c>
      <c r="BQ183" s="230">
        <v>2260</v>
      </c>
      <c r="BR183" s="230">
        <v>3616</v>
      </c>
      <c r="BS183" s="230">
        <v>-1356</v>
      </c>
      <c r="BT183" s="229">
        <v>-0.375</v>
      </c>
      <c r="BU183" s="230">
        <v>14561504</v>
      </c>
      <c r="BV183" s="230">
        <v>10751899</v>
      </c>
      <c r="BW183" s="230">
        <v>3809605</v>
      </c>
      <c r="BX183" s="229">
        <v>0.3543</v>
      </c>
      <c r="BY183" s="230">
        <v>2050</v>
      </c>
      <c r="BZ183" s="230">
        <v>2299</v>
      </c>
      <c r="CA183" s="228">
        <v>-249</v>
      </c>
      <c r="CB183" s="229">
        <v>-0.1084</v>
      </c>
      <c r="CC183" s="228">
        <v>250</v>
      </c>
      <c r="CD183" s="228">
        <v>344</v>
      </c>
      <c r="CE183" s="228">
        <v>-93</v>
      </c>
      <c r="CF183" s="229">
        <v>-0.27089999999999997</v>
      </c>
      <c r="CG183" s="230">
        <v>1992</v>
      </c>
      <c r="CH183" s="230">
        <v>1933</v>
      </c>
      <c r="CI183" s="228">
        <v>59</v>
      </c>
      <c r="CJ183" s="229">
        <v>3.04E-2</v>
      </c>
      <c r="CK183" s="228">
        <v>58</v>
      </c>
      <c r="CL183" s="228">
        <v>22</v>
      </c>
      <c r="CM183" s="228">
        <v>35</v>
      </c>
      <c r="CN183" s="229">
        <v>1.5960000000000001</v>
      </c>
      <c r="CO183" s="228">
        <v>251</v>
      </c>
      <c r="CP183" s="228">
        <v>798</v>
      </c>
      <c r="CQ183" s="228">
        <v>-548</v>
      </c>
      <c r="CR183" s="229">
        <v>-0.68569999999999998</v>
      </c>
      <c r="CS183" s="228">
        <v>280</v>
      </c>
      <c r="CT183" s="228">
        <v>519</v>
      </c>
      <c r="CU183" s="228">
        <v>-240</v>
      </c>
      <c r="CV183" s="229">
        <v>-0.46150000000000002</v>
      </c>
      <c r="CW183" s="230">
        <v>2580</v>
      </c>
      <c r="CX183" s="230">
        <v>3617</v>
      </c>
      <c r="CY183" s="230">
        <v>-1036</v>
      </c>
      <c r="CZ183" s="229">
        <v>-0.28649999999999998</v>
      </c>
      <c r="DA183" s="228">
        <v>20.73</v>
      </c>
      <c r="DB183" s="228">
        <v>23.84</v>
      </c>
      <c r="DC183" s="228">
        <v>-3.11</v>
      </c>
      <c r="DD183" s="228">
        <v>-3.11</v>
      </c>
      <c r="DE183" s="228">
        <v>31.46</v>
      </c>
      <c r="DF183" s="228">
        <v>31.53</v>
      </c>
      <c r="DG183" s="228">
        <v>-10.73</v>
      </c>
      <c r="DH183" s="228">
        <v>-7.0000000000000007E-2</v>
      </c>
      <c r="DI183" s="228">
        <v>20.72</v>
      </c>
      <c r="DJ183" s="228">
        <v>23.47</v>
      </c>
      <c r="DK183" s="228">
        <v>-2.75</v>
      </c>
      <c r="DL183" s="228">
        <v>-2.75</v>
      </c>
      <c r="DM183" s="228">
        <v>20.73</v>
      </c>
      <c r="DN183" s="228">
        <v>24.26</v>
      </c>
      <c r="DO183" s="228">
        <v>-3.53</v>
      </c>
      <c r="DP183" s="228">
        <v>-3.53</v>
      </c>
      <c r="DQ183" s="228">
        <v>1.1100000000000001</v>
      </c>
      <c r="DR183" s="228">
        <v>0.65</v>
      </c>
      <c r="DS183" s="228">
        <v>0.46</v>
      </c>
      <c r="DT183" s="229">
        <v>0.7077</v>
      </c>
      <c r="DU183" s="228">
        <v>315</v>
      </c>
      <c r="DV183" s="228">
        <v>290</v>
      </c>
      <c r="DW183" s="228">
        <v>0.72</v>
      </c>
      <c r="DX183" s="228">
        <v>0.88</v>
      </c>
      <c r="DY183" s="228">
        <v>-0.16</v>
      </c>
      <c r="DZ183" s="229">
        <v>-0.18179999999999999</v>
      </c>
      <c r="EA183" s="229">
        <v>0.8911</v>
      </c>
      <c r="EB183" s="230">
        <v>66999700</v>
      </c>
      <c r="EC183" s="229">
        <v>6.9999999999999999E-4</v>
      </c>
      <c r="ED183" s="229">
        <v>0.8911</v>
      </c>
      <c r="EE183" s="228">
        <v>0.45</v>
      </c>
      <c r="EF183" s="229">
        <v>1.5E-3</v>
      </c>
      <c r="EG183" s="230">
        <v>8604823</v>
      </c>
      <c r="EH183" s="230">
        <v>5219673</v>
      </c>
      <c r="EI183" s="229">
        <v>0.64849999999999997</v>
      </c>
      <c r="EJ183" s="229">
        <v>0.59089999999999998</v>
      </c>
      <c r="EK183" s="228">
        <v>845.43</v>
      </c>
      <c r="EL183" s="228">
        <v>589.4</v>
      </c>
      <c r="EM183" s="228">
        <v>859.02</v>
      </c>
      <c r="EN183" s="228">
        <v>0</v>
      </c>
      <c r="EO183" s="231">
        <v>2293.85</v>
      </c>
      <c r="EP183" s="231">
        <v>3661.04</v>
      </c>
      <c r="EQ183" s="231">
        <v>-1367.19</v>
      </c>
      <c r="ER183" s="229">
        <v>-0.37340000000000001</v>
      </c>
      <c r="ES183" s="228">
        <v>260.92</v>
      </c>
      <c r="ET183" s="228">
        <v>280.61</v>
      </c>
      <c r="EU183" s="231">
        <v>2050.1999999999998</v>
      </c>
      <c r="EV183" s="231">
        <v>905143907</v>
      </c>
      <c r="EW183" s="231">
        <v>2591.73</v>
      </c>
      <c r="EX183" s="231">
        <v>3635.96</v>
      </c>
      <c r="EY183" s="231">
        <v>-1044.23</v>
      </c>
      <c r="EZ183" s="229">
        <v>-0.28720000000000001</v>
      </c>
      <c r="FA183" s="229">
        <v>9.7699999999999995E-2</v>
      </c>
      <c r="FB183" s="227" t="s">
        <v>556</v>
      </c>
      <c r="FC183">
        <f t="shared" si="3"/>
        <v>0</v>
      </c>
    </row>
    <row r="184" spans="1:159" ht="17.25" thickBot="1" x14ac:dyDescent="0.3">
      <c r="A184" s="226">
        <v>45869</v>
      </c>
      <c r="B184" s="227" t="s">
        <v>170</v>
      </c>
      <c r="C184" s="227" t="s">
        <v>680</v>
      </c>
      <c r="D184" s="228">
        <v>2500</v>
      </c>
      <c r="E184" s="228">
        <v>0</v>
      </c>
      <c r="F184" s="228">
        <v>197.66</v>
      </c>
      <c r="G184" s="228">
        <v>202.24</v>
      </c>
      <c r="H184" s="228">
        <v>-4.58</v>
      </c>
      <c r="I184" s="229">
        <v>-2.2599999999999999E-2</v>
      </c>
      <c r="J184" s="228">
        <v>197.03</v>
      </c>
      <c r="K184" s="228">
        <v>201.37</v>
      </c>
      <c r="L184" s="228">
        <v>-4.34</v>
      </c>
      <c r="M184" s="229">
        <v>-2.1600000000000001E-2</v>
      </c>
      <c r="N184" s="228">
        <v>196.76</v>
      </c>
      <c r="O184" s="228">
        <v>201.21</v>
      </c>
      <c r="P184" s="228">
        <v>-4.45</v>
      </c>
      <c r="Q184" s="229">
        <v>-2.2100000000000002E-2</v>
      </c>
      <c r="R184" s="228">
        <v>197.66</v>
      </c>
      <c r="S184" s="228">
        <v>202.24</v>
      </c>
      <c r="T184" s="228">
        <v>-4.58</v>
      </c>
      <c r="U184" s="229">
        <v>-2.2599999999999999E-2</v>
      </c>
      <c r="V184" s="228">
        <v>198.97</v>
      </c>
      <c r="W184" s="228">
        <v>203.26</v>
      </c>
      <c r="X184" s="228">
        <v>-4.29</v>
      </c>
      <c r="Y184" s="229">
        <v>-2.1100000000000001E-2</v>
      </c>
      <c r="Z184" s="228">
        <v>0.63</v>
      </c>
      <c r="AA184" s="228">
        <v>-0.16</v>
      </c>
      <c r="AB184" s="228">
        <v>0.79</v>
      </c>
      <c r="AC184" s="229">
        <v>3.2000000000000002E-3</v>
      </c>
      <c r="AD184" s="228">
        <v>-0.27</v>
      </c>
      <c r="AE184" s="228">
        <v>-0.16</v>
      </c>
      <c r="AF184" s="228">
        <v>-0.11</v>
      </c>
      <c r="AG184" s="229">
        <v>-1.4E-3</v>
      </c>
      <c r="AH184" s="228">
        <v>0.63</v>
      </c>
      <c r="AI184" s="228">
        <v>0.87</v>
      </c>
      <c r="AJ184" s="228">
        <v>-0.24</v>
      </c>
      <c r="AK184" s="229">
        <v>3.2000000000000002E-3</v>
      </c>
      <c r="AL184" s="228">
        <v>1.94</v>
      </c>
      <c r="AM184" s="228">
        <v>1.89</v>
      </c>
      <c r="AN184" s="228">
        <v>0.05</v>
      </c>
      <c r="AO184" s="229">
        <v>9.7999999999999997E-3</v>
      </c>
      <c r="AP184" s="228">
        <v>198.08</v>
      </c>
      <c r="AQ184" s="228">
        <v>199.2</v>
      </c>
      <c r="AR184" s="228">
        <v>0</v>
      </c>
      <c r="AS184" s="228">
        <v>226</v>
      </c>
      <c r="AT184" s="228">
        <v>262</v>
      </c>
      <c r="AU184" s="228">
        <v>-36</v>
      </c>
      <c r="AV184" s="229">
        <v>-0.1368</v>
      </c>
      <c r="AW184" s="228">
        <v>98</v>
      </c>
      <c r="AX184" s="228">
        <v>116</v>
      </c>
      <c r="AY184" s="228">
        <v>-18</v>
      </c>
      <c r="AZ184" s="229">
        <v>-0.15379999999999999</v>
      </c>
      <c r="BA184" s="228">
        <v>125</v>
      </c>
      <c r="BB184" s="228">
        <v>144</v>
      </c>
      <c r="BC184" s="228">
        <v>-19</v>
      </c>
      <c r="BD184" s="229">
        <v>-0.1333</v>
      </c>
      <c r="BE184" s="228">
        <v>3</v>
      </c>
      <c r="BF184" s="228">
        <v>1</v>
      </c>
      <c r="BG184" s="228">
        <v>1</v>
      </c>
      <c r="BH184" s="229">
        <v>0.89659999999999995</v>
      </c>
      <c r="BI184" s="228">
        <v>90</v>
      </c>
      <c r="BJ184" s="228">
        <v>144</v>
      </c>
      <c r="BK184" s="228">
        <v>-55</v>
      </c>
      <c r="BL184" s="229">
        <v>-0.37769999999999998</v>
      </c>
      <c r="BM184" s="228">
        <v>62</v>
      </c>
      <c r="BN184" s="228">
        <v>86</v>
      </c>
      <c r="BO184" s="228">
        <v>-24</v>
      </c>
      <c r="BP184" s="229">
        <v>-0.27710000000000001</v>
      </c>
      <c r="BQ184" s="228">
        <v>378</v>
      </c>
      <c r="BR184" s="228">
        <v>492</v>
      </c>
      <c r="BS184" s="228">
        <v>-114</v>
      </c>
      <c r="BT184" s="229">
        <v>-0.23200000000000001</v>
      </c>
      <c r="BU184" s="230">
        <v>3103036</v>
      </c>
      <c r="BV184" s="230">
        <v>4515684</v>
      </c>
      <c r="BW184" s="230">
        <v>-1412648</v>
      </c>
      <c r="BX184" s="229">
        <v>-0.31280000000000002</v>
      </c>
      <c r="BY184" s="228">
        <v>288</v>
      </c>
      <c r="BZ184" s="228">
        <v>342</v>
      </c>
      <c r="CA184" s="228">
        <v>-54</v>
      </c>
      <c r="CB184" s="229">
        <v>-0.15770000000000001</v>
      </c>
      <c r="CC184" s="228">
        <v>30</v>
      </c>
      <c r="CD184" s="228">
        <v>93</v>
      </c>
      <c r="CE184" s="228">
        <v>-63</v>
      </c>
      <c r="CF184" s="229">
        <v>-0.67930000000000001</v>
      </c>
      <c r="CG184" s="228">
        <v>280</v>
      </c>
      <c r="CH184" s="228">
        <v>242</v>
      </c>
      <c r="CI184" s="228">
        <v>37</v>
      </c>
      <c r="CJ184" s="229">
        <v>0.1542</v>
      </c>
      <c r="CK184" s="228">
        <v>9</v>
      </c>
      <c r="CL184" s="228">
        <v>8</v>
      </c>
      <c r="CM184" s="228">
        <v>1</v>
      </c>
      <c r="CN184" s="229">
        <v>0.16339999999999999</v>
      </c>
      <c r="CO184" s="228">
        <v>79</v>
      </c>
      <c r="CP184" s="228">
        <v>162</v>
      </c>
      <c r="CQ184" s="228">
        <v>-84</v>
      </c>
      <c r="CR184" s="229">
        <v>-0.51539999999999997</v>
      </c>
      <c r="CS184" s="228">
        <v>46</v>
      </c>
      <c r="CT184" s="228">
        <v>91</v>
      </c>
      <c r="CU184" s="228">
        <v>-45</v>
      </c>
      <c r="CV184" s="229">
        <v>-0.49130000000000001</v>
      </c>
      <c r="CW184" s="228">
        <v>414</v>
      </c>
      <c r="CX184" s="228">
        <v>596</v>
      </c>
      <c r="CY184" s="228">
        <v>-182</v>
      </c>
      <c r="CZ184" s="229">
        <v>-0.30609999999999998</v>
      </c>
      <c r="DA184" s="228">
        <v>35.61</v>
      </c>
      <c r="DB184" s="228">
        <v>35.880000000000003</v>
      </c>
      <c r="DC184" s="228">
        <v>-0.27</v>
      </c>
      <c r="DD184" s="228">
        <v>-0.27</v>
      </c>
      <c r="DE184" s="228">
        <v>49.19</v>
      </c>
      <c r="DF184" s="228">
        <v>49.22</v>
      </c>
      <c r="DG184" s="228">
        <v>-13.58</v>
      </c>
      <c r="DH184" s="228">
        <v>-0.03</v>
      </c>
      <c r="DI184" s="228">
        <v>36.03</v>
      </c>
      <c r="DJ184" s="228">
        <v>36.18</v>
      </c>
      <c r="DK184" s="228">
        <v>-0.15</v>
      </c>
      <c r="DL184" s="228">
        <v>-0.15</v>
      </c>
      <c r="DM184" s="228">
        <v>34.89</v>
      </c>
      <c r="DN184" s="228">
        <v>35.299999999999997</v>
      </c>
      <c r="DO184" s="228">
        <v>-0.41</v>
      </c>
      <c r="DP184" s="228">
        <v>-0.41</v>
      </c>
      <c r="DQ184" s="228">
        <v>0.59</v>
      </c>
      <c r="DR184" s="228">
        <v>0.56000000000000005</v>
      </c>
      <c r="DS184" s="228">
        <v>0.03</v>
      </c>
      <c r="DT184" s="229">
        <v>5.3600000000000002E-2</v>
      </c>
      <c r="DU184" s="228">
        <v>220</v>
      </c>
      <c r="DV184" s="228">
        <v>200</v>
      </c>
      <c r="DW184" s="228">
        <v>0.69</v>
      </c>
      <c r="DX184" s="228">
        <v>0.59</v>
      </c>
      <c r="DY184" s="228">
        <v>0.1</v>
      </c>
      <c r="DZ184" s="229">
        <v>0.16950000000000001</v>
      </c>
      <c r="EA184" s="229">
        <v>0.90669999999999995</v>
      </c>
      <c r="EB184" s="230">
        <v>12642500</v>
      </c>
      <c r="EC184" s="229">
        <v>4.5999999999999999E-3</v>
      </c>
      <c r="ED184" s="229">
        <v>0.90669999999999995</v>
      </c>
      <c r="EE184" s="228">
        <v>1.1200000000000001</v>
      </c>
      <c r="EF184" s="229">
        <v>5.7000000000000002E-3</v>
      </c>
      <c r="EG184" s="230">
        <v>1281666</v>
      </c>
      <c r="EH184" s="230">
        <v>2062372</v>
      </c>
      <c r="EI184" s="229">
        <v>-0.3785</v>
      </c>
      <c r="EJ184" s="229">
        <v>0.41299999999999998</v>
      </c>
      <c r="EK184" s="228">
        <v>96.42</v>
      </c>
      <c r="EL184" s="228">
        <v>63.41</v>
      </c>
      <c r="EM184" s="228">
        <v>227.29</v>
      </c>
      <c r="EN184" s="228">
        <v>0</v>
      </c>
      <c r="EO184" s="228">
        <v>387.13</v>
      </c>
      <c r="EP184" s="228">
        <v>510.17</v>
      </c>
      <c r="EQ184" s="228">
        <v>-123.05</v>
      </c>
      <c r="ER184" s="229">
        <v>-0.2412</v>
      </c>
      <c r="ES184" s="228">
        <v>86.89</v>
      </c>
      <c r="ET184" s="228">
        <v>45.94</v>
      </c>
      <c r="EU184" s="228">
        <v>288.54000000000002</v>
      </c>
      <c r="EV184" s="231">
        <v>171573821</v>
      </c>
      <c r="EW184" s="228">
        <v>421.37</v>
      </c>
      <c r="EX184" s="228">
        <v>620.75</v>
      </c>
      <c r="EY184" s="228">
        <v>-199.38</v>
      </c>
      <c r="EZ184" s="229">
        <v>-0.32119999999999999</v>
      </c>
      <c r="FA184" s="229">
        <v>0.12189999999999999</v>
      </c>
      <c r="FB184" s="227" t="s">
        <v>568</v>
      </c>
      <c r="FC184">
        <f t="shared" si="3"/>
        <v>0</v>
      </c>
    </row>
    <row r="185" spans="1:159" ht="17.25" thickBot="1" x14ac:dyDescent="0.3">
      <c r="A185" s="226">
        <v>45869</v>
      </c>
      <c r="B185" s="227" t="s">
        <v>206</v>
      </c>
      <c r="C185" s="227" t="s">
        <v>606</v>
      </c>
      <c r="D185" s="228">
        <v>450</v>
      </c>
      <c r="E185" s="228">
        <v>0</v>
      </c>
      <c r="F185" s="231">
        <v>1629.6</v>
      </c>
      <c r="G185" s="231">
        <v>1631.7</v>
      </c>
      <c r="H185" s="228">
        <v>-2.1</v>
      </c>
      <c r="I185" s="229">
        <v>-1.2999999999999999E-3</v>
      </c>
      <c r="J185" s="231">
        <v>1626.5</v>
      </c>
      <c r="K185" s="231">
        <v>1624.8</v>
      </c>
      <c r="L185" s="228">
        <v>1.7</v>
      </c>
      <c r="M185" s="229">
        <v>1E-3</v>
      </c>
      <c r="N185" s="231">
        <v>1624.6</v>
      </c>
      <c r="O185" s="231">
        <v>1622.6</v>
      </c>
      <c r="P185" s="228">
        <v>2</v>
      </c>
      <c r="Q185" s="229">
        <v>1.1999999999999999E-3</v>
      </c>
      <c r="R185" s="231">
        <v>1629.6</v>
      </c>
      <c r="S185" s="231">
        <v>1631.7</v>
      </c>
      <c r="T185" s="228">
        <v>-2.1</v>
      </c>
      <c r="U185" s="229">
        <v>-1.2999999999999999E-3</v>
      </c>
      <c r="V185" s="231">
        <v>1637.5</v>
      </c>
      <c r="W185" s="231">
        <v>1634.3</v>
      </c>
      <c r="X185" s="228">
        <v>3.2</v>
      </c>
      <c r="Y185" s="229">
        <v>2E-3</v>
      </c>
      <c r="Z185" s="228">
        <v>3.1</v>
      </c>
      <c r="AA185" s="228">
        <v>-2.2000000000000002</v>
      </c>
      <c r="AB185" s="228">
        <v>5.3</v>
      </c>
      <c r="AC185" s="229">
        <v>1.9E-3</v>
      </c>
      <c r="AD185" s="228">
        <v>-1.9</v>
      </c>
      <c r="AE185" s="228">
        <v>-2.2000000000000002</v>
      </c>
      <c r="AF185" s="228">
        <v>0.3</v>
      </c>
      <c r="AG185" s="229">
        <v>-1.1999999999999999E-3</v>
      </c>
      <c r="AH185" s="228">
        <v>3.1</v>
      </c>
      <c r="AI185" s="228">
        <v>6.9</v>
      </c>
      <c r="AJ185" s="228">
        <v>-3.8</v>
      </c>
      <c r="AK185" s="229">
        <v>1.9E-3</v>
      </c>
      <c r="AL185" s="228">
        <v>11</v>
      </c>
      <c r="AM185" s="228">
        <v>9.5</v>
      </c>
      <c r="AN185" s="228">
        <v>1.5</v>
      </c>
      <c r="AO185" s="229">
        <v>6.7999999999999996E-3</v>
      </c>
      <c r="AP185" s="231">
        <v>1607.26</v>
      </c>
      <c r="AQ185" s="231">
        <v>1619.12</v>
      </c>
      <c r="AR185" s="228">
        <v>0</v>
      </c>
      <c r="AS185" s="228">
        <v>454</v>
      </c>
      <c r="AT185" s="228">
        <v>580</v>
      </c>
      <c r="AU185" s="228">
        <v>-126</v>
      </c>
      <c r="AV185" s="229">
        <v>-0.21779999999999999</v>
      </c>
      <c r="AW185" s="228">
        <v>155</v>
      </c>
      <c r="AX185" s="228">
        <v>253</v>
      </c>
      <c r="AY185" s="228">
        <v>-98</v>
      </c>
      <c r="AZ185" s="229">
        <v>-0.38569999999999999</v>
      </c>
      <c r="BA185" s="228">
        <v>297</v>
      </c>
      <c r="BB185" s="228">
        <v>321</v>
      </c>
      <c r="BC185" s="228">
        <v>-25</v>
      </c>
      <c r="BD185" s="229">
        <v>-7.7100000000000002E-2</v>
      </c>
      <c r="BE185" s="228">
        <v>2</v>
      </c>
      <c r="BF185" s="228">
        <v>6</v>
      </c>
      <c r="BG185" s="228">
        <v>-4</v>
      </c>
      <c r="BH185" s="229">
        <v>-0.65880000000000005</v>
      </c>
      <c r="BI185" s="228">
        <v>313</v>
      </c>
      <c r="BJ185" s="228">
        <v>232</v>
      </c>
      <c r="BK185" s="228">
        <v>80</v>
      </c>
      <c r="BL185" s="229">
        <v>0.3463</v>
      </c>
      <c r="BM185" s="228">
        <v>157</v>
      </c>
      <c r="BN185" s="228">
        <v>90</v>
      </c>
      <c r="BO185" s="228">
        <v>67</v>
      </c>
      <c r="BP185" s="229">
        <v>0.74529999999999996</v>
      </c>
      <c r="BQ185" s="228">
        <v>924</v>
      </c>
      <c r="BR185" s="228">
        <v>903</v>
      </c>
      <c r="BS185" s="228">
        <v>21</v>
      </c>
      <c r="BT185" s="229">
        <v>2.3199999999999998E-2</v>
      </c>
      <c r="BU185" s="230">
        <v>908490</v>
      </c>
      <c r="BV185" s="230">
        <v>573703</v>
      </c>
      <c r="BW185" s="230">
        <v>334787</v>
      </c>
      <c r="BX185" s="229">
        <v>0.58360000000000001</v>
      </c>
      <c r="BY185" s="228">
        <v>841</v>
      </c>
      <c r="BZ185" s="228">
        <v>882</v>
      </c>
      <c r="CA185" s="228">
        <v>-41</v>
      </c>
      <c r="CB185" s="229">
        <v>-4.6699999999999998E-2</v>
      </c>
      <c r="CC185" s="228">
        <v>45</v>
      </c>
      <c r="CD185" s="228">
        <v>102</v>
      </c>
      <c r="CE185" s="228">
        <v>-57</v>
      </c>
      <c r="CF185" s="229">
        <v>-0.56120000000000003</v>
      </c>
      <c r="CG185" s="228">
        <v>833</v>
      </c>
      <c r="CH185" s="228">
        <v>773</v>
      </c>
      <c r="CI185" s="228">
        <v>60</v>
      </c>
      <c r="CJ185" s="229">
        <v>7.7399999999999997E-2</v>
      </c>
      <c r="CK185" s="228">
        <v>8</v>
      </c>
      <c r="CL185" s="228">
        <v>7</v>
      </c>
      <c r="CM185" s="228">
        <v>1</v>
      </c>
      <c r="CN185" s="229">
        <v>0.2135</v>
      </c>
      <c r="CO185" s="228">
        <v>158</v>
      </c>
      <c r="CP185" s="228">
        <v>363</v>
      </c>
      <c r="CQ185" s="228">
        <v>-204</v>
      </c>
      <c r="CR185" s="229">
        <v>-0.56340000000000001</v>
      </c>
      <c r="CS185" s="228">
        <v>78</v>
      </c>
      <c r="CT185" s="228">
        <v>182</v>
      </c>
      <c r="CU185" s="228">
        <v>-104</v>
      </c>
      <c r="CV185" s="229">
        <v>-0.57369999999999999</v>
      </c>
      <c r="CW185" s="230">
        <v>1077</v>
      </c>
      <c r="CX185" s="230">
        <v>1427</v>
      </c>
      <c r="CY185" s="228">
        <v>-350</v>
      </c>
      <c r="CZ185" s="229">
        <v>-0.24540000000000001</v>
      </c>
      <c r="DA185" s="228">
        <v>39.71</v>
      </c>
      <c r="DB185" s="228">
        <v>42.64</v>
      </c>
      <c r="DC185" s="228">
        <v>-2.93</v>
      </c>
      <c r="DD185" s="228">
        <v>-2.93</v>
      </c>
      <c r="DE185" s="228">
        <v>50.77</v>
      </c>
      <c r="DF185" s="228">
        <v>50.9</v>
      </c>
      <c r="DG185" s="228">
        <v>-11.06</v>
      </c>
      <c r="DH185" s="228">
        <v>-0.13</v>
      </c>
      <c r="DI185" s="228">
        <v>39.83</v>
      </c>
      <c r="DJ185" s="228">
        <v>43.77</v>
      </c>
      <c r="DK185" s="228">
        <v>-3.94</v>
      </c>
      <c r="DL185" s="228">
        <v>-3.94</v>
      </c>
      <c r="DM185" s="228">
        <v>39.369999999999997</v>
      </c>
      <c r="DN185" s="228">
        <v>40.53</v>
      </c>
      <c r="DO185" s="228">
        <v>-1.1599999999999999</v>
      </c>
      <c r="DP185" s="228">
        <v>-1.1599999999999999</v>
      </c>
      <c r="DQ185" s="228">
        <v>0.49</v>
      </c>
      <c r="DR185" s="228">
        <v>0.5</v>
      </c>
      <c r="DS185" s="228">
        <v>-0.01</v>
      </c>
      <c r="DT185" s="229">
        <v>-0.02</v>
      </c>
      <c r="DU185" s="231">
        <v>2000</v>
      </c>
      <c r="DV185" s="231">
        <v>1600</v>
      </c>
      <c r="DW185" s="228">
        <v>0.5</v>
      </c>
      <c r="DX185" s="228">
        <v>0.39</v>
      </c>
      <c r="DY185" s="228">
        <v>0.11</v>
      </c>
      <c r="DZ185" s="229">
        <v>0.28210000000000002</v>
      </c>
      <c r="EA185" s="229">
        <v>0.94920000000000004</v>
      </c>
      <c r="EB185" s="230">
        <v>4782600</v>
      </c>
      <c r="EC185" s="229">
        <v>3.0999999999999999E-3</v>
      </c>
      <c r="ED185" s="229">
        <v>0.94920000000000004</v>
      </c>
      <c r="EE185" s="228">
        <v>11.86</v>
      </c>
      <c r="EF185" s="229">
        <v>7.4000000000000003E-3</v>
      </c>
      <c r="EG185" s="230">
        <v>425593</v>
      </c>
      <c r="EH185" s="230">
        <v>244013</v>
      </c>
      <c r="EI185" s="229">
        <v>0.74409999999999998</v>
      </c>
      <c r="EJ185" s="229">
        <v>0.46850000000000003</v>
      </c>
      <c r="EK185" s="228">
        <v>336.47</v>
      </c>
      <c r="EL185" s="228">
        <v>157.53</v>
      </c>
      <c r="EM185" s="228">
        <v>450.02</v>
      </c>
      <c r="EN185" s="228">
        <v>0</v>
      </c>
      <c r="EO185" s="228">
        <v>944.03</v>
      </c>
      <c r="EP185" s="228">
        <v>926.69</v>
      </c>
      <c r="EQ185" s="228">
        <v>17.34</v>
      </c>
      <c r="ER185" s="229">
        <v>1.8700000000000001E-2</v>
      </c>
      <c r="ES185" s="228">
        <v>180.81</v>
      </c>
      <c r="ET185" s="228">
        <v>77.09</v>
      </c>
      <c r="EU185" s="228">
        <v>840.64</v>
      </c>
      <c r="EV185" s="231">
        <v>33646046</v>
      </c>
      <c r="EW185" s="231">
        <v>1098.54</v>
      </c>
      <c r="EX185" s="231">
        <v>1468.49</v>
      </c>
      <c r="EY185" s="228">
        <v>-369.95</v>
      </c>
      <c r="EZ185" s="229">
        <v>-0.25190000000000001</v>
      </c>
      <c r="FA185" s="229">
        <v>0.19639999999999999</v>
      </c>
      <c r="FB185" s="227" t="s">
        <v>568</v>
      </c>
      <c r="FC185">
        <f t="shared" si="3"/>
        <v>0</v>
      </c>
    </row>
    <row r="186" spans="1:159" ht="17.25" thickBot="1" x14ac:dyDescent="0.3">
      <c r="A186" s="226">
        <v>45869</v>
      </c>
      <c r="B186" s="227" t="s">
        <v>172</v>
      </c>
      <c r="C186" s="227" t="s">
        <v>279</v>
      </c>
      <c r="D186" s="228">
        <v>3175</v>
      </c>
      <c r="E186" s="228">
        <v>0</v>
      </c>
      <c r="F186" s="228">
        <v>268.43</v>
      </c>
      <c r="G186" s="228">
        <v>262.66000000000003</v>
      </c>
      <c r="H186" s="228">
        <v>5.77</v>
      </c>
      <c r="I186" s="229">
        <v>2.1999999999999999E-2</v>
      </c>
      <c r="J186" s="228">
        <v>266.83</v>
      </c>
      <c r="K186" s="228">
        <v>261.75</v>
      </c>
      <c r="L186" s="228">
        <v>5.08</v>
      </c>
      <c r="M186" s="229">
        <v>1.9400000000000001E-2</v>
      </c>
      <c r="N186" s="228">
        <v>266.97000000000003</v>
      </c>
      <c r="O186" s="228">
        <v>261.49</v>
      </c>
      <c r="P186" s="228">
        <v>5.48</v>
      </c>
      <c r="Q186" s="229">
        <v>2.1000000000000001E-2</v>
      </c>
      <c r="R186" s="228">
        <v>268.43</v>
      </c>
      <c r="S186" s="228">
        <v>262.66000000000003</v>
      </c>
      <c r="T186" s="228">
        <v>5.77</v>
      </c>
      <c r="U186" s="229">
        <v>2.1999999999999999E-2</v>
      </c>
      <c r="V186" s="228">
        <v>269.89</v>
      </c>
      <c r="W186" s="228">
        <v>262.14999999999998</v>
      </c>
      <c r="X186" s="228">
        <v>7.74</v>
      </c>
      <c r="Y186" s="229">
        <v>2.9499999999999998E-2</v>
      </c>
      <c r="Z186" s="228">
        <v>1.6</v>
      </c>
      <c r="AA186" s="228">
        <v>-0.26</v>
      </c>
      <c r="AB186" s="228">
        <v>1.86</v>
      </c>
      <c r="AC186" s="229">
        <v>6.0000000000000001E-3</v>
      </c>
      <c r="AD186" s="228">
        <v>0.14000000000000001</v>
      </c>
      <c r="AE186" s="228">
        <v>-0.26</v>
      </c>
      <c r="AF186" s="228">
        <v>0.4</v>
      </c>
      <c r="AG186" s="229">
        <v>5.0000000000000001E-4</v>
      </c>
      <c r="AH186" s="228">
        <v>1.6</v>
      </c>
      <c r="AI186" s="228">
        <v>0.91</v>
      </c>
      <c r="AJ186" s="228">
        <v>0.69</v>
      </c>
      <c r="AK186" s="229">
        <v>6.0000000000000001E-3</v>
      </c>
      <c r="AL186" s="228">
        <v>3.06</v>
      </c>
      <c r="AM186" s="228">
        <v>0.4</v>
      </c>
      <c r="AN186" s="228">
        <v>2.66</v>
      </c>
      <c r="AO186" s="229">
        <v>1.15E-2</v>
      </c>
      <c r="AP186" s="228">
        <v>264.66000000000003</v>
      </c>
      <c r="AQ186" s="228">
        <v>266.45</v>
      </c>
      <c r="AR186" s="228">
        <v>0</v>
      </c>
      <c r="AS186" s="230">
        <v>3864</v>
      </c>
      <c r="AT186" s="228">
        <v>302</v>
      </c>
      <c r="AU186" s="230">
        <v>3561</v>
      </c>
      <c r="AV186" s="229">
        <v>11.7879</v>
      </c>
      <c r="AW186" s="230">
        <v>1449</v>
      </c>
      <c r="AX186" s="228">
        <v>278</v>
      </c>
      <c r="AY186" s="230">
        <v>1171</v>
      </c>
      <c r="AZ186" s="229">
        <v>4.2138</v>
      </c>
      <c r="BA186" s="230">
        <v>2378</v>
      </c>
      <c r="BB186" s="228">
        <v>24</v>
      </c>
      <c r="BC186" s="230">
        <v>2354</v>
      </c>
      <c r="BD186" s="229">
        <v>96.912300000000002</v>
      </c>
      <c r="BE186" s="228">
        <v>37</v>
      </c>
      <c r="BF186" s="228">
        <v>0</v>
      </c>
      <c r="BG186" s="228">
        <v>37</v>
      </c>
      <c r="BH186" s="229">
        <v>0</v>
      </c>
      <c r="BI186" s="230">
        <v>1287</v>
      </c>
      <c r="BJ186" s="228">
        <v>39</v>
      </c>
      <c r="BK186" s="230">
        <v>1247</v>
      </c>
      <c r="BL186" s="229">
        <v>31.750499999999999</v>
      </c>
      <c r="BM186" s="228">
        <v>467</v>
      </c>
      <c r="BN186" s="228">
        <v>44</v>
      </c>
      <c r="BO186" s="228">
        <v>423</v>
      </c>
      <c r="BP186" s="229">
        <v>9.6084999999999994</v>
      </c>
      <c r="BQ186" s="230">
        <v>5617</v>
      </c>
      <c r="BR186" s="228">
        <v>385</v>
      </c>
      <c r="BS186" s="230">
        <v>5231</v>
      </c>
      <c r="BT186" s="229">
        <v>13.574299999999999</v>
      </c>
      <c r="BU186" s="230">
        <v>36980930</v>
      </c>
      <c r="BV186" s="230">
        <v>24611799</v>
      </c>
      <c r="BW186" s="230">
        <v>12369131</v>
      </c>
      <c r="BX186" s="229">
        <v>0.50260000000000005</v>
      </c>
      <c r="BY186" s="230">
        <v>2031</v>
      </c>
      <c r="BZ186" s="230">
        <v>1803</v>
      </c>
      <c r="CA186" s="228">
        <v>228</v>
      </c>
      <c r="CB186" s="229">
        <v>0.1265</v>
      </c>
      <c r="CC186" s="228">
        <v>146</v>
      </c>
      <c r="CD186" s="230">
        <v>1115</v>
      </c>
      <c r="CE186" s="228">
        <v>-969</v>
      </c>
      <c r="CF186" s="229">
        <v>-0.86929999999999996</v>
      </c>
      <c r="CG186" s="230">
        <v>2008</v>
      </c>
      <c r="CH186" s="228">
        <v>683</v>
      </c>
      <c r="CI186" s="230">
        <v>1325</v>
      </c>
      <c r="CJ186" s="229">
        <v>1.9412</v>
      </c>
      <c r="CK186" s="228">
        <v>23</v>
      </c>
      <c r="CL186" s="228">
        <v>5</v>
      </c>
      <c r="CM186" s="228">
        <v>18</v>
      </c>
      <c r="CN186" s="229">
        <v>3.7856999999999998</v>
      </c>
      <c r="CO186" s="228">
        <v>257</v>
      </c>
      <c r="CP186" s="228">
        <v>366</v>
      </c>
      <c r="CQ186" s="228">
        <v>-109</v>
      </c>
      <c r="CR186" s="229">
        <v>-0.29759999999999998</v>
      </c>
      <c r="CS186" s="228">
        <v>118</v>
      </c>
      <c r="CT186" s="228">
        <v>236</v>
      </c>
      <c r="CU186" s="228">
        <v>-118</v>
      </c>
      <c r="CV186" s="229">
        <v>-0.50129999999999997</v>
      </c>
      <c r="CW186" s="230">
        <v>2405</v>
      </c>
      <c r="CX186" s="230">
        <v>2404</v>
      </c>
      <c r="CY186" s="228">
        <v>1</v>
      </c>
      <c r="CZ186" s="229">
        <v>4.0000000000000002E-4</v>
      </c>
      <c r="DA186" s="228">
        <v>37.979999999999997</v>
      </c>
      <c r="DB186" s="228">
        <v>50.33</v>
      </c>
      <c r="DC186" s="228">
        <v>-12.35</v>
      </c>
      <c r="DD186" s="228">
        <v>-12.35</v>
      </c>
      <c r="DE186" s="228">
        <v>50.29</v>
      </c>
      <c r="DF186" s="228">
        <v>50.33</v>
      </c>
      <c r="DG186" s="228">
        <v>-12.31</v>
      </c>
      <c r="DH186" s="228">
        <v>-0.04</v>
      </c>
      <c r="DI186" s="228">
        <v>37.99</v>
      </c>
      <c r="DJ186" s="228">
        <v>50.33</v>
      </c>
      <c r="DK186" s="228">
        <v>-12.34</v>
      </c>
      <c r="DL186" s="228">
        <v>-12.34</v>
      </c>
      <c r="DM186" s="228">
        <v>37.94</v>
      </c>
      <c r="DN186" s="228">
        <v>50.33</v>
      </c>
      <c r="DO186" s="228">
        <v>-12.39</v>
      </c>
      <c r="DP186" s="228">
        <v>-12.39</v>
      </c>
      <c r="DQ186" s="228">
        <v>0.46</v>
      </c>
      <c r="DR186" s="228">
        <v>0.64</v>
      </c>
      <c r="DS186" s="228">
        <v>-0.18</v>
      </c>
      <c r="DT186" s="229">
        <v>-0.28129999999999999</v>
      </c>
      <c r="DU186" s="228">
        <v>300</v>
      </c>
      <c r="DV186" s="228">
        <v>270</v>
      </c>
      <c r="DW186" s="228">
        <v>0.36</v>
      </c>
      <c r="DX186" s="228">
        <v>1.1200000000000001</v>
      </c>
      <c r="DY186" s="228">
        <v>-0.76</v>
      </c>
      <c r="DZ186" s="229">
        <v>-0.67859999999999998</v>
      </c>
      <c r="EA186" s="229">
        <v>0.93300000000000005</v>
      </c>
      <c r="EB186" s="230">
        <v>25609550</v>
      </c>
      <c r="EC186" s="229">
        <v>5.4999999999999997E-3</v>
      </c>
      <c r="ED186" s="229">
        <v>0.93300000000000005</v>
      </c>
      <c r="EE186" s="228">
        <v>1.79</v>
      </c>
      <c r="EF186" s="229">
        <v>6.7999999999999996E-3</v>
      </c>
      <c r="EG186" s="230">
        <v>17717336</v>
      </c>
      <c r="EH186" s="230">
        <v>14727681</v>
      </c>
      <c r="EI186" s="229">
        <v>0.20300000000000001</v>
      </c>
      <c r="EJ186" s="229">
        <v>0.47910000000000003</v>
      </c>
      <c r="EK186" s="231">
        <v>1348.92</v>
      </c>
      <c r="EL186" s="228">
        <v>453.21</v>
      </c>
      <c r="EM186" s="231">
        <v>3825.64</v>
      </c>
      <c r="EN186" s="228">
        <v>0</v>
      </c>
      <c r="EO186" s="231">
        <v>5627.77</v>
      </c>
      <c r="EP186" s="228">
        <v>372.88</v>
      </c>
      <c r="EQ186" s="231">
        <v>5254.89</v>
      </c>
      <c r="ER186" s="229">
        <v>14.0928</v>
      </c>
      <c r="ES186" s="228">
        <v>267.23</v>
      </c>
      <c r="ET186" s="228">
        <v>111.26</v>
      </c>
      <c r="EU186" s="231">
        <v>2030.82</v>
      </c>
      <c r="EV186" s="231">
        <v>121575211</v>
      </c>
      <c r="EW186" s="231">
        <v>2409.31</v>
      </c>
      <c r="EX186" s="231">
        <v>2330.2199999999998</v>
      </c>
      <c r="EY186" s="228">
        <v>79.09</v>
      </c>
      <c r="EZ186" s="229">
        <v>3.39E-2</v>
      </c>
      <c r="FA186" s="229">
        <v>0.73709999999999998</v>
      </c>
      <c r="FB186" s="227" t="s">
        <v>555</v>
      </c>
      <c r="FC186">
        <f t="shared" si="3"/>
        <v>0</v>
      </c>
    </row>
    <row r="187" spans="1:159" ht="17.25" thickBot="1" x14ac:dyDescent="0.3">
      <c r="A187" s="226">
        <v>45869</v>
      </c>
      <c r="B187" s="227" t="s">
        <v>175</v>
      </c>
      <c r="C187" s="227" t="s">
        <v>280</v>
      </c>
      <c r="D187" s="228">
        <v>1275</v>
      </c>
      <c r="E187" s="228">
        <v>0</v>
      </c>
      <c r="F187" s="228">
        <v>390.1</v>
      </c>
      <c r="G187" s="228">
        <v>395</v>
      </c>
      <c r="H187" s="228">
        <v>-4.9000000000000004</v>
      </c>
      <c r="I187" s="229">
        <v>-1.24E-2</v>
      </c>
      <c r="J187" s="228">
        <v>395.2</v>
      </c>
      <c r="K187" s="228">
        <v>399.55</v>
      </c>
      <c r="L187" s="228">
        <v>-4.3499999999999996</v>
      </c>
      <c r="M187" s="229">
        <v>-1.09E-2</v>
      </c>
      <c r="N187" s="228">
        <v>394.95</v>
      </c>
      <c r="O187" s="228">
        <v>399.65</v>
      </c>
      <c r="P187" s="228">
        <v>-4.7</v>
      </c>
      <c r="Q187" s="229">
        <v>-1.18E-2</v>
      </c>
      <c r="R187" s="228">
        <v>390.1</v>
      </c>
      <c r="S187" s="228">
        <v>395</v>
      </c>
      <c r="T187" s="228">
        <v>-4.9000000000000004</v>
      </c>
      <c r="U187" s="229">
        <v>-1.24E-2</v>
      </c>
      <c r="V187" s="228">
        <v>392.45</v>
      </c>
      <c r="W187" s="228">
        <v>397.3</v>
      </c>
      <c r="X187" s="228">
        <v>-4.8499999999999996</v>
      </c>
      <c r="Y187" s="229">
        <v>-1.2200000000000001E-2</v>
      </c>
      <c r="Z187" s="228">
        <v>-5.0999999999999996</v>
      </c>
      <c r="AA187" s="228">
        <v>0.1</v>
      </c>
      <c r="AB187" s="228">
        <v>-5.2</v>
      </c>
      <c r="AC187" s="229">
        <v>-1.29E-2</v>
      </c>
      <c r="AD187" s="228">
        <v>-0.25</v>
      </c>
      <c r="AE187" s="228">
        <v>0.1</v>
      </c>
      <c r="AF187" s="228">
        <v>-0.35</v>
      </c>
      <c r="AG187" s="229">
        <v>-5.9999999999999995E-4</v>
      </c>
      <c r="AH187" s="228">
        <v>-5.0999999999999996</v>
      </c>
      <c r="AI187" s="228">
        <v>-4.55</v>
      </c>
      <c r="AJ187" s="228">
        <v>-0.55000000000000004</v>
      </c>
      <c r="AK187" s="229">
        <v>-1.29E-2</v>
      </c>
      <c r="AL187" s="228">
        <v>-2.75</v>
      </c>
      <c r="AM187" s="228">
        <v>-2.25</v>
      </c>
      <c r="AN187" s="228">
        <v>-0.5</v>
      </c>
      <c r="AO187" s="229">
        <v>-7.0000000000000001E-3</v>
      </c>
      <c r="AP187" s="228">
        <v>396.24</v>
      </c>
      <c r="AQ187" s="228">
        <v>391.25</v>
      </c>
      <c r="AR187" s="228">
        <v>0</v>
      </c>
      <c r="AS187" s="230">
        <v>1368</v>
      </c>
      <c r="AT187" s="230">
        <v>1355</v>
      </c>
      <c r="AU187" s="228">
        <v>13</v>
      </c>
      <c r="AV187" s="229">
        <v>9.4999999999999998E-3</v>
      </c>
      <c r="AW187" s="228">
        <v>568</v>
      </c>
      <c r="AX187" s="228">
        <v>630</v>
      </c>
      <c r="AY187" s="228">
        <v>-63</v>
      </c>
      <c r="AZ187" s="229">
        <v>-9.9299999999999999E-2</v>
      </c>
      <c r="BA187" s="228">
        <v>767</v>
      </c>
      <c r="BB187" s="228">
        <v>705</v>
      </c>
      <c r="BC187" s="228">
        <v>61</v>
      </c>
      <c r="BD187" s="229">
        <v>8.6900000000000005E-2</v>
      </c>
      <c r="BE187" s="228">
        <v>34</v>
      </c>
      <c r="BF187" s="228">
        <v>19</v>
      </c>
      <c r="BG187" s="228">
        <v>14</v>
      </c>
      <c r="BH187" s="229">
        <v>0.72960000000000003</v>
      </c>
      <c r="BI187" s="228">
        <v>942</v>
      </c>
      <c r="BJ187" s="228">
        <v>974</v>
      </c>
      <c r="BK187" s="228">
        <v>-32</v>
      </c>
      <c r="BL187" s="229">
        <v>-3.2800000000000003E-2</v>
      </c>
      <c r="BM187" s="228">
        <v>670</v>
      </c>
      <c r="BN187" s="228">
        <v>619</v>
      </c>
      <c r="BO187" s="228">
        <v>51</v>
      </c>
      <c r="BP187" s="229">
        <v>8.1900000000000001E-2</v>
      </c>
      <c r="BQ187" s="230">
        <v>2981</v>
      </c>
      <c r="BR187" s="230">
        <v>2949</v>
      </c>
      <c r="BS187" s="228">
        <v>32</v>
      </c>
      <c r="BT187" s="229">
        <v>1.0699999999999999E-2</v>
      </c>
      <c r="BU187" s="230">
        <v>7428519</v>
      </c>
      <c r="BV187" s="230">
        <v>6054510</v>
      </c>
      <c r="BW187" s="230">
        <v>1374009</v>
      </c>
      <c r="BX187" s="229">
        <v>0.22689999999999999</v>
      </c>
      <c r="BY187" s="230">
        <v>3212</v>
      </c>
      <c r="BZ187" s="230">
        <v>3267</v>
      </c>
      <c r="CA187" s="228">
        <v>-56</v>
      </c>
      <c r="CB187" s="229">
        <v>-1.7100000000000001E-2</v>
      </c>
      <c r="CC187" s="228">
        <v>140</v>
      </c>
      <c r="CD187" s="228">
        <v>461</v>
      </c>
      <c r="CE187" s="228">
        <v>-321</v>
      </c>
      <c r="CF187" s="229">
        <v>-0.69679999999999997</v>
      </c>
      <c r="CG187" s="230">
        <v>3139</v>
      </c>
      <c r="CH187" s="230">
        <v>2747</v>
      </c>
      <c r="CI187" s="228">
        <v>391</v>
      </c>
      <c r="CJ187" s="229">
        <v>0.14249999999999999</v>
      </c>
      <c r="CK187" s="228">
        <v>73</v>
      </c>
      <c r="CL187" s="228">
        <v>59</v>
      </c>
      <c r="CM187" s="228">
        <v>14</v>
      </c>
      <c r="CN187" s="229">
        <v>0.22969999999999999</v>
      </c>
      <c r="CO187" s="228">
        <v>661</v>
      </c>
      <c r="CP187" s="230">
        <v>1188</v>
      </c>
      <c r="CQ187" s="228">
        <v>-527</v>
      </c>
      <c r="CR187" s="229">
        <v>-0.44350000000000001</v>
      </c>
      <c r="CS187" s="228">
        <v>592</v>
      </c>
      <c r="CT187" s="228">
        <v>829</v>
      </c>
      <c r="CU187" s="228">
        <v>-237</v>
      </c>
      <c r="CV187" s="229">
        <v>-0.28649999999999998</v>
      </c>
      <c r="CW187" s="230">
        <v>4465</v>
      </c>
      <c r="CX187" s="230">
        <v>5285</v>
      </c>
      <c r="CY187" s="228">
        <v>-820</v>
      </c>
      <c r="CZ187" s="229">
        <v>-0.1552</v>
      </c>
      <c r="DA187" s="228">
        <v>29.32</v>
      </c>
      <c r="DB187" s="228">
        <v>28.99</v>
      </c>
      <c r="DC187" s="228">
        <v>0.33</v>
      </c>
      <c r="DD187" s="228">
        <v>0.33</v>
      </c>
      <c r="DE187" s="228">
        <v>49.84</v>
      </c>
      <c r="DF187" s="228">
        <v>49.94</v>
      </c>
      <c r="DG187" s="228">
        <v>-20.52</v>
      </c>
      <c r="DH187" s="228">
        <v>-0.1</v>
      </c>
      <c r="DI187" s="228">
        <v>29.4</v>
      </c>
      <c r="DJ187" s="228">
        <v>29.17</v>
      </c>
      <c r="DK187" s="228">
        <v>0.23</v>
      </c>
      <c r="DL187" s="228">
        <v>0.23</v>
      </c>
      <c r="DM187" s="228">
        <v>29.22</v>
      </c>
      <c r="DN187" s="228">
        <v>28.72</v>
      </c>
      <c r="DO187" s="228">
        <v>0.5</v>
      </c>
      <c r="DP187" s="228">
        <v>0.5</v>
      </c>
      <c r="DQ187" s="228">
        <v>0.89</v>
      </c>
      <c r="DR187" s="228">
        <v>0.7</v>
      </c>
      <c r="DS187" s="228">
        <v>0.19</v>
      </c>
      <c r="DT187" s="229">
        <v>0.27139999999999997</v>
      </c>
      <c r="DU187" s="228">
        <v>400</v>
      </c>
      <c r="DV187" s="228">
        <v>400</v>
      </c>
      <c r="DW187" s="228">
        <v>0.71</v>
      </c>
      <c r="DX187" s="228">
        <v>0.64</v>
      </c>
      <c r="DY187" s="228">
        <v>7.0000000000000007E-2</v>
      </c>
      <c r="DZ187" s="229">
        <v>0.1094</v>
      </c>
      <c r="EA187" s="229">
        <v>0.95830000000000004</v>
      </c>
      <c r="EB187" s="230">
        <v>71943150</v>
      </c>
      <c r="EC187" s="229">
        <v>-1.23E-2</v>
      </c>
      <c r="ED187" s="229">
        <v>0.95830000000000004</v>
      </c>
      <c r="EE187" s="228">
        <v>-4.99</v>
      </c>
      <c r="EF187" s="229">
        <v>-1.26E-2</v>
      </c>
      <c r="EG187" s="230">
        <v>3789197</v>
      </c>
      <c r="EH187" s="230">
        <v>3077752</v>
      </c>
      <c r="EI187" s="229">
        <v>0.23119999999999999</v>
      </c>
      <c r="EJ187" s="229">
        <v>0.5101</v>
      </c>
      <c r="EK187" s="228">
        <v>999.86</v>
      </c>
      <c r="EL187" s="228">
        <v>688.77</v>
      </c>
      <c r="EM187" s="231">
        <v>1379.83</v>
      </c>
      <c r="EN187" s="228">
        <v>0</v>
      </c>
      <c r="EO187" s="231">
        <v>3068.46</v>
      </c>
      <c r="EP187" s="231">
        <v>3067.86</v>
      </c>
      <c r="EQ187" s="228">
        <v>0.6</v>
      </c>
      <c r="ER187" s="229">
        <v>2.0000000000000001E-4</v>
      </c>
      <c r="ES187" s="228">
        <v>698.91</v>
      </c>
      <c r="ET187" s="228">
        <v>592.25</v>
      </c>
      <c r="EU187" s="231">
        <v>3212.06</v>
      </c>
      <c r="EV187" s="231">
        <v>249446067</v>
      </c>
      <c r="EW187" s="231">
        <v>4503.21</v>
      </c>
      <c r="EX187" s="231">
        <v>5412.52</v>
      </c>
      <c r="EY187" s="228">
        <v>-909.31</v>
      </c>
      <c r="EZ187" s="229">
        <v>-0.16800000000000001</v>
      </c>
      <c r="FA187" s="229">
        <v>0.45879999999999999</v>
      </c>
      <c r="FB187" s="227" t="s">
        <v>568</v>
      </c>
      <c r="FC187">
        <f t="shared" si="3"/>
        <v>0</v>
      </c>
    </row>
    <row r="188" spans="1:159" ht="17.25" thickBot="1" x14ac:dyDescent="0.3">
      <c r="A188" s="226">
        <v>45869</v>
      </c>
      <c r="B188" s="227" t="s">
        <v>193</v>
      </c>
      <c r="C188" s="227" t="s">
        <v>281</v>
      </c>
      <c r="D188" s="228">
        <v>500</v>
      </c>
      <c r="E188" s="228">
        <v>0</v>
      </c>
      <c r="F188" s="231">
        <v>1393.9</v>
      </c>
      <c r="G188" s="231">
        <v>1412.9</v>
      </c>
      <c r="H188" s="228">
        <v>-19</v>
      </c>
      <c r="I188" s="229">
        <v>-1.34E-2</v>
      </c>
      <c r="J188" s="231">
        <v>1390.2</v>
      </c>
      <c r="K188" s="231">
        <v>1410.1</v>
      </c>
      <c r="L188" s="228">
        <v>-19.899999999999999</v>
      </c>
      <c r="M188" s="229">
        <v>-1.41E-2</v>
      </c>
      <c r="N188" s="231">
        <v>1390.6</v>
      </c>
      <c r="O188" s="231">
        <v>1410.1</v>
      </c>
      <c r="P188" s="228">
        <v>-19.5</v>
      </c>
      <c r="Q188" s="229">
        <v>-1.38E-2</v>
      </c>
      <c r="R188" s="231">
        <v>1393.9</v>
      </c>
      <c r="S188" s="231">
        <v>1412.9</v>
      </c>
      <c r="T188" s="228">
        <v>-19</v>
      </c>
      <c r="U188" s="229">
        <v>-1.34E-2</v>
      </c>
      <c r="V188" s="231">
        <v>1400.5</v>
      </c>
      <c r="W188" s="231">
        <v>1419.9</v>
      </c>
      <c r="X188" s="228">
        <v>-19.399999999999999</v>
      </c>
      <c r="Y188" s="229">
        <v>-1.37E-2</v>
      </c>
      <c r="Z188" s="228">
        <v>3.7</v>
      </c>
      <c r="AA188" s="228">
        <v>0</v>
      </c>
      <c r="AB188" s="228">
        <v>3.7</v>
      </c>
      <c r="AC188" s="229">
        <v>2.7000000000000001E-3</v>
      </c>
      <c r="AD188" s="228">
        <v>0.4</v>
      </c>
      <c r="AE188" s="228">
        <v>0</v>
      </c>
      <c r="AF188" s="228">
        <v>0.4</v>
      </c>
      <c r="AG188" s="229">
        <v>2.9999999999999997E-4</v>
      </c>
      <c r="AH188" s="228">
        <v>3.7</v>
      </c>
      <c r="AI188" s="228">
        <v>2.8</v>
      </c>
      <c r="AJ188" s="228">
        <v>0.9</v>
      </c>
      <c r="AK188" s="229">
        <v>2.7000000000000001E-3</v>
      </c>
      <c r="AL188" s="228">
        <v>10.3</v>
      </c>
      <c r="AM188" s="228">
        <v>9.8000000000000007</v>
      </c>
      <c r="AN188" s="228">
        <v>0.5</v>
      </c>
      <c r="AO188" s="229">
        <v>7.4000000000000003E-3</v>
      </c>
      <c r="AP188" s="231">
        <v>1394.69</v>
      </c>
      <c r="AQ188" s="231">
        <v>1397.35</v>
      </c>
      <c r="AR188" s="228">
        <v>0</v>
      </c>
      <c r="AS188" s="230">
        <v>5337</v>
      </c>
      <c r="AT188" s="230">
        <v>5937</v>
      </c>
      <c r="AU188" s="228">
        <v>-600</v>
      </c>
      <c r="AV188" s="229">
        <v>-0.1011</v>
      </c>
      <c r="AW188" s="230">
        <v>2053</v>
      </c>
      <c r="AX188" s="230">
        <v>2751</v>
      </c>
      <c r="AY188" s="228">
        <v>-698</v>
      </c>
      <c r="AZ188" s="229">
        <v>-0.25369999999999998</v>
      </c>
      <c r="BA188" s="230">
        <v>3125</v>
      </c>
      <c r="BB188" s="230">
        <v>2786</v>
      </c>
      <c r="BC188" s="228">
        <v>339</v>
      </c>
      <c r="BD188" s="229">
        <v>0.12189999999999999</v>
      </c>
      <c r="BE188" s="228">
        <v>159</v>
      </c>
      <c r="BF188" s="228">
        <v>400</v>
      </c>
      <c r="BG188" s="228">
        <v>-242</v>
      </c>
      <c r="BH188" s="229">
        <v>-0.60370000000000001</v>
      </c>
      <c r="BI188" s="230">
        <v>11839</v>
      </c>
      <c r="BJ188" s="230">
        <v>14931</v>
      </c>
      <c r="BK188" s="230">
        <v>-3092</v>
      </c>
      <c r="BL188" s="229">
        <v>-0.20710000000000001</v>
      </c>
      <c r="BM188" s="230">
        <v>7325</v>
      </c>
      <c r="BN188" s="230">
        <v>7877</v>
      </c>
      <c r="BO188" s="228">
        <v>-552</v>
      </c>
      <c r="BP188" s="229">
        <v>-7.0099999999999996E-2</v>
      </c>
      <c r="BQ188" s="230">
        <v>24501</v>
      </c>
      <c r="BR188" s="230">
        <v>28744</v>
      </c>
      <c r="BS188" s="230">
        <v>-4244</v>
      </c>
      <c r="BT188" s="229">
        <v>-0.14760000000000001</v>
      </c>
      <c r="BU188" s="230">
        <v>17593707</v>
      </c>
      <c r="BV188" s="230">
        <v>7527534</v>
      </c>
      <c r="BW188" s="230">
        <v>10066173</v>
      </c>
      <c r="BX188" s="229">
        <v>1.3371999999999999</v>
      </c>
      <c r="BY188" s="230">
        <v>16709</v>
      </c>
      <c r="BZ188" s="230">
        <v>17100</v>
      </c>
      <c r="CA188" s="228">
        <v>-392</v>
      </c>
      <c r="CB188" s="229">
        <v>-2.29E-2</v>
      </c>
      <c r="CC188" s="228">
        <v>813</v>
      </c>
      <c r="CD188" s="230">
        <v>2009</v>
      </c>
      <c r="CE188" s="230">
        <v>-1197</v>
      </c>
      <c r="CF188" s="229">
        <v>-0.59550000000000003</v>
      </c>
      <c r="CG188" s="230">
        <v>14947</v>
      </c>
      <c r="CH188" s="230">
        <v>13409</v>
      </c>
      <c r="CI188" s="230">
        <v>1537</v>
      </c>
      <c r="CJ188" s="229">
        <v>0.11459999999999999</v>
      </c>
      <c r="CK188" s="230">
        <v>1762</v>
      </c>
      <c r="CL188" s="230">
        <v>1682</v>
      </c>
      <c r="CM188" s="228">
        <v>80</v>
      </c>
      <c r="CN188" s="229">
        <v>4.7899999999999998E-2</v>
      </c>
      <c r="CO188" s="230">
        <v>5857</v>
      </c>
      <c r="CP188" s="230">
        <v>11992</v>
      </c>
      <c r="CQ188" s="230">
        <v>-6135</v>
      </c>
      <c r="CR188" s="229">
        <v>-0.51160000000000005</v>
      </c>
      <c r="CS188" s="230">
        <v>3814</v>
      </c>
      <c r="CT188" s="230">
        <v>5781</v>
      </c>
      <c r="CU188" s="230">
        <v>-1966</v>
      </c>
      <c r="CV188" s="229">
        <v>-0.34010000000000001</v>
      </c>
      <c r="CW188" s="230">
        <v>26380</v>
      </c>
      <c r="CX188" s="230">
        <v>34873</v>
      </c>
      <c r="CY188" s="230">
        <v>-8493</v>
      </c>
      <c r="CZ188" s="229">
        <v>-0.24349999999999999</v>
      </c>
      <c r="DA188" s="228">
        <v>21.57</v>
      </c>
      <c r="DB188" s="228">
        <v>20.92</v>
      </c>
      <c r="DC188" s="228">
        <v>0.65</v>
      </c>
      <c r="DD188" s="228">
        <v>0.65</v>
      </c>
      <c r="DE188" s="228">
        <v>26.06</v>
      </c>
      <c r="DF188" s="228">
        <v>26.06</v>
      </c>
      <c r="DG188" s="228">
        <v>-4.49</v>
      </c>
      <c r="DH188" s="228">
        <v>0</v>
      </c>
      <c r="DI188" s="228">
        <v>21.38</v>
      </c>
      <c r="DJ188" s="228">
        <v>20.92</v>
      </c>
      <c r="DK188" s="228">
        <v>0.46</v>
      </c>
      <c r="DL188" s="228">
        <v>0.46</v>
      </c>
      <c r="DM188" s="228">
        <v>21.91</v>
      </c>
      <c r="DN188" s="228">
        <v>20.92</v>
      </c>
      <c r="DO188" s="228">
        <v>0.99</v>
      </c>
      <c r="DP188" s="228">
        <v>0.99</v>
      </c>
      <c r="DQ188" s="228">
        <v>0.65</v>
      </c>
      <c r="DR188" s="228">
        <v>0.48</v>
      </c>
      <c r="DS188" s="228">
        <v>0.17</v>
      </c>
      <c r="DT188" s="229">
        <v>0.35420000000000001</v>
      </c>
      <c r="DU188" s="231">
        <v>1500</v>
      </c>
      <c r="DV188" s="231">
        <v>1400</v>
      </c>
      <c r="DW188" s="228">
        <v>0.62</v>
      </c>
      <c r="DX188" s="228">
        <v>0.53</v>
      </c>
      <c r="DY188" s="228">
        <v>0.09</v>
      </c>
      <c r="DZ188" s="229">
        <v>0.16980000000000001</v>
      </c>
      <c r="EA188" s="229">
        <v>0.9536</v>
      </c>
      <c r="EB188" s="230">
        <v>108264500</v>
      </c>
      <c r="EC188" s="229">
        <v>2.3999999999999998E-3</v>
      </c>
      <c r="ED188" s="229">
        <v>0.9536</v>
      </c>
      <c r="EE188" s="228">
        <v>2.66</v>
      </c>
      <c r="EF188" s="229">
        <v>1.9E-3</v>
      </c>
      <c r="EG188" s="230">
        <v>11768041</v>
      </c>
      <c r="EH188" s="230">
        <v>4090564</v>
      </c>
      <c r="EI188" s="229">
        <v>1.8769</v>
      </c>
      <c r="EJ188" s="229">
        <v>0.66890000000000005</v>
      </c>
      <c r="EK188" s="231">
        <v>12344.43</v>
      </c>
      <c r="EL188" s="231">
        <v>7372.92</v>
      </c>
      <c r="EM188" s="231">
        <v>5346.46</v>
      </c>
      <c r="EN188" s="228">
        <v>0</v>
      </c>
      <c r="EO188" s="231">
        <v>25063.82</v>
      </c>
      <c r="EP188" s="231">
        <v>29664.19</v>
      </c>
      <c r="EQ188" s="231">
        <v>-4600.38</v>
      </c>
      <c r="ER188" s="229">
        <v>-0.15509999999999999</v>
      </c>
      <c r="ES188" s="231">
        <v>6190.15</v>
      </c>
      <c r="ET188" s="231">
        <v>3826.41</v>
      </c>
      <c r="EU188" s="231">
        <v>16716.95</v>
      </c>
      <c r="EV188" s="231">
        <v>1323414074</v>
      </c>
      <c r="EW188" s="231">
        <v>26733.51</v>
      </c>
      <c r="EX188" s="231">
        <v>36087.5</v>
      </c>
      <c r="EY188" s="231">
        <v>-9353.99</v>
      </c>
      <c r="EZ188" s="229">
        <v>-0.25919999999999999</v>
      </c>
      <c r="FA188" s="229">
        <v>0.14299999999999999</v>
      </c>
      <c r="FB188" s="227" t="s">
        <v>568</v>
      </c>
      <c r="FC188">
        <f t="shared" si="3"/>
        <v>0</v>
      </c>
    </row>
    <row r="189" spans="1:159" ht="17.25" thickBot="1" x14ac:dyDescent="0.3">
      <c r="A189" s="226">
        <v>45869</v>
      </c>
      <c r="B189" s="227" t="s">
        <v>215</v>
      </c>
      <c r="C189" s="227" t="s">
        <v>677</v>
      </c>
      <c r="D189" s="228">
        <v>1375</v>
      </c>
      <c r="E189" s="228">
        <v>0</v>
      </c>
      <c r="F189" s="228">
        <v>348.75</v>
      </c>
      <c r="G189" s="228">
        <v>355.2</v>
      </c>
      <c r="H189" s="228">
        <v>-6.45</v>
      </c>
      <c r="I189" s="229">
        <v>-1.8200000000000001E-2</v>
      </c>
      <c r="J189" s="228">
        <v>348.15</v>
      </c>
      <c r="K189" s="228">
        <v>358.4</v>
      </c>
      <c r="L189" s="228">
        <v>-10.25</v>
      </c>
      <c r="M189" s="229">
        <v>-2.86E-2</v>
      </c>
      <c r="N189" s="228">
        <v>347.1</v>
      </c>
      <c r="O189" s="228">
        <v>358.65</v>
      </c>
      <c r="P189" s="228">
        <v>-11.55</v>
      </c>
      <c r="Q189" s="229">
        <v>-3.2199999999999999E-2</v>
      </c>
      <c r="R189" s="228">
        <v>348.75</v>
      </c>
      <c r="S189" s="228">
        <v>355.2</v>
      </c>
      <c r="T189" s="228">
        <v>-6.45</v>
      </c>
      <c r="U189" s="229">
        <v>-1.8200000000000001E-2</v>
      </c>
      <c r="V189" s="228">
        <v>348.85</v>
      </c>
      <c r="W189" s="228">
        <v>354.05</v>
      </c>
      <c r="X189" s="228">
        <v>-5.2</v>
      </c>
      <c r="Y189" s="229">
        <v>-1.47E-2</v>
      </c>
      <c r="Z189" s="228">
        <v>0.6</v>
      </c>
      <c r="AA189" s="228">
        <v>0.25</v>
      </c>
      <c r="AB189" s="228">
        <v>0.35</v>
      </c>
      <c r="AC189" s="229">
        <v>1.6999999999999999E-3</v>
      </c>
      <c r="AD189" s="228">
        <v>-1.05</v>
      </c>
      <c r="AE189" s="228">
        <v>0.25</v>
      </c>
      <c r="AF189" s="228">
        <v>-1.3</v>
      </c>
      <c r="AG189" s="229">
        <v>-3.0000000000000001E-3</v>
      </c>
      <c r="AH189" s="228">
        <v>0.6</v>
      </c>
      <c r="AI189" s="228">
        <v>-3.2</v>
      </c>
      <c r="AJ189" s="228">
        <v>3.8</v>
      </c>
      <c r="AK189" s="229">
        <v>1.6999999999999999E-3</v>
      </c>
      <c r="AL189" s="228">
        <v>0.7</v>
      </c>
      <c r="AM189" s="228">
        <v>-4.3499999999999996</v>
      </c>
      <c r="AN189" s="228">
        <v>5.05</v>
      </c>
      <c r="AO189" s="229">
        <v>2E-3</v>
      </c>
      <c r="AP189" s="228">
        <v>350.55</v>
      </c>
      <c r="AQ189" s="228">
        <v>350.93</v>
      </c>
      <c r="AR189" s="228">
        <v>0</v>
      </c>
      <c r="AS189" s="228">
        <v>298</v>
      </c>
      <c r="AT189" s="228">
        <v>318</v>
      </c>
      <c r="AU189" s="228">
        <v>-20</v>
      </c>
      <c r="AV189" s="229">
        <v>-6.4100000000000004E-2</v>
      </c>
      <c r="AW189" s="228">
        <v>142</v>
      </c>
      <c r="AX189" s="228">
        <v>157</v>
      </c>
      <c r="AY189" s="228">
        <v>-16</v>
      </c>
      <c r="AZ189" s="229">
        <v>-9.9500000000000005E-2</v>
      </c>
      <c r="BA189" s="228">
        <v>149</v>
      </c>
      <c r="BB189" s="228">
        <v>157</v>
      </c>
      <c r="BC189" s="228">
        <v>-8</v>
      </c>
      <c r="BD189" s="229">
        <v>-5.3100000000000001E-2</v>
      </c>
      <c r="BE189" s="228">
        <v>7</v>
      </c>
      <c r="BF189" s="228">
        <v>4</v>
      </c>
      <c r="BG189" s="228">
        <v>4</v>
      </c>
      <c r="BH189" s="229">
        <v>0.97399999999999998</v>
      </c>
      <c r="BI189" s="228">
        <v>105</v>
      </c>
      <c r="BJ189" s="228">
        <v>150</v>
      </c>
      <c r="BK189" s="228">
        <v>-45</v>
      </c>
      <c r="BL189" s="229">
        <v>-0.29830000000000001</v>
      </c>
      <c r="BM189" s="228">
        <v>56</v>
      </c>
      <c r="BN189" s="228">
        <v>48</v>
      </c>
      <c r="BO189" s="228">
        <v>8</v>
      </c>
      <c r="BP189" s="229">
        <v>0.17860000000000001</v>
      </c>
      <c r="BQ189" s="228">
        <v>459</v>
      </c>
      <c r="BR189" s="228">
        <v>516</v>
      </c>
      <c r="BS189" s="228">
        <v>-57</v>
      </c>
      <c r="BT189" s="229">
        <v>-0.10979999999999999</v>
      </c>
      <c r="BU189" s="230">
        <v>4375774</v>
      </c>
      <c r="BV189" s="230">
        <v>2202640</v>
      </c>
      <c r="BW189" s="230">
        <v>2173134</v>
      </c>
      <c r="BX189" s="229">
        <v>0.98660000000000003</v>
      </c>
      <c r="BY189" s="228">
        <v>530</v>
      </c>
      <c r="BZ189" s="228">
        <v>605</v>
      </c>
      <c r="CA189" s="228">
        <v>-75</v>
      </c>
      <c r="CB189" s="229">
        <v>-0.12379999999999999</v>
      </c>
      <c r="CC189" s="228">
        <v>71</v>
      </c>
      <c r="CD189" s="228">
        <v>107</v>
      </c>
      <c r="CE189" s="228">
        <v>-36</v>
      </c>
      <c r="CF189" s="229">
        <v>-0.33739999999999998</v>
      </c>
      <c r="CG189" s="228">
        <v>508</v>
      </c>
      <c r="CH189" s="228">
        <v>479</v>
      </c>
      <c r="CI189" s="228">
        <v>29</v>
      </c>
      <c r="CJ189" s="229">
        <v>5.9700000000000003E-2</v>
      </c>
      <c r="CK189" s="228">
        <v>22</v>
      </c>
      <c r="CL189" s="228">
        <v>19</v>
      </c>
      <c r="CM189" s="228">
        <v>4</v>
      </c>
      <c r="CN189" s="229">
        <v>0.1862</v>
      </c>
      <c r="CO189" s="228">
        <v>58</v>
      </c>
      <c r="CP189" s="228">
        <v>268</v>
      </c>
      <c r="CQ189" s="228">
        <v>-210</v>
      </c>
      <c r="CR189" s="229">
        <v>-0.78410000000000002</v>
      </c>
      <c r="CS189" s="228">
        <v>40</v>
      </c>
      <c r="CT189" s="228">
        <v>91</v>
      </c>
      <c r="CU189" s="228">
        <v>-51</v>
      </c>
      <c r="CV189" s="229">
        <v>-0.56020000000000003</v>
      </c>
      <c r="CW189" s="228">
        <v>628</v>
      </c>
      <c r="CX189" s="228">
        <v>964</v>
      </c>
      <c r="CY189" s="228">
        <v>-336</v>
      </c>
      <c r="CZ189" s="229">
        <v>-0.34849999999999998</v>
      </c>
      <c r="DA189" s="228">
        <v>40.68</v>
      </c>
      <c r="DB189" s="228">
        <v>40.049999999999997</v>
      </c>
      <c r="DC189" s="228">
        <v>0.63</v>
      </c>
      <c r="DD189" s="228">
        <v>0.63</v>
      </c>
      <c r="DE189" s="228">
        <v>62.27</v>
      </c>
      <c r="DF189" s="228">
        <v>62.36</v>
      </c>
      <c r="DG189" s="228">
        <v>-21.59</v>
      </c>
      <c r="DH189" s="228">
        <v>-0.09</v>
      </c>
      <c r="DI189" s="228">
        <v>40.770000000000003</v>
      </c>
      <c r="DJ189" s="228">
        <v>40.229999999999997</v>
      </c>
      <c r="DK189" s="228">
        <v>0.54</v>
      </c>
      <c r="DL189" s="228">
        <v>0.54</v>
      </c>
      <c r="DM189" s="228">
        <v>40.479999999999997</v>
      </c>
      <c r="DN189" s="228">
        <v>39.71</v>
      </c>
      <c r="DO189" s="228">
        <v>0.77</v>
      </c>
      <c r="DP189" s="228">
        <v>0.77</v>
      </c>
      <c r="DQ189" s="228">
        <v>0.69</v>
      </c>
      <c r="DR189" s="228">
        <v>0.34</v>
      </c>
      <c r="DS189" s="228">
        <v>0.35</v>
      </c>
      <c r="DT189" s="229">
        <v>1.0294000000000001</v>
      </c>
      <c r="DU189" s="228">
        <v>400</v>
      </c>
      <c r="DV189" s="228">
        <v>430</v>
      </c>
      <c r="DW189" s="228">
        <v>0.53</v>
      </c>
      <c r="DX189" s="228">
        <v>0.32</v>
      </c>
      <c r="DY189" s="228">
        <v>0.21</v>
      </c>
      <c r="DZ189" s="229">
        <v>0.65629999999999999</v>
      </c>
      <c r="EA189" s="229">
        <v>0.88200000000000001</v>
      </c>
      <c r="EB189" s="230">
        <v>14280750</v>
      </c>
      <c r="EC189" s="229">
        <v>4.7999999999999996E-3</v>
      </c>
      <c r="ED189" s="229">
        <v>0.88200000000000001</v>
      </c>
      <c r="EE189" s="228">
        <v>0.38</v>
      </c>
      <c r="EF189" s="229">
        <v>1.1000000000000001E-3</v>
      </c>
      <c r="EG189" s="230">
        <v>1487945</v>
      </c>
      <c r="EH189" s="230">
        <v>624340</v>
      </c>
      <c r="EI189" s="229">
        <v>1.3832</v>
      </c>
      <c r="EJ189" s="229">
        <v>0.34</v>
      </c>
      <c r="EK189" s="228">
        <v>116.64</v>
      </c>
      <c r="EL189" s="228">
        <v>61.01</v>
      </c>
      <c r="EM189" s="228">
        <v>299.39999999999998</v>
      </c>
      <c r="EN189" s="228">
        <v>0</v>
      </c>
      <c r="EO189" s="228">
        <v>477.04</v>
      </c>
      <c r="EP189" s="228">
        <v>544.22</v>
      </c>
      <c r="EQ189" s="228">
        <v>-67.180000000000007</v>
      </c>
      <c r="ER189" s="229">
        <v>-0.1234</v>
      </c>
      <c r="ES189" s="228">
        <v>63.6</v>
      </c>
      <c r="ET189" s="228">
        <v>41.06</v>
      </c>
      <c r="EU189" s="228">
        <v>530.17999999999995</v>
      </c>
      <c r="EV189" s="231">
        <v>113255281</v>
      </c>
      <c r="EW189" s="228">
        <v>634.85</v>
      </c>
      <c r="EX189" s="231">
        <v>1028.47</v>
      </c>
      <c r="EY189" s="228">
        <v>-393.62</v>
      </c>
      <c r="EZ189" s="229">
        <v>-0.38269999999999998</v>
      </c>
      <c r="FA189" s="229">
        <v>0.159</v>
      </c>
      <c r="FB189" s="227" t="s">
        <v>568</v>
      </c>
      <c r="FC189">
        <f t="shared" si="3"/>
        <v>0</v>
      </c>
    </row>
    <row r="190" spans="1:159" ht="17.25" thickBot="1" x14ac:dyDescent="0.3">
      <c r="A190" s="226">
        <v>45869</v>
      </c>
      <c r="B190" s="227" t="s">
        <v>227</v>
      </c>
      <c r="C190" s="227" t="s">
        <v>282</v>
      </c>
      <c r="D190" s="228">
        <v>4700</v>
      </c>
      <c r="E190" s="228">
        <v>0</v>
      </c>
      <c r="F190" s="228">
        <v>124.4</v>
      </c>
      <c r="G190" s="228">
        <v>124.9</v>
      </c>
      <c r="H190" s="228">
        <v>-0.5</v>
      </c>
      <c r="I190" s="229">
        <v>-4.0000000000000001E-3</v>
      </c>
      <c r="J190" s="228">
        <v>124.2</v>
      </c>
      <c r="K190" s="228">
        <v>124.16</v>
      </c>
      <c r="L190" s="228">
        <v>0.04</v>
      </c>
      <c r="M190" s="229">
        <v>2.9999999999999997E-4</v>
      </c>
      <c r="N190" s="228">
        <v>123.94</v>
      </c>
      <c r="O190" s="228">
        <v>124.35</v>
      </c>
      <c r="P190" s="228">
        <v>-0.41</v>
      </c>
      <c r="Q190" s="229">
        <v>-3.3E-3</v>
      </c>
      <c r="R190" s="228">
        <v>124.4</v>
      </c>
      <c r="S190" s="228">
        <v>124.9</v>
      </c>
      <c r="T190" s="228">
        <v>-0.5</v>
      </c>
      <c r="U190" s="229">
        <v>-4.0000000000000001E-3</v>
      </c>
      <c r="V190" s="228">
        <v>123.97</v>
      </c>
      <c r="W190" s="228">
        <v>124.16</v>
      </c>
      <c r="X190" s="228">
        <v>-0.19</v>
      </c>
      <c r="Y190" s="229">
        <v>-1.5E-3</v>
      </c>
      <c r="Z190" s="228">
        <v>0.2</v>
      </c>
      <c r="AA190" s="228">
        <v>0.19</v>
      </c>
      <c r="AB190" s="228">
        <v>0.01</v>
      </c>
      <c r="AC190" s="229">
        <v>1.6000000000000001E-3</v>
      </c>
      <c r="AD190" s="228">
        <v>-0.26</v>
      </c>
      <c r="AE190" s="228">
        <v>0.19</v>
      </c>
      <c r="AF190" s="228">
        <v>-0.45</v>
      </c>
      <c r="AG190" s="229">
        <v>-2.0999999999999999E-3</v>
      </c>
      <c r="AH190" s="228">
        <v>0.2</v>
      </c>
      <c r="AI190" s="228">
        <v>0.74</v>
      </c>
      <c r="AJ190" s="228">
        <v>-0.54</v>
      </c>
      <c r="AK190" s="229">
        <v>1.6000000000000001E-3</v>
      </c>
      <c r="AL190" s="228">
        <v>-0.23</v>
      </c>
      <c r="AM190" s="228">
        <v>0</v>
      </c>
      <c r="AN190" s="228">
        <v>-0.23</v>
      </c>
      <c r="AO190" s="229">
        <v>-1.9E-3</v>
      </c>
      <c r="AP190" s="228">
        <v>123.75</v>
      </c>
      <c r="AQ190" s="228">
        <v>124.27</v>
      </c>
      <c r="AR190" s="228">
        <v>0</v>
      </c>
      <c r="AS190" s="228">
        <v>981</v>
      </c>
      <c r="AT190" s="230">
        <v>1060</v>
      </c>
      <c r="AU190" s="228">
        <v>-79</v>
      </c>
      <c r="AV190" s="229">
        <v>-7.4700000000000003E-2</v>
      </c>
      <c r="AW190" s="228">
        <v>401</v>
      </c>
      <c r="AX190" s="228">
        <v>443</v>
      </c>
      <c r="AY190" s="228">
        <v>-43</v>
      </c>
      <c r="AZ190" s="229">
        <v>-9.5899999999999999E-2</v>
      </c>
      <c r="BA190" s="228">
        <v>503</v>
      </c>
      <c r="BB190" s="228">
        <v>493</v>
      </c>
      <c r="BC190" s="228">
        <v>10</v>
      </c>
      <c r="BD190" s="229">
        <v>1.9599999999999999E-2</v>
      </c>
      <c r="BE190" s="228">
        <v>77</v>
      </c>
      <c r="BF190" s="228">
        <v>124</v>
      </c>
      <c r="BG190" s="228">
        <v>-46</v>
      </c>
      <c r="BH190" s="229">
        <v>-0.37530000000000002</v>
      </c>
      <c r="BI190" s="228">
        <v>314</v>
      </c>
      <c r="BJ190" s="228">
        <v>355</v>
      </c>
      <c r="BK190" s="228">
        <v>-41</v>
      </c>
      <c r="BL190" s="229">
        <v>-0.1159</v>
      </c>
      <c r="BM190" s="228">
        <v>220</v>
      </c>
      <c r="BN190" s="228">
        <v>237</v>
      </c>
      <c r="BO190" s="228">
        <v>-17</v>
      </c>
      <c r="BP190" s="229">
        <v>-7.0999999999999994E-2</v>
      </c>
      <c r="BQ190" s="230">
        <v>1515</v>
      </c>
      <c r="BR190" s="230">
        <v>1652</v>
      </c>
      <c r="BS190" s="228">
        <v>-137</v>
      </c>
      <c r="BT190" s="229">
        <v>-8.3000000000000004E-2</v>
      </c>
      <c r="BU190" s="230">
        <v>13677193</v>
      </c>
      <c r="BV190" s="230">
        <v>8821289</v>
      </c>
      <c r="BW190" s="230">
        <v>4855904</v>
      </c>
      <c r="BX190" s="229">
        <v>0.55049999999999999</v>
      </c>
      <c r="BY190" s="230">
        <v>1969</v>
      </c>
      <c r="BZ190" s="230">
        <v>2115</v>
      </c>
      <c r="CA190" s="228">
        <v>-146</v>
      </c>
      <c r="CB190" s="229">
        <v>-6.9099999999999995E-2</v>
      </c>
      <c r="CC190" s="228">
        <v>101</v>
      </c>
      <c r="CD190" s="228">
        <v>370</v>
      </c>
      <c r="CE190" s="228">
        <v>-269</v>
      </c>
      <c r="CF190" s="229">
        <v>-0.7278</v>
      </c>
      <c r="CG190" s="230">
        <v>1636</v>
      </c>
      <c r="CH190" s="230">
        <v>1469</v>
      </c>
      <c r="CI190" s="228">
        <v>167</v>
      </c>
      <c r="CJ190" s="229">
        <v>0.1138</v>
      </c>
      <c r="CK190" s="228">
        <v>333</v>
      </c>
      <c r="CL190" s="228">
        <v>276</v>
      </c>
      <c r="CM190" s="228">
        <v>57</v>
      </c>
      <c r="CN190" s="229">
        <v>0.2064</v>
      </c>
      <c r="CO190" s="228">
        <v>300</v>
      </c>
      <c r="CP190" s="228">
        <v>605</v>
      </c>
      <c r="CQ190" s="228">
        <v>-306</v>
      </c>
      <c r="CR190" s="229">
        <v>-0.50509999999999999</v>
      </c>
      <c r="CS190" s="228">
        <v>194</v>
      </c>
      <c r="CT190" s="228">
        <v>340</v>
      </c>
      <c r="CU190" s="228">
        <v>-147</v>
      </c>
      <c r="CV190" s="229">
        <v>-0.43059999999999998</v>
      </c>
      <c r="CW190" s="230">
        <v>2463</v>
      </c>
      <c r="CX190" s="230">
        <v>3061</v>
      </c>
      <c r="CY190" s="228">
        <v>-598</v>
      </c>
      <c r="CZ190" s="229">
        <v>-0.19550000000000001</v>
      </c>
      <c r="DA190" s="228">
        <v>31.22</v>
      </c>
      <c r="DB190" s="228">
        <v>31.58</v>
      </c>
      <c r="DC190" s="228">
        <v>-0.36</v>
      </c>
      <c r="DD190" s="228">
        <v>-0.36</v>
      </c>
      <c r="DE190" s="228">
        <v>47.92</v>
      </c>
      <c r="DF190" s="228">
        <v>48.04</v>
      </c>
      <c r="DG190" s="228">
        <v>-16.7</v>
      </c>
      <c r="DH190" s="228">
        <v>-0.12</v>
      </c>
      <c r="DI190" s="228">
        <v>31.46</v>
      </c>
      <c r="DJ190" s="228">
        <v>31.67</v>
      </c>
      <c r="DK190" s="228">
        <v>-0.21</v>
      </c>
      <c r="DL190" s="228">
        <v>-0.21</v>
      </c>
      <c r="DM190" s="228">
        <v>30.82</v>
      </c>
      <c r="DN190" s="228">
        <v>31.46</v>
      </c>
      <c r="DO190" s="228">
        <v>-0.64</v>
      </c>
      <c r="DP190" s="228">
        <v>-0.64</v>
      </c>
      <c r="DQ190" s="228">
        <v>0.65</v>
      </c>
      <c r="DR190" s="228">
        <v>0.56000000000000005</v>
      </c>
      <c r="DS190" s="228">
        <v>0.09</v>
      </c>
      <c r="DT190" s="229">
        <v>0.16070000000000001</v>
      </c>
      <c r="DU190" s="228">
        <v>140</v>
      </c>
      <c r="DV190" s="228">
        <v>135</v>
      </c>
      <c r="DW190" s="228">
        <v>0.7</v>
      </c>
      <c r="DX190" s="228">
        <v>0.67</v>
      </c>
      <c r="DY190" s="228">
        <v>0.03</v>
      </c>
      <c r="DZ190" s="229">
        <v>4.48E-2</v>
      </c>
      <c r="EA190" s="229">
        <v>0.95130000000000003</v>
      </c>
      <c r="EB190" s="230">
        <v>140276200</v>
      </c>
      <c r="EC190" s="229">
        <v>3.7000000000000002E-3</v>
      </c>
      <c r="ED190" s="229">
        <v>0.95130000000000003</v>
      </c>
      <c r="EE190" s="228">
        <v>0.52</v>
      </c>
      <c r="EF190" s="229">
        <v>4.1999999999999997E-3</v>
      </c>
      <c r="EG190" s="230">
        <v>4594819</v>
      </c>
      <c r="EH190" s="230">
        <v>3323973</v>
      </c>
      <c r="EI190" s="229">
        <v>0.38229999999999997</v>
      </c>
      <c r="EJ190" s="229">
        <v>0.33589999999999998</v>
      </c>
      <c r="EK190" s="228">
        <v>332.93</v>
      </c>
      <c r="EL190" s="228">
        <v>232.46</v>
      </c>
      <c r="EM190" s="228">
        <v>977.69</v>
      </c>
      <c r="EN190" s="228">
        <v>0</v>
      </c>
      <c r="EO190" s="231">
        <v>1543.08</v>
      </c>
      <c r="EP190" s="231">
        <v>1684.55</v>
      </c>
      <c r="EQ190" s="228">
        <v>-141.47</v>
      </c>
      <c r="ER190" s="229">
        <v>-8.4000000000000005E-2</v>
      </c>
      <c r="ES190" s="228">
        <v>328.14</v>
      </c>
      <c r="ET190" s="228">
        <v>198.52</v>
      </c>
      <c r="EU190" s="231">
        <v>1967.99</v>
      </c>
      <c r="EV190" s="231">
        <v>289148547</v>
      </c>
      <c r="EW190" s="231">
        <v>2494.65</v>
      </c>
      <c r="EX190" s="231">
        <v>3141.49</v>
      </c>
      <c r="EY190" s="228">
        <v>-646.84</v>
      </c>
      <c r="EZ190" s="229">
        <v>-0.2059</v>
      </c>
      <c r="FA190" s="229">
        <v>0.68459999999999999</v>
      </c>
      <c r="FB190" s="227" t="s">
        <v>568</v>
      </c>
      <c r="FC190">
        <f t="shared" si="3"/>
        <v>0</v>
      </c>
    </row>
    <row r="191" spans="1:159" ht="17.25" thickBot="1" x14ac:dyDescent="0.3">
      <c r="A191" s="226">
        <v>45869</v>
      </c>
      <c r="B191" s="227" t="s">
        <v>175</v>
      </c>
      <c r="C191" s="227" t="s">
        <v>536</v>
      </c>
      <c r="D191" s="228">
        <v>800</v>
      </c>
      <c r="E191" s="228">
        <v>0</v>
      </c>
      <c r="F191" s="228">
        <v>808.9</v>
      </c>
      <c r="G191" s="228">
        <v>812.25</v>
      </c>
      <c r="H191" s="228">
        <v>-3.35</v>
      </c>
      <c r="I191" s="229">
        <v>-4.1000000000000003E-3</v>
      </c>
      <c r="J191" s="228">
        <v>807.4</v>
      </c>
      <c r="K191" s="228">
        <v>814.7</v>
      </c>
      <c r="L191" s="228">
        <v>-7.3</v>
      </c>
      <c r="M191" s="229">
        <v>-8.9999999999999993E-3</v>
      </c>
      <c r="N191" s="228">
        <v>807.3</v>
      </c>
      <c r="O191" s="228">
        <v>814.65</v>
      </c>
      <c r="P191" s="228">
        <v>-7.35</v>
      </c>
      <c r="Q191" s="229">
        <v>-8.9999999999999993E-3</v>
      </c>
      <c r="R191" s="228">
        <v>808.9</v>
      </c>
      <c r="S191" s="228">
        <v>812.25</v>
      </c>
      <c r="T191" s="228">
        <v>-3.35</v>
      </c>
      <c r="U191" s="229">
        <v>-4.1000000000000003E-3</v>
      </c>
      <c r="V191" s="228">
        <v>809.7</v>
      </c>
      <c r="W191" s="228">
        <v>812.45</v>
      </c>
      <c r="X191" s="228">
        <v>-2.75</v>
      </c>
      <c r="Y191" s="229">
        <v>-3.3999999999999998E-3</v>
      </c>
      <c r="Z191" s="228">
        <v>1.5</v>
      </c>
      <c r="AA191" s="228">
        <v>-0.05</v>
      </c>
      <c r="AB191" s="228">
        <v>1.55</v>
      </c>
      <c r="AC191" s="229">
        <v>1.9E-3</v>
      </c>
      <c r="AD191" s="228">
        <v>-0.1</v>
      </c>
      <c r="AE191" s="228">
        <v>-0.05</v>
      </c>
      <c r="AF191" s="228">
        <v>-0.05</v>
      </c>
      <c r="AG191" s="229">
        <v>-1E-4</v>
      </c>
      <c r="AH191" s="228">
        <v>1.5</v>
      </c>
      <c r="AI191" s="228">
        <v>-2.4500000000000002</v>
      </c>
      <c r="AJ191" s="228">
        <v>3.95</v>
      </c>
      <c r="AK191" s="229">
        <v>1.9E-3</v>
      </c>
      <c r="AL191" s="228">
        <v>2.2999999999999998</v>
      </c>
      <c r="AM191" s="228">
        <v>-2.25</v>
      </c>
      <c r="AN191" s="228">
        <v>4.55</v>
      </c>
      <c r="AO191" s="229">
        <v>2.8E-3</v>
      </c>
      <c r="AP191" s="228">
        <v>807.97</v>
      </c>
      <c r="AQ191" s="228">
        <v>808.59</v>
      </c>
      <c r="AR191" s="228">
        <v>0</v>
      </c>
      <c r="AS191" s="228">
        <v>577</v>
      </c>
      <c r="AT191" s="228">
        <v>645</v>
      </c>
      <c r="AU191" s="228">
        <v>-68</v>
      </c>
      <c r="AV191" s="229">
        <v>-0.1053</v>
      </c>
      <c r="AW191" s="228">
        <v>262</v>
      </c>
      <c r="AX191" s="228">
        <v>307</v>
      </c>
      <c r="AY191" s="228">
        <v>-45</v>
      </c>
      <c r="AZ191" s="229">
        <v>-0.1462</v>
      </c>
      <c r="BA191" s="228">
        <v>298</v>
      </c>
      <c r="BB191" s="228">
        <v>326</v>
      </c>
      <c r="BC191" s="228">
        <v>-27</v>
      </c>
      <c r="BD191" s="229">
        <v>-8.4199999999999997E-2</v>
      </c>
      <c r="BE191" s="228">
        <v>17</v>
      </c>
      <c r="BF191" s="228">
        <v>12</v>
      </c>
      <c r="BG191" s="228">
        <v>4</v>
      </c>
      <c r="BH191" s="229">
        <v>0.3579</v>
      </c>
      <c r="BI191" s="228">
        <v>405</v>
      </c>
      <c r="BJ191" s="228">
        <v>701</v>
      </c>
      <c r="BK191" s="228">
        <v>-297</v>
      </c>
      <c r="BL191" s="229">
        <v>-0.42330000000000001</v>
      </c>
      <c r="BM191" s="228">
        <v>286</v>
      </c>
      <c r="BN191" s="228">
        <v>356</v>
      </c>
      <c r="BO191" s="228">
        <v>-71</v>
      </c>
      <c r="BP191" s="229">
        <v>-0.19900000000000001</v>
      </c>
      <c r="BQ191" s="230">
        <v>1267</v>
      </c>
      <c r="BR191" s="230">
        <v>1703</v>
      </c>
      <c r="BS191" s="228">
        <v>-436</v>
      </c>
      <c r="BT191" s="229">
        <v>-0.25590000000000002</v>
      </c>
      <c r="BU191" s="230">
        <v>1767660</v>
      </c>
      <c r="BV191" s="230">
        <v>756913</v>
      </c>
      <c r="BW191" s="230">
        <v>1010747</v>
      </c>
      <c r="BX191" s="229">
        <v>1.3353999999999999</v>
      </c>
      <c r="BY191" s="230">
        <v>1133</v>
      </c>
      <c r="BZ191" s="230">
        <v>1247</v>
      </c>
      <c r="CA191" s="228">
        <v>-114</v>
      </c>
      <c r="CB191" s="229">
        <v>-9.1399999999999995E-2</v>
      </c>
      <c r="CC191" s="228">
        <v>104</v>
      </c>
      <c r="CD191" s="228">
        <v>196</v>
      </c>
      <c r="CE191" s="228">
        <v>-92</v>
      </c>
      <c r="CF191" s="229">
        <v>-0.46750000000000003</v>
      </c>
      <c r="CG191" s="230">
        <v>1090</v>
      </c>
      <c r="CH191" s="230">
        <v>1014</v>
      </c>
      <c r="CI191" s="228">
        <v>76</v>
      </c>
      <c r="CJ191" s="229">
        <v>7.4899999999999994E-2</v>
      </c>
      <c r="CK191" s="228">
        <v>43</v>
      </c>
      <c r="CL191" s="228">
        <v>37</v>
      </c>
      <c r="CM191" s="228">
        <v>6</v>
      </c>
      <c r="CN191" s="229">
        <v>0.16900000000000001</v>
      </c>
      <c r="CO191" s="228">
        <v>348</v>
      </c>
      <c r="CP191" s="228">
        <v>908</v>
      </c>
      <c r="CQ191" s="228">
        <v>-560</v>
      </c>
      <c r="CR191" s="229">
        <v>-0.6169</v>
      </c>
      <c r="CS191" s="228">
        <v>233</v>
      </c>
      <c r="CT191" s="228">
        <v>458</v>
      </c>
      <c r="CU191" s="228">
        <v>-225</v>
      </c>
      <c r="CV191" s="229">
        <v>-0.49180000000000001</v>
      </c>
      <c r="CW191" s="230">
        <v>1713</v>
      </c>
      <c r="CX191" s="230">
        <v>2613</v>
      </c>
      <c r="CY191" s="228">
        <v>-899</v>
      </c>
      <c r="CZ191" s="229">
        <v>-0.34420000000000001</v>
      </c>
      <c r="DA191" s="228">
        <v>24.75</v>
      </c>
      <c r="DB191" s="228">
        <v>25.27</v>
      </c>
      <c r="DC191" s="228">
        <v>-0.52</v>
      </c>
      <c r="DD191" s="228">
        <v>-0.52</v>
      </c>
      <c r="DE191" s="228">
        <v>31.45</v>
      </c>
      <c r="DF191" s="228">
        <v>31.52</v>
      </c>
      <c r="DG191" s="228">
        <v>-6.7</v>
      </c>
      <c r="DH191" s="228">
        <v>-7.0000000000000007E-2</v>
      </c>
      <c r="DI191" s="228">
        <v>25.47</v>
      </c>
      <c r="DJ191" s="228">
        <v>26.32</v>
      </c>
      <c r="DK191" s="228">
        <v>-0.85</v>
      </c>
      <c r="DL191" s="228">
        <v>-0.85</v>
      </c>
      <c r="DM191" s="228">
        <v>23.49</v>
      </c>
      <c r="DN191" s="228">
        <v>23.92</v>
      </c>
      <c r="DO191" s="228">
        <v>-0.43</v>
      </c>
      <c r="DP191" s="228">
        <v>-0.43</v>
      </c>
      <c r="DQ191" s="228">
        <v>0.67</v>
      </c>
      <c r="DR191" s="228">
        <v>0.5</v>
      </c>
      <c r="DS191" s="228">
        <v>0.17</v>
      </c>
      <c r="DT191" s="229">
        <v>0.34</v>
      </c>
      <c r="DU191" s="228">
        <v>900</v>
      </c>
      <c r="DV191" s="228">
        <v>800</v>
      </c>
      <c r="DW191" s="228">
        <v>0.71</v>
      </c>
      <c r="DX191" s="228">
        <v>0.51</v>
      </c>
      <c r="DY191" s="228">
        <v>0.2</v>
      </c>
      <c r="DZ191" s="229">
        <v>0.39219999999999999</v>
      </c>
      <c r="EA191" s="229">
        <v>0.91559999999999997</v>
      </c>
      <c r="EB191" s="230">
        <v>12990400</v>
      </c>
      <c r="EC191" s="229">
        <v>2E-3</v>
      </c>
      <c r="ED191" s="229">
        <v>0.91559999999999997</v>
      </c>
      <c r="EE191" s="228">
        <v>0.62</v>
      </c>
      <c r="EF191" s="229">
        <v>8.0000000000000004E-4</v>
      </c>
      <c r="EG191" s="230">
        <v>990918</v>
      </c>
      <c r="EH191" s="230">
        <v>310019</v>
      </c>
      <c r="EI191" s="229">
        <v>2.1962999999999999</v>
      </c>
      <c r="EJ191" s="229">
        <v>0.56059999999999999</v>
      </c>
      <c r="EK191" s="228">
        <v>440.01</v>
      </c>
      <c r="EL191" s="228">
        <v>301.67</v>
      </c>
      <c r="EM191" s="228">
        <v>576.85</v>
      </c>
      <c r="EN191" s="228">
        <v>0</v>
      </c>
      <c r="EO191" s="231">
        <v>1318.53</v>
      </c>
      <c r="EP191" s="231">
        <v>1795.46</v>
      </c>
      <c r="EQ191" s="228">
        <v>-476.93</v>
      </c>
      <c r="ER191" s="229">
        <v>-0.2656</v>
      </c>
      <c r="ES191" s="228">
        <v>389.64</v>
      </c>
      <c r="ET191" s="228">
        <v>235.14</v>
      </c>
      <c r="EU191" s="231">
        <v>1132.96</v>
      </c>
      <c r="EV191" s="231">
        <v>59744408</v>
      </c>
      <c r="EW191" s="231">
        <v>1757.74</v>
      </c>
      <c r="EX191" s="231">
        <v>2798.32</v>
      </c>
      <c r="EY191" s="231">
        <v>-1040.58</v>
      </c>
      <c r="EZ191" s="229">
        <v>-0.37190000000000001</v>
      </c>
      <c r="FA191" s="229">
        <v>0.35449999999999998</v>
      </c>
      <c r="FB191" s="227" t="s">
        <v>568</v>
      </c>
      <c r="FC191">
        <f t="shared" si="3"/>
        <v>0</v>
      </c>
    </row>
    <row r="192" spans="1:159" ht="17.25" thickBot="1" x14ac:dyDescent="0.3">
      <c r="A192" s="226">
        <v>45869</v>
      </c>
      <c r="B192" s="227" t="s">
        <v>175</v>
      </c>
      <c r="C192" s="227" t="s">
        <v>462</v>
      </c>
      <c r="D192" s="228">
        <v>375</v>
      </c>
      <c r="E192" s="228">
        <v>0</v>
      </c>
      <c r="F192" s="231">
        <v>1849.6</v>
      </c>
      <c r="G192" s="231">
        <v>1848.1</v>
      </c>
      <c r="H192" s="228">
        <v>1.5</v>
      </c>
      <c r="I192" s="229">
        <v>8.0000000000000004E-4</v>
      </c>
      <c r="J192" s="231">
        <v>1840.7</v>
      </c>
      <c r="K192" s="231">
        <v>1839.1</v>
      </c>
      <c r="L192" s="228">
        <v>1.6</v>
      </c>
      <c r="M192" s="229">
        <v>8.9999999999999998E-4</v>
      </c>
      <c r="N192" s="231">
        <v>1841</v>
      </c>
      <c r="O192" s="231">
        <v>1837.2</v>
      </c>
      <c r="P192" s="228">
        <v>3.8</v>
      </c>
      <c r="Q192" s="229">
        <v>2.0999999999999999E-3</v>
      </c>
      <c r="R192" s="231">
        <v>1849.6</v>
      </c>
      <c r="S192" s="231">
        <v>1848.1</v>
      </c>
      <c r="T192" s="228">
        <v>1.5</v>
      </c>
      <c r="U192" s="229">
        <v>8.0000000000000004E-4</v>
      </c>
      <c r="V192" s="231">
        <v>1859.8</v>
      </c>
      <c r="W192" s="231">
        <v>1855.7</v>
      </c>
      <c r="X192" s="228">
        <v>4.0999999999999996</v>
      </c>
      <c r="Y192" s="229">
        <v>2.2000000000000001E-3</v>
      </c>
      <c r="Z192" s="228">
        <v>8.9</v>
      </c>
      <c r="AA192" s="228">
        <v>-1.9</v>
      </c>
      <c r="AB192" s="228">
        <v>10.8</v>
      </c>
      <c r="AC192" s="229">
        <v>4.7999999999999996E-3</v>
      </c>
      <c r="AD192" s="228">
        <v>0.3</v>
      </c>
      <c r="AE192" s="228">
        <v>-1.9</v>
      </c>
      <c r="AF192" s="228">
        <v>2.2000000000000002</v>
      </c>
      <c r="AG192" s="229">
        <v>2.0000000000000001E-4</v>
      </c>
      <c r="AH192" s="228">
        <v>8.9</v>
      </c>
      <c r="AI192" s="228">
        <v>9</v>
      </c>
      <c r="AJ192" s="228">
        <v>-0.1</v>
      </c>
      <c r="AK192" s="229">
        <v>4.7999999999999996E-3</v>
      </c>
      <c r="AL192" s="228">
        <v>19.100000000000001</v>
      </c>
      <c r="AM192" s="228">
        <v>16.600000000000001</v>
      </c>
      <c r="AN192" s="228">
        <v>2.5</v>
      </c>
      <c r="AO192" s="229">
        <v>1.04E-2</v>
      </c>
      <c r="AP192" s="231">
        <v>1838.28</v>
      </c>
      <c r="AQ192" s="231">
        <v>1848.14</v>
      </c>
      <c r="AR192" s="228">
        <v>0</v>
      </c>
      <c r="AS192" s="228">
        <v>488</v>
      </c>
      <c r="AT192" s="228">
        <v>701</v>
      </c>
      <c r="AU192" s="228">
        <v>-214</v>
      </c>
      <c r="AV192" s="229">
        <v>-0.30459999999999998</v>
      </c>
      <c r="AW192" s="228">
        <v>205</v>
      </c>
      <c r="AX192" s="228">
        <v>335</v>
      </c>
      <c r="AY192" s="228">
        <v>-129</v>
      </c>
      <c r="AZ192" s="229">
        <v>-0.38669999999999999</v>
      </c>
      <c r="BA192" s="228">
        <v>279</v>
      </c>
      <c r="BB192" s="228">
        <v>365</v>
      </c>
      <c r="BC192" s="228">
        <v>-86</v>
      </c>
      <c r="BD192" s="229">
        <v>-0.23480000000000001</v>
      </c>
      <c r="BE192" s="228">
        <v>3</v>
      </c>
      <c r="BF192" s="228">
        <v>1</v>
      </c>
      <c r="BG192" s="228">
        <v>2</v>
      </c>
      <c r="BH192" s="229">
        <v>1.2104999999999999</v>
      </c>
      <c r="BI192" s="228">
        <v>630</v>
      </c>
      <c r="BJ192" s="228">
        <v>590</v>
      </c>
      <c r="BK192" s="228">
        <v>40</v>
      </c>
      <c r="BL192" s="229">
        <v>6.8599999999999994E-2</v>
      </c>
      <c r="BM192" s="228">
        <v>256</v>
      </c>
      <c r="BN192" s="228">
        <v>266</v>
      </c>
      <c r="BO192" s="228">
        <v>-9</v>
      </c>
      <c r="BP192" s="229">
        <v>-3.4700000000000002E-2</v>
      </c>
      <c r="BQ192" s="230">
        <v>1374</v>
      </c>
      <c r="BR192" s="230">
        <v>1556</v>
      </c>
      <c r="BS192" s="228">
        <v>-182</v>
      </c>
      <c r="BT192" s="229">
        <v>-0.1172</v>
      </c>
      <c r="BU192" s="230">
        <v>1889794</v>
      </c>
      <c r="BV192" s="230">
        <v>486534</v>
      </c>
      <c r="BW192" s="230">
        <v>1403260</v>
      </c>
      <c r="BX192" s="229">
        <v>2.8841999999999999</v>
      </c>
      <c r="BY192" s="230">
        <v>1302</v>
      </c>
      <c r="BZ192" s="230">
        <v>1331</v>
      </c>
      <c r="CA192" s="228">
        <v>-29</v>
      </c>
      <c r="CB192" s="229">
        <v>-2.18E-2</v>
      </c>
      <c r="CC192" s="228">
        <v>77</v>
      </c>
      <c r="CD192" s="228">
        <v>122</v>
      </c>
      <c r="CE192" s="228">
        <v>-45</v>
      </c>
      <c r="CF192" s="229">
        <v>-0.3679</v>
      </c>
      <c r="CG192" s="230">
        <v>1295</v>
      </c>
      <c r="CH192" s="230">
        <v>1203</v>
      </c>
      <c r="CI192" s="228">
        <v>92</v>
      </c>
      <c r="CJ192" s="229">
        <v>7.6600000000000001E-2</v>
      </c>
      <c r="CK192" s="228">
        <v>7</v>
      </c>
      <c r="CL192" s="228">
        <v>6</v>
      </c>
      <c r="CM192" s="228">
        <v>1</v>
      </c>
      <c r="CN192" s="229">
        <v>0.1011</v>
      </c>
      <c r="CO192" s="228">
        <v>131</v>
      </c>
      <c r="CP192" s="228">
        <v>890</v>
      </c>
      <c r="CQ192" s="228">
        <v>-759</v>
      </c>
      <c r="CR192" s="229">
        <v>-0.85289999999999999</v>
      </c>
      <c r="CS192" s="228">
        <v>75</v>
      </c>
      <c r="CT192" s="228">
        <v>299</v>
      </c>
      <c r="CU192" s="228">
        <v>-224</v>
      </c>
      <c r="CV192" s="229">
        <v>-0.75019999999999998</v>
      </c>
      <c r="CW192" s="230">
        <v>1508</v>
      </c>
      <c r="CX192" s="230">
        <v>2520</v>
      </c>
      <c r="CY192" s="230">
        <v>-1013</v>
      </c>
      <c r="CZ192" s="229">
        <v>-0.40189999999999998</v>
      </c>
      <c r="DA192" s="228">
        <v>21.32</v>
      </c>
      <c r="DB192" s="228">
        <v>20.96</v>
      </c>
      <c r="DC192" s="228">
        <v>0.36</v>
      </c>
      <c r="DD192" s="228">
        <v>0.36</v>
      </c>
      <c r="DE192" s="228">
        <v>27.4</v>
      </c>
      <c r="DF192" s="228">
        <v>27.46</v>
      </c>
      <c r="DG192" s="228">
        <v>-6.08</v>
      </c>
      <c r="DH192" s="228">
        <v>-0.06</v>
      </c>
      <c r="DI192" s="228">
        <v>21.23</v>
      </c>
      <c r="DJ192" s="228">
        <v>20.94</v>
      </c>
      <c r="DK192" s="228">
        <v>0.28999999999999998</v>
      </c>
      <c r="DL192" s="228">
        <v>0.28999999999999998</v>
      </c>
      <c r="DM192" s="228">
        <v>21.52</v>
      </c>
      <c r="DN192" s="228">
        <v>21</v>
      </c>
      <c r="DO192" s="228">
        <v>0.52</v>
      </c>
      <c r="DP192" s="228">
        <v>0.52</v>
      </c>
      <c r="DQ192" s="228">
        <v>0.56999999999999995</v>
      </c>
      <c r="DR192" s="228">
        <v>0.34</v>
      </c>
      <c r="DS192" s="228">
        <v>0.23</v>
      </c>
      <c r="DT192" s="229">
        <v>0.67649999999999999</v>
      </c>
      <c r="DU192" s="231">
        <v>1860</v>
      </c>
      <c r="DV192" s="231">
        <v>1800</v>
      </c>
      <c r="DW192" s="228">
        <v>0.41</v>
      </c>
      <c r="DX192" s="228">
        <v>0.45</v>
      </c>
      <c r="DY192" s="228">
        <v>-0.04</v>
      </c>
      <c r="DZ192" s="229">
        <v>-8.8900000000000007E-2</v>
      </c>
      <c r="EA192" s="229">
        <v>0.94420000000000004</v>
      </c>
      <c r="EB192" s="230">
        <v>6537750</v>
      </c>
      <c r="EC192" s="229">
        <v>4.7000000000000002E-3</v>
      </c>
      <c r="ED192" s="229">
        <v>0.94420000000000004</v>
      </c>
      <c r="EE192" s="228">
        <v>9.86</v>
      </c>
      <c r="EF192" s="229">
        <v>5.4000000000000003E-3</v>
      </c>
      <c r="EG192" s="230">
        <v>1091990</v>
      </c>
      <c r="EH192" s="230">
        <v>267348</v>
      </c>
      <c r="EI192" s="229">
        <v>3.0844999999999998</v>
      </c>
      <c r="EJ192" s="229">
        <v>0.57779999999999998</v>
      </c>
      <c r="EK192" s="228">
        <v>641.21</v>
      </c>
      <c r="EL192" s="228">
        <v>252.23</v>
      </c>
      <c r="EM192" s="228">
        <v>486.07</v>
      </c>
      <c r="EN192" s="228">
        <v>0</v>
      </c>
      <c r="EO192" s="231">
        <v>1379.51</v>
      </c>
      <c r="EP192" s="231">
        <v>1556.48</v>
      </c>
      <c r="EQ192" s="228">
        <v>-176.98</v>
      </c>
      <c r="ER192" s="229">
        <v>-0.1137</v>
      </c>
      <c r="ES192" s="228">
        <v>134.38999999999999</v>
      </c>
      <c r="ET192" s="228">
        <v>72.2</v>
      </c>
      <c r="EU192" s="231">
        <v>1301.99</v>
      </c>
      <c r="EV192" s="231">
        <v>89427016</v>
      </c>
      <c r="EW192" s="231">
        <v>1508.58</v>
      </c>
      <c r="EX192" s="231">
        <v>2523.64</v>
      </c>
      <c r="EY192" s="231">
        <v>-1015.06</v>
      </c>
      <c r="EZ192" s="229">
        <v>-0.4022</v>
      </c>
      <c r="FA192" s="229">
        <v>9.11E-2</v>
      </c>
      <c r="FB192" s="227" t="s">
        <v>556</v>
      </c>
      <c r="FC192">
        <f t="shared" si="3"/>
        <v>0</v>
      </c>
    </row>
    <row r="193" spans="1:159" ht="17.25" thickBot="1" x14ac:dyDescent="0.3">
      <c r="A193" s="226">
        <v>45869</v>
      </c>
      <c r="B193" s="227" t="s">
        <v>172</v>
      </c>
      <c r="C193" s="227" t="s">
        <v>283</v>
      </c>
      <c r="D193" s="228">
        <v>750</v>
      </c>
      <c r="E193" s="228">
        <v>0</v>
      </c>
      <c r="F193" s="228">
        <v>801.1</v>
      </c>
      <c r="G193" s="228">
        <v>805.7</v>
      </c>
      <c r="H193" s="228">
        <v>-4.5999999999999996</v>
      </c>
      <c r="I193" s="229">
        <v>-5.7000000000000002E-3</v>
      </c>
      <c r="J193" s="228">
        <v>796.55</v>
      </c>
      <c r="K193" s="228">
        <v>801.65</v>
      </c>
      <c r="L193" s="228">
        <v>-5.0999999999999996</v>
      </c>
      <c r="M193" s="229">
        <v>-6.4000000000000003E-3</v>
      </c>
      <c r="N193" s="228">
        <v>796.25</v>
      </c>
      <c r="O193" s="228">
        <v>801.5</v>
      </c>
      <c r="P193" s="228">
        <v>-5.25</v>
      </c>
      <c r="Q193" s="229">
        <v>-6.6E-3</v>
      </c>
      <c r="R193" s="228">
        <v>801.1</v>
      </c>
      <c r="S193" s="228">
        <v>805.7</v>
      </c>
      <c r="T193" s="228">
        <v>-4.5999999999999996</v>
      </c>
      <c r="U193" s="229">
        <v>-5.7000000000000002E-3</v>
      </c>
      <c r="V193" s="228">
        <v>805.65</v>
      </c>
      <c r="W193" s="228">
        <v>809.9</v>
      </c>
      <c r="X193" s="228">
        <v>-4.25</v>
      </c>
      <c r="Y193" s="229">
        <v>-5.1999999999999998E-3</v>
      </c>
      <c r="Z193" s="228">
        <v>4.55</v>
      </c>
      <c r="AA193" s="228">
        <v>-0.15</v>
      </c>
      <c r="AB193" s="228">
        <v>4.7</v>
      </c>
      <c r="AC193" s="229">
        <v>5.7000000000000002E-3</v>
      </c>
      <c r="AD193" s="228">
        <v>-0.3</v>
      </c>
      <c r="AE193" s="228">
        <v>-0.15</v>
      </c>
      <c r="AF193" s="228">
        <v>-0.15</v>
      </c>
      <c r="AG193" s="229">
        <v>-4.0000000000000002E-4</v>
      </c>
      <c r="AH193" s="228">
        <v>4.55</v>
      </c>
      <c r="AI193" s="228">
        <v>4.05</v>
      </c>
      <c r="AJ193" s="228">
        <v>0.5</v>
      </c>
      <c r="AK193" s="229">
        <v>5.7000000000000002E-3</v>
      </c>
      <c r="AL193" s="228">
        <v>9.1</v>
      </c>
      <c r="AM193" s="228">
        <v>8.25</v>
      </c>
      <c r="AN193" s="228">
        <v>0.85</v>
      </c>
      <c r="AO193" s="229">
        <v>1.14E-2</v>
      </c>
      <c r="AP193" s="228">
        <v>798.29</v>
      </c>
      <c r="AQ193" s="228">
        <v>802.2</v>
      </c>
      <c r="AR193" s="228">
        <v>0</v>
      </c>
      <c r="AS193" s="230">
        <v>4486</v>
      </c>
      <c r="AT193" s="230">
        <v>4366</v>
      </c>
      <c r="AU193" s="228">
        <v>120</v>
      </c>
      <c r="AV193" s="229">
        <v>2.7400000000000001E-2</v>
      </c>
      <c r="AW193" s="230">
        <v>1846</v>
      </c>
      <c r="AX193" s="230">
        <v>2174</v>
      </c>
      <c r="AY193" s="228">
        <v>-328</v>
      </c>
      <c r="AZ193" s="229">
        <v>-0.15090000000000001</v>
      </c>
      <c r="BA193" s="230">
        <v>2562</v>
      </c>
      <c r="BB193" s="230">
        <v>2161</v>
      </c>
      <c r="BC193" s="228">
        <v>401</v>
      </c>
      <c r="BD193" s="229">
        <v>0.18540000000000001</v>
      </c>
      <c r="BE193" s="228">
        <v>78</v>
      </c>
      <c r="BF193" s="228">
        <v>31</v>
      </c>
      <c r="BG193" s="228">
        <v>47</v>
      </c>
      <c r="BH193" s="229">
        <v>1.4923</v>
      </c>
      <c r="BI193" s="230">
        <v>5122</v>
      </c>
      <c r="BJ193" s="230">
        <v>6790</v>
      </c>
      <c r="BK193" s="230">
        <v>-1668</v>
      </c>
      <c r="BL193" s="229">
        <v>-0.2457</v>
      </c>
      <c r="BM193" s="230">
        <v>3355</v>
      </c>
      <c r="BN193" s="230">
        <v>3867</v>
      </c>
      <c r="BO193" s="228">
        <v>-512</v>
      </c>
      <c r="BP193" s="229">
        <v>-0.13250000000000001</v>
      </c>
      <c r="BQ193" s="230">
        <v>12962</v>
      </c>
      <c r="BR193" s="230">
        <v>15023</v>
      </c>
      <c r="BS193" s="230">
        <v>-2061</v>
      </c>
      <c r="BT193" s="229">
        <v>-0.13719999999999999</v>
      </c>
      <c r="BU193" s="230">
        <v>11737683</v>
      </c>
      <c r="BV193" s="230">
        <v>8898086</v>
      </c>
      <c r="BW193" s="230">
        <v>2839597</v>
      </c>
      <c r="BX193" s="229">
        <v>0.31909999999999999</v>
      </c>
      <c r="BY193" s="230">
        <v>8933</v>
      </c>
      <c r="BZ193" s="230">
        <v>9488</v>
      </c>
      <c r="CA193" s="228">
        <v>-554</v>
      </c>
      <c r="CB193" s="229">
        <v>-5.8400000000000001E-2</v>
      </c>
      <c r="CC193" s="228">
        <v>751</v>
      </c>
      <c r="CD193" s="230">
        <v>1913</v>
      </c>
      <c r="CE193" s="230">
        <v>-1162</v>
      </c>
      <c r="CF193" s="229">
        <v>-0.60729999999999995</v>
      </c>
      <c r="CG193" s="230">
        <v>8764</v>
      </c>
      <c r="CH193" s="230">
        <v>7443</v>
      </c>
      <c r="CI193" s="230">
        <v>1321</v>
      </c>
      <c r="CJ193" s="229">
        <v>0.17749999999999999</v>
      </c>
      <c r="CK193" s="228">
        <v>169</v>
      </c>
      <c r="CL193" s="228">
        <v>132</v>
      </c>
      <c r="CM193" s="228">
        <v>37</v>
      </c>
      <c r="CN193" s="229">
        <v>0.2848</v>
      </c>
      <c r="CO193" s="230">
        <v>2646</v>
      </c>
      <c r="CP193" s="230">
        <v>6945</v>
      </c>
      <c r="CQ193" s="230">
        <v>-4298</v>
      </c>
      <c r="CR193" s="229">
        <v>-0.61899999999999999</v>
      </c>
      <c r="CS193" s="230">
        <v>2367</v>
      </c>
      <c r="CT193" s="230">
        <v>3474</v>
      </c>
      <c r="CU193" s="230">
        <v>-1107</v>
      </c>
      <c r="CV193" s="229">
        <v>-0.31869999999999998</v>
      </c>
      <c r="CW193" s="230">
        <v>13946</v>
      </c>
      <c r="CX193" s="230">
        <v>19906</v>
      </c>
      <c r="CY193" s="230">
        <v>-5960</v>
      </c>
      <c r="CZ193" s="229">
        <v>-0.2994</v>
      </c>
      <c r="DA193" s="228">
        <v>20.89</v>
      </c>
      <c r="DB193" s="228">
        <v>20.78</v>
      </c>
      <c r="DC193" s="228">
        <v>0.11</v>
      </c>
      <c r="DD193" s="228">
        <v>0.11</v>
      </c>
      <c r="DE193" s="228">
        <v>28.4</v>
      </c>
      <c r="DF193" s="228">
        <v>28.46</v>
      </c>
      <c r="DG193" s="228">
        <v>-7.51</v>
      </c>
      <c r="DH193" s="228">
        <v>-0.06</v>
      </c>
      <c r="DI193" s="228">
        <v>21</v>
      </c>
      <c r="DJ193" s="228">
        <v>21.04</v>
      </c>
      <c r="DK193" s="228">
        <v>-0.04</v>
      </c>
      <c r="DL193" s="228">
        <v>-0.04</v>
      </c>
      <c r="DM193" s="228">
        <v>20.71</v>
      </c>
      <c r="DN193" s="228">
        <v>20.46</v>
      </c>
      <c r="DO193" s="228">
        <v>0.25</v>
      </c>
      <c r="DP193" s="228">
        <v>0.25</v>
      </c>
      <c r="DQ193" s="228">
        <v>0.89</v>
      </c>
      <c r="DR193" s="228">
        <v>0.5</v>
      </c>
      <c r="DS193" s="228">
        <v>0.39</v>
      </c>
      <c r="DT193" s="229">
        <v>0.78</v>
      </c>
      <c r="DU193" s="228">
        <v>820</v>
      </c>
      <c r="DV193" s="228">
        <v>820</v>
      </c>
      <c r="DW193" s="228">
        <v>0.65</v>
      </c>
      <c r="DX193" s="228">
        <v>0.56999999999999995</v>
      </c>
      <c r="DY193" s="228">
        <v>0.08</v>
      </c>
      <c r="DZ193" s="229">
        <v>0.1404</v>
      </c>
      <c r="EA193" s="229">
        <v>0.9224</v>
      </c>
      <c r="EB193" s="230">
        <v>94554000</v>
      </c>
      <c r="EC193" s="229">
        <v>6.1000000000000004E-3</v>
      </c>
      <c r="ED193" s="229">
        <v>0.9224</v>
      </c>
      <c r="EE193" s="228">
        <v>3.91</v>
      </c>
      <c r="EF193" s="229">
        <v>4.8999999999999998E-3</v>
      </c>
      <c r="EG193" s="230">
        <v>6192768</v>
      </c>
      <c r="EH193" s="230">
        <v>5512724</v>
      </c>
      <c r="EI193" s="229">
        <v>0.1234</v>
      </c>
      <c r="EJ193" s="229">
        <v>0.52759999999999996</v>
      </c>
      <c r="EK193" s="231">
        <v>5292.48</v>
      </c>
      <c r="EL193" s="231">
        <v>3387.15</v>
      </c>
      <c r="EM193" s="231">
        <v>4483.49</v>
      </c>
      <c r="EN193" s="228">
        <v>0</v>
      </c>
      <c r="EO193" s="231">
        <v>13163.12</v>
      </c>
      <c r="EP193" s="231">
        <v>15295.05</v>
      </c>
      <c r="EQ193" s="231">
        <v>-2131.9299999999998</v>
      </c>
      <c r="ER193" s="229">
        <v>-0.1394</v>
      </c>
      <c r="ES193" s="231">
        <v>2754.41</v>
      </c>
      <c r="ET193" s="231">
        <v>2371.61</v>
      </c>
      <c r="EU193" s="231">
        <v>8934.15</v>
      </c>
      <c r="EV193" s="231">
        <v>753011455</v>
      </c>
      <c r="EW193" s="231">
        <v>14060.17</v>
      </c>
      <c r="EX193" s="231">
        <v>20256.48</v>
      </c>
      <c r="EY193" s="231">
        <v>-6196.31</v>
      </c>
      <c r="EZ193" s="229">
        <v>-0.30590000000000001</v>
      </c>
      <c r="FA193" s="229">
        <v>0.23119999999999999</v>
      </c>
      <c r="FB193" s="227" t="s">
        <v>568</v>
      </c>
      <c r="FC193">
        <f t="shared" si="3"/>
        <v>0</v>
      </c>
    </row>
    <row r="194" spans="1:159" ht="17.25" thickBot="1" x14ac:dyDescent="0.3">
      <c r="A194" s="226">
        <v>45869</v>
      </c>
      <c r="B194" s="227" t="s">
        <v>157</v>
      </c>
      <c r="C194" s="227" t="s">
        <v>284</v>
      </c>
      <c r="D194" s="228">
        <v>25</v>
      </c>
      <c r="E194" s="228">
        <v>0</v>
      </c>
      <c r="F194" s="231">
        <v>30880</v>
      </c>
      <c r="G194" s="231">
        <v>30735</v>
      </c>
      <c r="H194" s="228">
        <v>145</v>
      </c>
      <c r="I194" s="229">
        <v>4.7000000000000002E-3</v>
      </c>
      <c r="J194" s="231">
        <v>30810</v>
      </c>
      <c r="K194" s="231">
        <v>30590</v>
      </c>
      <c r="L194" s="228">
        <v>220</v>
      </c>
      <c r="M194" s="229">
        <v>7.1999999999999998E-3</v>
      </c>
      <c r="N194" s="231">
        <v>30870</v>
      </c>
      <c r="O194" s="231">
        <v>30595</v>
      </c>
      <c r="P194" s="228">
        <v>275</v>
      </c>
      <c r="Q194" s="229">
        <v>8.9999999999999993E-3</v>
      </c>
      <c r="R194" s="231">
        <v>30880</v>
      </c>
      <c r="S194" s="231">
        <v>30735</v>
      </c>
      <c r="T194" s="228">
        <v>145</v>
      </c>
      <c r="U194" s="229">
        <v>4.7000000000000002E-3</v>
      </c>
      <c r="V194" s="231">
        <v>31025</v>
      </c>
      <c r="W194" s="231">
        <v>30710</v>
      </c>
      <c r="X194" s="228">
        <v>315</v>
      </c>
      <c r="Y194" s="229">
        <v>1.03E-2</v>
      </c>
      <c r="Z194" s="228">
        <v>70</v>
      </c>
      <c r="AA194" s="228">
        <v>5</v>
      </c>
      <c r="AB194" s="228">
        <v>65</v>
      </c>
      <c r="AC194" s="229">
        <v>2.3E-3</v>
      </c>
      <c r="AD194" s="228">
        <v>60</v>
      </c>
      <c r="AE194" s="228">
        <v>5</v>
      </c>
      <c r="AF194" s="228">
        <v>55</v>
      </c>
      <c r="AG194" s="229">
        <v>1.9E-3</v>
      </c>
      <c r="AH194" s="228">
        <v>70</v>
      </c>
      <c r="AI194" s="228">
        <v>145</v>
      </c>
      <c r="AJ194" s="228">
        <v>-75</v>
      </c>
      <c r="AK194" s="229">
        <v>2.3E-3</v>
      </c>
      <c r="AL194" s="228">
        <v>215</v>
      </c>
      <c r="AM194" s="228">
        <v>120</v>
      </c>
      <c r="AN194" s="228">
        <v>95</v>
      </c>
      <c r="AO194" s="229">
        <v>7.0000000000000001E-3</v>
      </c>
      <c r="AP194" s="231">
        <v>30827.56</v>
      </c>
      <c r="AQ194" s="231">
        <v>30922.83</v>
      </c>
      <c r="AR194" s="228">
        <v>0</v>
      </c>
      <c r="AS194" s="228">
        <v>419</v>
      </c>
      <c r="AT194" s="228">
        <v>560</v>
      </c>
      <c r="AU194" s="228">
        <v>-142</v>
      </c>
      <c r="AV194" s="229">
        <v>-0.25259999999999999</v>
      </c>
      <c r="AW194" s="228">
        <v>161</v>
      </c>
      <c r="AX194" s="228">
        <v>246</v>
      </c>
      <c r="AY194" s="228">
        <v>-85</v>
      </c>
      <c r="AZ194" s="229">
        <v>-0.34720000000000001</v>
      </c>
      <c r="BA194" s="228">
        <v>258</v>
      </c>
      <c r="BB194" s="228">
        <v>313</v>
      </c>
      <c r="BC194" s="228">
        <v>-55</v>
      </c>
      <c r="BD194" s="229">
        <v>-0.17580000000000001</v>
      </c>
      <c r="BE194" s="228">
        <v>0</v>
      </c>
      <c r="BF194" s="228">
        <v>1</v>
      </c>
      <c r="BG194" s="228">
        <v>-1</v>
      </c>
      <c r="BH194" s="229">
        <v>-0.82350000000000001</v>
      </c>
      <c r="BI194" s="228">
        <v>355</v>
      </c>
      <c r="BJ194" s="228">
        <v>691</v>
      </c>
      <c r="BK194" s="228">
        <v>-337</v>
      </c>
      <c r="BL194" s="229">
        <v>-0.4869</v>
      </c>
      <c r="BM194" s="228">
        <v>144</v>
      </c>
      <c r="BN194" s="228">
        <v>349</v>
      </c>
      <c r="BO194" s="228">
        <v>-205</v>
      </c>
      <c r="BP194" s="229">
        <v>-0.58850000000000002</v>
      </c>
      <c r="BQ194" s="228">
        <v>917</v>
      </c>
      <c r="BR194" s="230">
        <v>1600</v>
      </c>
      <c r="BS194" s="228">
        <v>-683</v>
      </c>
      <c r="BT194" s="229">
        <v>-0.42709999999999998</v>
      </c>
      <c r="BU194" s="230">
        <v>15264</v>
      </c>
      <c r="BV194" s="230">
        <v>18924</v>
      </c>
      <c r="BW194" s="230">
        <v>-3660</v>
      </c>
      <c r="BX194" s="229">
        <v>-0.19339999999999999</v>
      </c>
      <c r="BY194" s="228">
        <v>779</v>
      </c>
      <c r="BZ194" s="228">
        <v>879</v>
      </c>
      <c r="CA194" s="228">
        <v>-100</v>
      </c>
      <c r="CB194" s="229">
        <v>-0.114</v>
      </c>
      <c r="CC194" s="228">
        <v>44</v>
      </c>
      <c r="CD194" s="228">
        <v>126</v>
      </c>
      <c r="CE194" s="228">
        <v>-81</v>
      </c>
      <c r="CF194" s="229">
        <v>-0.6462</v>
      </c>
      <c r="CG194" s="228">
        <v>776</v>
      </c>
      <c r="CH194" s="228">
        <v>751</v>
      </c>
      <c r="CI194" s="228">
        <v>26</v>
      </c>
      <c r="CJ194" s="229">
        <v>3.4000000000000002E-2</v>
      </c>
      <c r="CK194" s="228">
        <v>2</v>
      </c>
      <c r="CL194" s="228">
        <v>3</v>
      </c>
      <c r="CM194" s="228">
        <v>0</v>
      </c>
      <c r="CN194" s="229">
        <v>-3.0300000000000001E-2</v>
      </c>
      <c r="CO194" s="228">
        <v>74</v>
      </c>
      <c r="CP194" s="228">
        <v>433</v>
      </c>
      <c r="CQ194" s="228">
        <v>-359</v>
      </c>
      <c r="CR194" s="229">
        <v>-0.82879999999999998</v>
      </c>
      <c r="CS194" s="228">
        <v>35</v>
      </c>
      <c r="CT194" s="228">
        <v>190</v>
      </c>
      <c r="CU194" s="228">
        <v>-155</v>
      </c>
      <c r="CV194" s="229">
        <v>-0.81540000000000001</v>
      </c>
      <c r="CW194" s="228">
        <v>888</v>
      </c>
      <c r="CX194" s="230">
        <v>1502</v>
      </c>
      <c r="CY194" s="228">
        <v>-614</v>
      </c>
      <c r="CZ194" s="229">
        <v>-0.4088</v>
      </c>
      <c r="DA194" s="228">
        <v>27.76</v>
      </c>
      <c r="DB194" s="228">
        <v>28.18</v>
      </c>
      <c r="DC194" s="228">
        <v>-0.42</v>
      </c>
      <c r="DD194" s="228">
        <v>-0.42</v>
      </c>
      <c r="DE194" s="228">
        <v>27.45</v>
      </c>
      <c r="DF194" s="228">
        <v>27.51</v>
      </c>
      <c r="DG194" s="228">
        <v>0.31</v>
      </c>
      <c r="DH194" s="228">
        <v>-0.06</v>
      </c>
      <c r="DI194" s="228">
        <v>27.75</v>
      </c>
      <c r="DJ194" s="228">
        <v>27.9</v>
      </c>
      <c r="DK194" s="228">
        <v>-0.15</v>
      </c>
      <c r="DL194" s="228">
        <v>-0.15</v>
      </c>
      <c r="DM194" s="228">
        <v>27.8</v>
      </c>
      <c r="DN194" s="228">
        <v>28.92</v>
      </c>
      <c r="DO194" s="228">
        <v>-1.1200000000000001</v>
      </c>
      <c r="DP194" s="228">
        <v>-1.1200000000000001</v>
      </c>
      <c r="DQ194" s="228">
        <v>0.47</v>
      </c>
      <c r="DR194" s="228">
        <v>0.44</v>
      </c>
      <c r="DS194" s="228">
        <v>0.03</v>
      </c>
      <c r="DT194" s="229">
        <v>6.8199999999999997E-2</v>
      </c>
      <c r="DU194" s="231">
        <v>33000</v>
      </c>
      <c r="DV194" s="231">
        <v>30000</v>
      </c>
      <c r="DW194" s="228">
        <v>0.4</v>
      </c>
      <c r="DX194" s="228">
        <v>0.5</v>
      </c>
      <c r="DY194" s="228">
        <v>-0.1</v>
      </c>
      <c r="DZ194" s="229">
        <v>-0.2</v>
      </c>
      <c r="EA194" s="229">
        <v>0.94599999999999995</v>
      </c>
      <c r="EB194" s="230">
        <v>243875</v>
      </c>
      <c r="EC194" s="229">
        <v>2.9999999999999997E-4</v>
      </c>
      <c r="ED194" s="229">
        <v>0.94599999999999995</v>
      </c>
      <c r="EE194" s="228">
        <v>95.27</v>
      </c>
      <c r="EF194" s="229">
        <v>3.0999999999999999E-3</v>
      </c>
      <c r="EG194" s="230">
        <v>6040</v>
      </c>
      <c r="EH194" s="230">
        <v>6713</v>
      </c>
      <c r="EI194" s="229">
        <v>-0.1003</v>
      </c>
      <c r="EJ194" s="229">
        <v>0.3957</v>
      </c>
      <c r="EK194" s="228">
        <v>371.16</v>
      </c>
      <c r="EL194" s="228">
        <v>138.34</v>
      </c>
      <c r="EM194" s="228">
        <v>418.74</v>
      </c>
      <c r="EN194" s="228">
        <v>0</v>
      </c>
      <c r="EO194" s="228">
        <v>928.24</v>
      </c>
      <c r="EP194" s="231">
        <v>1611.29</v>
      </c>
      <c r="EQ194" s="228">
        <v>-683.05</v>
      </c>
      <c r="ER194" s="229">
        <v>-0.4239</v>
      </c>
      <c r="ES194" s="228">
        <v>78.459999999999994</v>
      </c>
      <c r="ET194" s="228">
        <v>34.049999999999997</v>
      </c>
      <c r="EU194" s="228">
        <v>778.57</v>
      </c>
      <c r="EV194" s="231">
        <v>2702310</v>
      </c>
      <c r="EW194" s="228">
        <v>891.08</v>
      </c>
      <c r="EX194" s="231">
        <v>1513.76</v>
      </c>
      <c r="EY194" s="228">
        <v>-622.67999999999995</v>
      </c>
      <c r="EZ194" s="229">
        <v>-0.4113</v>
      </c>
      <c r="FA194" s="229">
        <v>0.10639999999999999</v>
      </c>
      <c r="FB194" s="227" t="s">
        <v>556</v>
      </c>
      <c r="FC194">
        <f t="shared" si="3"/>
        <v>0</v>
      </c>
    </row>
    <row r="195" spans="1:159" ht="17.25" thickBot="1" x14ac:dyDescent="0.3">
      <c r="A195" s="226">
        <v>45869</v>
      </c>
      <c r="B195" s="227" t="s">
        <v>175</v>
      </c>
      <c r="C195" s="227" t="s">
        <v>562</v>
      </c>
      <c r="D195" s="228">
        <v>825</v>
      </c>
      <c r="E195" s="228">
        <v>0</v>
      </c>
      <c r="F195" s="228">
        <v>634.25</v>
      </c>
      <c r="G195" s="228">
        <v>635.29999999999995</v>
      </c>
      <c r="H195" s="228">
        <v>-1.05</v>
      </c>
      <c r="I195" s="229">
        <v>-1.6999999999999999E-3</v>
      </c>
      <c r="J195" s="228">
        <v>630.85</v>
      </c>
      <c r="K195" s="228">
        <v>632.79999999999995</v>
      </c>
      <c r="L195" s="228">
        <v>-1.95</v>
      </c>
      <c r="M195" s="229">
        <v>-3.0999999999999999E-3</v>
      </c>
      <c r="N195" s="228">
        <v>630.45000000000005</v>
      </c>
      <c r="O195" s="228">
        <v>631.79999999999995</v>
      </c>
      <c r="P195" s="228">
        <v>-1.35</v>
      </c>
      <c r="Q195" s="229">
        <v>-2.0999999999999999E-3</v>
      </c>
      <c r="R195" s="228">
        <v>634.25</v>
      </c>
      <c r="S195" s="228">
        <v>635.29999999999995</v>
      </c>
      <c r="T195" s="228">
        <v>-1.05</v>
      </c>
      <c r="U195" s="229">
        <v>-1.6999999999999999E-3</v>
      </c>
      <c r="V195" s="228">
        <v>638</v>
      </c>
      <c r="W195" s="228">
        <v>639.35</v>
      </c>
      <c r="X195" s="228">
        <v>-1.35</v>
      </c>
      <c r="Y195" s="229">
        <v>-2.0999999999999999E-3</v>
      </c>
      <c r="Z195" s="228">
        <v>3.4</v>
      </c>
      <c r="AA195" s="228">
        <v>-1</v>
      </c>
      <c r="AB195" s="228">
        <v>4.4000000000000004</v>
      </c>
      <c r="AC195" s="229">
        <v>5.4000000000000003E-3</v>
      </c>
      <c r="AD195" s="228">
        <v>-0.4</v>
      </c>
      <c r="AE195" s="228">
        <v>-1</v>
      </c>
      <c r="AF195" s="228">
        <v>0.6</v>
      </c>
      <c r="AG195" s="229">
        <v>-5.9999999999999995E-4</v>
      </c>
      <c r="AH195" s="228">
        <v>3.4</v>
      </c>
      <c r="AI195" s="228">
        <v>2.5</v>
      </c>
      <c r="AJ195" s="228">
        <v>0.9</v>
      </c>
      <c r="AK195" s="229">
        <v>5.4000000000000003E-3</v>
      </c>
      <c r="AL195" s="228">
        <v>7.15</v>
      </c>
      <c r="AM195" s="228">
        <v>6.55</v>
      </c>
      <c r="AN195" s="228">
        <v>0.6</v>
      </c>
      <c r="AO195" s="229">
        <v>1.1299999999999999E-2</v>
      </c>
      <c r="AP195" s="228">
        <v>631.79999999999995</v>
      </c>
      <c r="AQ195" s="228">
        <v>635.35</v>
      </c>
      <c r="AR195" s="228">
        <v>0</v>
      </c>
      <c r="AS195" s="228">
        <v>988</v>
      </c>
      <c r="AT195" s="230">
        <v>1392</v>
      </c>
      <c r="AU195" s="228">
        <v>-405</v>
      </c>
      <c r="AV195" s="229">
        <v>-0.29060000000000002</v>
      </c>
      <c r="AW195" s="228">
        <v>360</v>
      </c>
      <c r="AX195" s="228">
        <v>686</v>
      </c>
      <c r="AY195" s="228">
        <v>-325</v>
      </c>
      <c r="AZ195" s="229">
        <v>-0.47449999999999998</v>
      </c>
      <c r="BA195" s="228">
        <v>617</v>
      </c>
      <c r="BB195" s="228">
        <v>699</v>
      </c>
      <c r="BC195" s="228">
        <v>-82</v>
      </c>
      <c r="BD195" s="229">
        <v>-0.1176</v>
      </c>
      <c r="BE195" s="228">
        <v>11</v>
      </c>
      <c r="BF195" s="228">
        <v>8</v>
      </c>
      <c r="BG195" s="228">
        <v>3</v>
      </c>
      <c r="BH195" s="229">
        <v>0.36180000000000001</v>
      </c>
      <c r="BI195" s="228">
        <v>541</v>
      </c>
      <c r="BJ195" s="228">
        <v>760</v>
      </c>
      <c r="BK195" s="228">
        <v>-219</v>
      </c>
      <c r="BL195" s="229">
        <v>-0.28839999999999999</v>
      </c>
      <c r="BM195" s="228">
        <v>354</v>
      </c>
      <c r="BN195" s="228">
        <v>465</v>
      </c>
      <c r="BO195" s="228">
        <v>-112</v>
      </c>
      <c r="BP195" s="229">
        <v>-0.24060000000000001</v>
      </c>
      <c r="BQ195" s="230">
        <v>1882</v>
      </c>
      <c r="BR195" s="230">
        <v>2617</v>
      </c>
      <c r="BS195" s="228">
        <v>-736</v>
      </c>
      <c r="BT195" s="229">
        <v>-0.28100000000000003</v>
      </c>
      <c r="BU195" s="230">
        <v>6566328</v>
      </c>
      <c r="BV195" s="230">
        <v>6110303</v>
      </c>
      <c r="BW195" s="230">
        <v>456025</v>
      </c>
      <c r="BX195" s="229">
        <v>7.46E-2</v>
      </c>
      <c r="BY195" s="230">
        <v>2420</v>
      </c>
      <c r="BZ195" s="230">
        <v>2596</v>
      </c>
      <c r="CA195" s="228">
        <v>-176</v>
      </c>
      <c r="CB195" s="229">
        <v>-6.7799999999999999E-2</v>
      </c>
      <c r="CC195" s="228">
        <v>100</v>
      </c>
      <c r="CD195" s="228">
        <v>294</v>
      </c>
      <c r="CE195" s="228">
        <v>-194</v>
      </c>
      <c r="CF195" s="229">
        <v>-0.65959999999999996</v>
      </c>
      <c r="CG195" s="230">
        <v>2330</v>
      </c>
      <c r="CH195" s="230">
        <v>2215</v>
      </c>
      <c r="CI195" s="228">
        <v>116</v>
      </c>
      <c r="CJ195" s="229">
        <v>5.2200000000000003E-2</v>
      </c>
      <c r="CK195" s="228">
        <v>90</v>
      </c>
      <c r="CL195" s="228">
        <v>87</v>
      </c>
      <c r="CM195" s="228">
        <v>3</v>
      </c>
      <c r="CN195" s="229">
        <v>3.5000000000000003E-2</v>
      </c>
      <c r="CO195" s="228">
        <v>307</v>
      </c>
      <c r="CP195" s="228">
        <v>791</v>
      </c>
      <c r="CQ195" s="228">
        <v>-484</v>
      </c>
      <c r="CR195" s="229">
        <v>-0.6119</v>
      </c>
      <c r="CS195" s="228">
        <v>240</v>
      </c>
      <c r="CT195" s="228">
        <v>463</v>
      </c>
      <c r="CU195" s="228">
        <v>-223</v>
      </c>
      <c r="CV195" s="229">
        <v>-0.48180000000000001</v>
      </c>
      <c r="CW195" s="230">
        <v>2967</v>
      </c>
      <c r="CX195" s="230">
        <v>3850</v>
      </c>
      <c r="CY195" s="228">
        <v>-883</v>
      </c>
      <c r="CZ195" s="229">
        <v>-0.2293</v>
      </c>
      <c r="DA195" s="228">
        <v>31.22</v>
      </c>
      <c r="DB195" s="228">
        <v>31.33</v>
      </c>
      <c r="DC195" s="228">
        <v>-0.11</v>
      </c>
      <c r="DD195" s="228">
        <v>-0.11</v>
      </c>
      <c r="DE195" s="228">
        <v>42.98</v>
      </c>
      <c r="DF195" s="228">
        <v>43.08</v>
      </c>
      <c r="DG195" s="228">
        <v>-11.76</v>
      </c>
      <c r="DH195" s="228">
        <v>-0.1</v>
      </c>
      <c r="DI195" s="228">
        <v>31.35</v>
      </c>
      <c r="DJ195" s="228">
        <v>31.47</v>
      </c>
      <c r="DK195" s="228">
        <v>-0.12</v>
      </c>
      <c r="DL195" s="228">
        <v>-0.12</v>
      </c>
      <c r="DM195" s="228">
        <v>31.02</v>
      </c>
      <c r="DN195" s="228">
        <v>31.08</v>
      </c>
      <c r="DO195" s="228">
        <v>-0.06</v>
      </c>
      <c r="DP195" s="228">
        <v>-0.06</v>
      </c>
      <c r="DQ195" s="228">
        <v>0.78</v>
      </c>
      <c r="DR195" s="228">
        <v>0.59</v>
      </c>
      <c r="DS195" s="228">
        <v>0.19</v>
      </c>
      <c r="DT195" s="229">
        <v>0.32200000000000001</v>
      </c>
      <c r="DU195" s="228">
        <v>700</v>
      </c>
      <c r="DV195" s="228">
        <v>600</v>
      </c>
      <c r="DW195" s="228">
        <v>0.65</v>
      </c>
      <c r="DX195" s="228">
        <v>0.61</v>
      </c>
      <c r="DY195" s="228">
        <v>0.04</v>
      </c>
      <c r="DZ195" s="229">
        <v>6.5600000000000006E-2</v>
      </c>
      <c r="EA195" s="229">
        <v>0.96020000000000005</v>
      </c>
      <c r="EB195" s="230">
        <v>36281025</v>
      </c>
      <c r="EC195" s="229">
        <v>6.0000000000000001E-3</v>
      </c>
      <c r="ED195" s="229">
        <v>0.96020000000000005</v>
      </c>
      <c r="EE195" s="228">
        <v>3.55</v>
      </c>
      <c r="EF195" s="229">
        <v>5.5999999999999999E-3</v>
      </c>
      <c r="EG195" s="230">
        <v>3807849</v>
      </c>
      <c r="EH195" s="230">
        <v>4054897</v>
      </c>
      <c r="EI195" s="229">
        <v>-6.0900000000000003E-2</v>
      </c>
      <c r="EJ195" s="229">
        <v>0.57989999999999997</v>
      </c>
      <c r="EK195" s="228">
        <v>570.41</v>
      </c>
      <c r="EL195" s="228">
        <v>356.26</v>
      </c>
      <c r="EM195" s="228">
        <v>987.46</v>
      </c>
      <c r="EN195" s="228">
        <v>0</v>
      </c>
      <c r="EO195" s="231">
        <v>1914.13</v>
      </c>
      <c r="EP195" s="231">
        <v>2645.6</v>
      </c>
      <c r="EQ195" s="228">
        <v>-731.47</v>
      </c>
      <c r="ER195" s="229">
        <v>-0.27650000000000002</v>
      </c>
      <c r="ES195" s="228">
        <v>325.76</v>
      </c>
      <c r="ET195" s="228">
        <v>231.94</v>
      </c>
      <c r="EU195" s="231">
        <v>2420.2800000000002</v>
      </c>
      <c r="EV195" s="231">
        <v>280560500</v>
      </c>
      <c r="EW195" s="231">
        <v>2977.97</v>
      </c>
      <c r="EX195" s="231">
        <v>3915.01</v>
      </c>
      <c r="EY195" s="228">
        <v>-937.04</v>
      </c>
      <c r="EZ195" s="229">
        <v>-0.23930000000000001</v>
      </c>
      <c r="FA195" s="229">
        <v>0.16669999999999999</v>
      </c>
      <c r="FB195" s="227" t="s">
        <v>568</v>
      </c>
      <c r="FC195">
        <f t="shared" ref="FC195:FC258" si="4">BY277-CC277</f>
        <v>0</v>
      </c>
    </row>
    <row r="196" spans="1:159" ht="17.25" thickBot="1" x14ac:dyDescent="0.3">
      <c r="A196" s="226">
        <v>45869</v>
      </c>
      <c r="B196" s="227" t="s">
        <v>184</v>
      </c>
      <c r="C196" s="227" t="s">
        <v>285</v>
      </c>
      <c r="D196" s="228">
        <v>125</v>
      </c>
      <c r="E196" s="228">
        <v>0</v>
      </c>
      <c r="F196" s="231">
        <v>3044.6</v>
      </c>
      <c r="G196" s="231">
        <v>3079.5</v>
      </c>
      <c r="H196" s="228">
        <v>-34.9</v>
      </c>
      <c r="I196" s="229">
        <v>-1.1299999999999999E-2</v>
      </c>
      <c r="J196" s="231">
        <v>3033.4</v>
      </c>
      <c r="K196" s="231">
        <v>3071.4</v>
      </c>
      <c r="L196" s="228">
        <v>-38</v>
      </c>
      <c r="M196" s="229">
        <v>-1.24E-2</v>
      </c>
      <c r="N196" s="231">
        <v>3026.3</v>
      </c>
      <c r="O196" s="231">
        <v>3066.9</v>
      </c>
      <c r="P196" s="228">
        <v>-40.6</v>
      </c>
      <c r="Q196" s="229">
        <v>-1.32E-2</v>
      </c>
      <c r="R196" s="231">
        <v>3044.6</v>
      </c>
      <c r="S196" s="231">
        <v>3079.5</v>
      </c>
      <c r="T196" s="228">
        <v>-34.9</v>
      </c>
      <c r="U196" s="229">
        <v>-1.1299999999999999E-2</v>
      </c>
      <c r="V196" s="231">
        <v>3060.1</v>
      </c>
      <c r="W196" s="231">
        <v>3095.3</v>
      </c>
      <c r="X196" s="228">
        <v>-35.200000000000003</v>
      </c>
      <c r="Y196" s="229">
        <v>-1.14E-2</v>
      </c>
      <c r="Z196" s="228">
        <v>11.2</v>
      </c>
      <c r="AA196" s="228">
        <v>-4.5</v>
      </c>
      <c r="AB196" s="228">
        <v>15.7</v>
      </c>
      <c r="AC196" s="229">
        <v>3.7000000000000002E-3</v>
      </c>
      <c r="AD196" s="228">
        <v>-7.1</v>
      </c>
      <c r="AE196" s="228">
        <v>-4.5</v>
      </c>
      <c r="AF196" s="228">
        <v>-2.6</v>
      </c>
      <c r="AG196" s="229">
        <v>-2.3E-3</v>
      </c>
      <c r="AH196" s="228">
        <v>11.2</v>
      </c>
      <c r="AI196" s="228">
        <v>8.1</v>
      </c>
      <c r="AJ196" s="228">
        <v>3.1</v>
      </c>
      <c r="AK196" s="229">
        <v>3.7000000000000002E-3</v>
      </c>
      <c r="AL196" s="228">
        <v>26.7</v>
      </c>
      <c r="AM196" s="228">
        <v>23.9</v>
      </c>
      <c r="AN196" s="228">
        <v>2.8</v>
      </c>
      <c r="AO196" s="229">
        <v>8.8000000000000005E-3</v>
      </c>
      <c r="AP196" s="231">
        <v>3033.65</v>
      </c>
      <c r="AQ196" s="231">
        <v>3049.91</v>
      </c>
      <c r="AR196" s="228">
        <v>0</v>
      </c>
      <c r="AS196" s="228">
        <v>397</v>
      </c>
      <c r="AT196" s="228">
        <v>337</v>
      </c>
      <c r="AU196" s="228">
        <v>61</v>
      </c>
      <c r="AV196" s="229">
        <v>0.1807</v>
      </c>
      <c r="AW196" s="228">
        <v>175</v>
      </c>
      <c r="AX196" s="228">
        <v>150</v>
      </c>
      <c r="AY196" s="228">
        <v>25</v>
      </c>
      <c r="AZ196" s="229">
        <v>0.16569999999999999</v>
      </c>
      <c r="BA196" s="228">
        <v>215</v>
      </c>
      <c r="BB196" s="228">
        <v>182</v>
      </c>
      <c r="BC196" s="228">
        <v>33</v>
      </c>
      <c r="BD196" s="229">
        <v>0.1825</v>
      </c>
      <c r="BE196" s="228">
        <v>8</v>
      </c>
      <c r="BF196" s="228">
        <v>5</v>
      </c>
      <c r="BG196" s="228">
        <v>3</v>
      </c>
      <c r="BH196" s="229">
        <v>0.57809999999999995</v>
      </c>
      <c r="BI196" s="228">
        <v>411</v>
      </c>
      <c r="BJ196" s="228">
        <v>515</v>
      </c>
      <c r="BK196" s="228">
        <v>-105</v>
      </c>
      <c r="BL196" s="229">
        <v>-0.20319999999999999</v>
      </c>
      <c r="BM196" s="228">
        <v>229</v>
      </c>
      <c r="BN196" s="228">
        <v>166</v>
      </c>
      <c r="BO196" s="228">
        <v>63</v>
      </c>
      <c r="BP196" s="229">
        <v>0.37990000000000002</v>
      </c>
      <c r="BQ196" s="230">
        <v>1037</v>
      </c>
      <c r="BR196" s="230">
        <v>1018</v>
      </c>
      <c r="BS196" s="228">
        <v>19</v>
      </c>
      <c r="BT196" s="229">
        <v>1.8700000000000001E-2</v>
      </c>
      <c r="BU196" s="230">
        <v>320990</v>
      </c>
      <c r="BV196" s="230">
        <v>345239</v>
      </c>
      <c r="BW196" s="230">
        <v>-24249</v>
      </c>
      <c r="BX196" s="229">
        <v>-7.0199999999999999E-2</v>
      </c>
      <c r="BY196" s="228">
        <v>643</v>
      </c>
      <c r="BZ196" s="228">
        <v>700</v>
      </c>
      <c r="CA196" s="228">
        <v>-57</v>
      </c>
      <c r="CB196" s="229">
        <v>-8.1600000000000006E-2</v>
      </c>
      <c r="CC196" s="228">
        <v>47</v>
      </c>
      <c r="CD196" s="228">
        <v>123</v>
      </c>
      <c r="CE196" s="228">
        <v>-77</v>
      </c>
      <c r="CF196" s="229">
        <v>-0.62260000000000004</v>
      </c>
      <c r="CG196" s="228">
        <v>625</v>
      </c>
      <c r="CH196" s="228">
        <v>563</v>
      </c>
      <c r="CI196" s="228">
        <v>62</v>
      </c>
      <c r="CJ196" s="229">
        <v>0.1091</v>
      </c>
      <c r="CK196" s="228">
        <v>18</v>
      </c>
      <c r="CL196" s="228">
        <v>13</v>
      </c>
      <c r="CM196" s="228">
        <v>5</v>
      </c>
      <c r="CN196" s="229">
        <v>0.36359999999999998</v>
      </c>
      <c r="CO196" s="228">
        <v>131</v>
      </c>
      <c r="CP196" s="228">
        <v>462</v>
      </c>
      <c r="CQ196" s="228">
        <v>-331</v>
      </c>
      <c r="CR196" s="229">
        <v>-0.71689999999999998</v>
      </c>
      <c r="CS196" s="228">
        <v>79</v>
      </c>
      <c r="CT196" s="228">
        <v>223</v>
      </c>
      <c r="CU196" s="228">
        <v>-144</v>
      </c>
      <c r="CV196" s="229">
        <v>-0.64490000000000003</v>
      </c>
      <c r="CW196" s="228">
        <v>853</v>
      </c>
      <c r="CX196" s="230">
        <v>1385</v>
      </c>
      <c r="CY196" s="228">
        <v>-532</v>
      </c>
      <c r="CZ196" s="229">
        <v>-0.38429999999999997</v>
      </c>
      <c r="DA196" s="228">
        <v>31.43</v>
      </c>
      <c r="DB196" s="228">
        <v>32.130000000000003</v>
      </c>
      <c r="DC196" s="228">
        <v>-0.7</v>
      </c>
      <c r="DD196" s="228">
        <v>-0.7</v>
      </c>
      <c r="DE196" s="228">
        <v>42.56</v>
      </c>
      <c r="DF196" s="228">
        <v>42.64</v>
      </c>
      <c r="DG196" s="228">
        <v>-11.13</v>
      </c>
      <c r="DH196" s="228">
        <v>-0.08</v>
      </c>
      <c r="DI196" s="228">
        <v>31.65</v>
      </c>
      <c r="DJ196" s="228">
        <v>32.21</v>
      </c>
      <c r="DK196" s="228">
        <v>-0.56000000000000005</v>
      </c>
      <c r="DL196" s="228">
        <v>-0.56000000000000005</v>
      </c>
      <c r="DM196" s="228">
        <v>31.04</v>
      </c>
      <c r="DN196" s="228">
        <v>32</v>
      </c>
      <c r="DO196" s="228">
        <v>-0.96</v>
      </c>
      <c r="DP196" s="228">
        <v>-0.96</v>
      </c>
      <c r="DQ196" s="228">
        <v>0.6</v>
      </c>
      <c r="DR196" s="228">
        <v>0.48</v>
      </c>
      <c r="DS196" s="228">
        <v>0.12</v>
      </c>
      <c r="DT196" s="229">
        <v>0.25</v>
      </c>
      <c r="DU196" s="231">
        <v>3400</v>
      </c>
      <c r="DV196" s="231">
        <v>2700</v>
      </c>
      <c r="DW196" s="228">
        <v>0.56000000000000005</v>
      </c>
      <c r="DX196" s="228">
        <v>0.32</v>
      </c>
      <c r="DY196" s="228">
        <v>0.24</v>
      </c>
      <c r="DZ196" s="229">
        <v>0.75</v>
      </c>
      <c r="EA196" s="229">
        <v>0.9325</v>
      </c>
      <c r="EB196" s="230">
        <v>1893375</v>
      </c>
      <c r="EC196" s="229">
        <v>6.0000000000000001E-3</v>
      </c>
      <c r="ED196" s="229">
        <v>0.9325</v>
      </c>
      <c r="EE196" s="228">
        <v>16.260000000000002</v>
      </c>
      <c r="EF196" s="229">
        <v>5.4000000000000003E-3</v>
      </c>
      <c r="EG196" s="230">
        <v>148639</v>
      </c>
      <c r="EH196" s="230">
        <v>162847</v>
      </c>
      <c r="EI196" s="229">
        <v>-8.72E-2</v>
      </c>
      <c r="EJ196" s="229">
        <v>0.46310000000000001</v>
      </c>
      <c r="EK196" s="228">
        <v>439.06</v>
      </c>
      <c r="EL196" s="228">
        <v>228.59</v>
      </c>
      <c r="EM196" s="228">
        <v>397.16</v>
      </c>
      <c r="EN196" s="228">
        <v>0</v>
      </c>
      <c r="EO196" s="231">
        <v>1064.8</v>
      </c>
      <c r="EP196" s="231">
        <v>1056.9100000000001</v>
      </c>
      <c r="EQ196" s="228">
        <v>7.9</v>
      </c>
      <c r="ER196" s="229">
        <v>7.4999999999999997E-3</v>
      </c>
      <c r="ES196" s="228">
        <v>141.34</v>
      </c>
      <c r="ET196" s="228">
        <v>79.41</v>
      </c>
      <c r="EU196" s="228">
        <v>642.77</v>
      </c>
      <c r="EV196" s="231">
        <v>17806118</v>
      </c>
      <c r="EW196" s="228">
        <v>863.52</v>
      </c>
      <c r="EX196" s="231">
        <v>1437.01</v>
      </c>
      <c r="EY196" s="228">
        <v>-573.49</v>
      </c>
      <c r="EZ196" s="229">
        <v>-0.39910000000000001</v>
      </c>
      <c r="FA196" s="229">
        <v>0.1573</v>
      </c>
      <c r="FB196" s="227" t="s">
        <v>568</v>
      </c>
      <c r="FC196">
        <f t="shared" si="4"/>
        <v>0</v>
      </c>
    </row>
    <row r="197" spans="1:159" ht="17.25" thickBot="1" x14ac:dyDescent="0.3">
      <c r="A197" s="226">
        <v>45869</v>
      </c>
      <c r="B197" s="227" t="s">
        <v>161</v>
      </c>
      <c r="C197" s="227" t="s">
        <v>600</v>
      </c>
      <c r="D197" s="228">
        <v>5875</v>
      </c>
      <c r="E197" s="228">
        <v>0</v>
      </c>
      <c r="F197" s="228">
        <v>94.03</v>
      </c>
      <c r="G197" s="228">
        <v>96.67</v>
      </c>
      <c r="H197" s="228">
        <v>-2.64</v>
      </c>
      <c r="I197" s="229">
        <v>-2.7300000000000001E-2</v>
      </c>
      <c r="J197" s="228">
        <v>93.62</v>
      </c>
      <c r="K197" s="228">
        <v>96.82</v>
      </c>
      <c r="L197" s="228">
        <v>-3.2</v>
      </c>
      <c r="M197" s="229">
        <v>-3.3099999999999997E-2</v>
      </c>
      <c r="N197" s="228">
        <v>93.62</v>
      </c>
      <c r="O197" s="228">
        <v>97.02</v>
      </c>
      <c r="P197" s="228">
        <v>-3.4</v>
      </c>
      <c r="Q197" s="229">
        <v>-3.5000000000000003E-2</v>
      </c>
      <c r="R197" s="228">
        <v>94.03</v>
      </c>
      <c r="S197" s="228">
        <v>96.67</v>
      </c>
      <c r="T197" s="228">
        <v>-2.64</v>
      </c>
      <c r="U197" s="229">
        <v>-2.7300000000000001E-2</v>
      </c>
      <c r="V197" s="228">
        <v>0</v>
      </c>
      <c r="W197" s="228">
        <v>0</v>
      </c>
      <c r="X197" s="228">
        <v>0</v>
      </c>
      <c r="Y197" s="229">
        <v>0</v>
      </c>
      <c r="Z197" s="228">
        <v>0.41</v>
      </c>
      <c r="AA197" s="228">
        <v>0.2</v>
      </c>
      <c r="AB197" s="228">
        <v>0.21</v>
      </c>
      <c r="AC197" s="229">
        <v>4.4000000000000003E-3</v>
      </c>
      <c r="AD197" s="228">
        <v>0</v>
      </c>
      <c r="AE197" s="228">
        <v>0.2</v>
      </c>
      <c r="AF197" s="228">
        <v>-0.2</v>
      </c>
      <c r="AG197" s="229">
        <v>0</v>
      </c>
      <c r="AH197" s="228">
        <v>0.41</v>
      </c>
      <c r="AI197" s="228">
        <v>-0.15</v>
      </c>
      <c r="AJ197" s="228">
        <v>0.56000000000000005</v>
      </c>
      <c r="AK197" s="229">
        <v>4.4000000000000003E-3</v>
      </c>
      <c r="AL197" s="228">
        <v>0</v>
      </c>
      <c r="AM197" s="228">
        <v>0</v>
      </c>
      <c r="AN197" s="228">
        <v>0</v>
      </c>
      <c r="AO197" s="229">
        <v>0</v>
      </c>
      <c r="AP197" s="228">
        <v>94.78</v>
      </c>
      <c r="AQ197" s="228">
        <v>94.81</v>
      </c>
      <c r="AR197" s="228">
        <v>0</v>
      </c>
      <c r="AS197" s="228">
        <v>162</v>
      </c>
      <c r="AT197" s="228">
        <v>168</v>
      </c>
      <c r="AU197" s="228">
        <v>-6</v>
      </c>
      <c r="AV197" s="229">
        <v>-3.4200000000000001E-2</v>
      </c>
      <c r="AW197" s="228">
        <v>78</v>
      </c>
      <c r="AX197" s="228">
        <v>88</v>
      </c>
      <c r="AY197" s="228">
        <v>-9</v>
      </c>
      <c r="AZ197" s="229">
        <v>-0.10589999999999999</v>
      </c>
      <c r="BA197" s="228">
        <v>84</v>
      </c>
      <c r="BB197" s="228">
        <v>80</v>
      </c>
      <c r="BC197" s="228">
        <v>4</v>
      </c>
      <c r="BD197" s="229">
        <v>4.41E-2</v>
      </c>
      <c r="BE197" s="228">
        <v>0</v>
      </c>
      <c r="BF197" s="228">
        <v>0</v>
      </c>
      <c r="BG197" s="228">
        <v>0</v>
      </c>
      <c r="BH197" s="229">
        <v>0</v>
      </c>
      <c r="BI197" s="228">
        <v>137</v>
      </c>
      <c r="BJ197" s="228">
        <v>92</v>
      </c>
      <c r="BK197" s="228">
        <v>46</v>
      </c>
      <c r="BL197" s="229">
        <v>0.49580000000000002</v>
      </c>
      <c r="BM197" s="228">
        <v>57</v>
      </c>
      <c r="BN197" s="228">
        <v>28</v>
      </c>
      <c r="BO197" s="228">
        <v>29</v>
      </c>
      <c r="BP197" s="229">
        <v>1.0136000000000001</v>
      </c>
      <c r="BQ197" s="228">
        <v>357</v>
      </c>
      <c r="BR197" s="228">
        <v>288</v>
      </c>
      <c r="BS197" s="228">
        <v>69</v>
      </c>
      <c r="BT197" s="229">
        <v>0.23799999999999999</v>
      </c>
      <c r="BU197" s="230">
        <v>5478689</v>
      </c>
      <c r="BV197" s="230">
        <v>3832318</v>
      </c>
      <c r="BW197" s="230">
        <v>1646371</v>
      </c>
      <c r="BX197" s="229">
        <v>0.42959999999999998</v>
      </c>
      <c r="BY197" s="228">
        <v>190</v>
      </c>
      <c r="BZ197" s="228">
        <v>236</v>
      </c>
      <c r="CA197" s="228">
        <v>-46</v>
      </c>
      <c r="CB197" s="229">
        <v>-0.19620000000000001</v>
      </c>
      <c r="CC197" s="228">
        <v>31</v>
      </c>
      <c r="CD197" s="228">
        <v>61</v>
      </c>
      <c r="CE197" s="228">
        <v>-30</v>
      </c>
      <c r="CF197" s="229">
        <v>-0.49059999999999998</v>
      </c>
      <c r="CG197" s="228">
        <v>190</v>
      </c>
      <c r="CH197" s="228">
        <v>175</v>
      </c>
      <c r="CI197" s="228">
        <v>15</v>
      </c>
      <c r="CJ197" s="229">
        <v>8.6599999999999996E-2</v>
      </c>
      <c r="CK197" s="228">
        <v>0</v>
      </c>
      <c r="CL197" s="228">
        <v>0</v>
      </c>
      <c r="CM197" s="228">
        <v>0</v>
      </c>
      <c r="CN197" s="229">
        <v>0</v>
      </c>
      <c r="CO197" s="228">
        <v>62</v>
      </c>
      <c r="CP197" s="228">
        <v>184</v>
      </c>
      <c r="CQ197" s="228">
        <v>-122</v>
      </c>
      <c r="CR197" s="229">
        <v>-0.66169999999999995</v>
      </c>
      <c r="CS197" s="228">
        <v>32</v>
      </c>
      <c r="CT197" s="228">
        <v>78</v>
      </c>
      <c r="CU197" s="228">
        <v>-46</v>
      </c>
      <c r="CV197" s="229">
        <v>-0.58909999999999996</v>
      </c>
      <c r="CW197" s="228">
        <v>284</v>
      </c>
      <c r="CX197" s="228">
        <v>499</v>
      </c>
      <c r="CY197" s="228">
        <v>-214</v>
      </c>
      <c r="CZ197" s="229">
        <v>-0.42970000000000003</v>
      </c>
      <c r="DA197" s="228">
        <v>40.090000000000003</v>
      </c>
      <c r="DB197" s="228">
        <v>35.840000000000003</v>
      </c>
      <c r="DC197" s="228">
        <v>4.25</v>
      </c>
      <c r="DD197" s="228">
        <v>4.25</v>
      </c>
      <c r="DE197" s="228">
        <v>53.02</v>
      </c>
      <c r="DF197" s="228">
        <v>53.02</v>
      </c>
      <c r="DG197" s="228">
        <v>-12.93</v>
      </c>
      <c r="DH197" s="228">
        <v>0</v>
      </c>
      <c r="DI197" s="228">
        <v>40.479999999999997</v>
      </c>
      <c r="DJ197" s="228">
        <v>35.85</v>
      </c>
      <c r="DK197" s="228">
        <v>4.63</v>
      </c>
      <c r="DL197" s="228">
        <v>4.63</v>
      </c>
      <c r="DM197" s="228">
        <v>39</v>
      </c>
      <c r="DN197" s="228">
        <v>35.82</v>
      </c>
      <c r="DO197" s="228">
        <v>3.18</v>
      </c>
      <c r="DP197" s="228">
        <v>3.18</v>
      </c>
      <c r="DQ197" s="228">
        <v>0.52</v>
      </c>
      <c r="DR197" s="228">
        <v>0.42</v>
      </c>
      <c r="DS197" s="228">
        <v>0.1</v>
      </c>
      <c r="DT197" s="229">
        <v>0.23810000000000001</v>
      </c>
      <c r="DU197" s="228">
        <v>100</v>
      </c>
      <c r="DV197" s="228">
        <v>100</v>
      </c>
      <c r="DW197" s="228">
        <v>0.42</v>
      </c>
      <c r="DX197" s="228">
        <v>0.31</v>
      </c>
      <c r="DY197" s="228">
        <v>0.11</v>
      </c>
      <c r="DZ197" s="229">
        <v>0.3548</v>
      </c>
      <c r="EA197" s="229">
        <v>0.85840000000000005</v>
      </c>
      <c r="EB197" s="230">
        <v>18582625</v>
      </c>
      <c r="EC197" s="229">
        <v>4.4000000000000003E-3</v>
      </c>
      <c r="ED197" s="229">
        <v>0.85840000000000005</v>
      </c>
      <c r="EE197" s="228">
        <v>0.03</v>
      </c>
      <c r="EF197" s="229">
        <v>2.9999999999999997E-4</v>
      </c>
      <c r="EG197" s="230">
        <v>2468301</v>
      </c>
      <c r="EH197" s="230">
        <v>1200696</v>
      </c>
      <c r="EI197" s="229">
        <v>1.0557000000000001</v>
      </c>
      <c r="EJ197" s="229">
        <v>0.45050000000000001</v>
      </c>
      <c r="EK197" s="228">
        <v>147.68</v>
      </c>
      <c r="EL197" s="228">
        <v>58.34</v>
      </c>
      <c r="EM197" s="228">
        <v>163.35</v>
      </c>
      <c r="EN197" s="228">
        <v>0</v>
      </c>
      <c r="EO197" s="228">
        <v>369.37</v>
      </c>
      <c r="EP197" s="228">
        <v>302.33</v>
      </c>
      <c r="EQ197" s="228">
        <v>67.040000000000006</v>
      </c>
      <c r="ER197" s="229">
        <v>0.22170000000000001</v>
      </c>
      <c r="ES197" s="228">
        <v>66.37</v>
      </c>
      <c r="ET197" s="228">
        <v>32.17</v>
      </c>
      <c r="EU197" s="228">
        <v>189.87</v>
      </c>
      <c r="EV197" s="231">
        <v>142687689</v>
      </c>
      <c r="EW197" s="228">
        <v>288.41000000000003</v>
      </c>
      <c r="EX197" s="228">
        <v>526.67999999999995</v>
      </c>
      <c r="EY197" s="228">
        <v>-238.27</v>
      </c>
      <c r="EZ197" s="229">
        <v>-0.45240000000000002</v>
      </c>
      <c r="FA197" s="229">
        <v>0.21190000000000001</v>
      </c>
      <c r="FB197" s="227" t="s">
        <v>568</v>
      </c>
      <c r="FC197">
        <f t="shared" si="4"/>
        <v>0</v>
      </c>
    </row>
    <row r="198" spans="1:159" ht="17.25" thickBot="1" x14ac:dyDescent="0.3">
      <c r="A198" s="226">
        <v>45869</v>
      </c>
      <c r="B198" s="227" t="s">
        <v>498</v>
      </c>
      <c r="C198" s="227" t="s">
        <v>647</v>
      </c>
      <c r="D198" s="228">
        <v>75</v>
      </c>
      <c r="E198" s="228">
        <v>0</v>
      </c>
      <c r="F198" s="231">
        <v>14242</v>
      </c>
      <c r="G198" s="231">
        <v>14553</v>
      </c>
      <c r="H198" s="228">
        <v>-311</v>
      </c>
      <c r="I198" s="229">
        <v>-2.1399999999999999E-2</v>
      </c>
      <c r="J198" s="231">
        <v>14220</v>
      </c>
      <c r="K198" s="231">
        <v>14469</v>
      </c>
      <c r="L198" s="228">
        <v>-249</v>
      </c>
      <c r="M198" s="229">
        <v>-1.72E-2</v>
      </c>
      <c r="N198" s="231">
        <v>14177</v>
      </c>
      <c r="O198" s="231">
        <v>14479</v>
      </c>
      <c r="P198" s="228">
        <v>-302</v>
      </c>
      <c r="Q198" s="229">
        <v>-2.0899999999999998E-2</v>
      </c>
      <c r="R198" s="231">
        <v>14242</v>
      </c>
      <c r="S198" s="231">
        <v>14553</v>
      </c>
      <c r="T198" s="228">
        <v>-311</v>
      </c>
      <c r="U198" s="229">
        <v>-2.1399999999999999E-2</v>
      </c>
      <c r="V198" s="231">
        <v>14362</v>
      </c>
      <c r="W198" s="231">
        <v>14640</v>
      </c>
      <c r="X198" s="228">
        <v>-278</v>
      </c>
      <c r="Y198" s="229">
        <v>-1.9E-2</v>
      </c>
      <c r="Z198" s="228">
        <v>22</v>
      </c>
      <c r="AA198" s="228">
        <v>10</v>
      </c>
      <c r="AB198" s="228">
        <v>12</v>
      </c>
      <c r="AC198" s="229">
        <v>1.5E-3</v>
      </c>
      <c r="AD198" s="228">
        <v>-43</v>
      </c>
      <c r="AE198" s="228">
        <v>10</v>
      </c>
      <c r="AF198" s="228">
        <v>-53</v>
      </c>
      <c r="AG198" s="229">
        <v>-3.0000000000000001E-3</v>
      </c>
      <c r="AH198" s="228">
        <v>22</v>
      </c>
      <c r="AI198" s="228">
        <v>84</v>
      </c>
      <c r="AJ198" s="228">
        <v>-62</v>
      </c>
      <c r="AK198" s="229">
        <v>1.5E-3</v>
      </c>
      <c r="AL198" s="228">
        <v>142</v>
      </c>
      <c r="AM198" s="228">
        <v>171</v>
      </c>
      <c r="AN198" s="228">
        <v>-29</v>
      </c>
      <c r="AO198" s="229">
        <v>0.01</v>
      </c>
      <c r="AP198" s="231">
        <v>14291.44</v>
      </c>
      <c r="AQ198" s="231">
        <v>14356.49</v>
      </c>
      <c r="AR198" s="228">
        <v>0</v>
      </c>
      <c r="AS198" s="230">
        <v>1011</v>
      </c>
      <c r="AT198" s="228">
        <v>712</v>
      </c>
      <c r="AU198" s="228">
        <v>299</v>
      </c>
      <c r="AV198" s="229">
        <v>0.41930000000000001</v>
      </c>
      <c r="AW198" s="228">
        <v>559</v>
      </c>
      <c r="AX198" s="228">
        <v>355</v>
      </c>
      <c r="AY198" s="228">
        <v>203</v>
      </c>
      <c r="AZ198" s="229">
        <v>0.57310000000000005</v>
      </c>
      <c r="BA198" s="228">
        <v>441</v>
      </c>
      <c r="BB198" s="228">
        <v>356</v>
      </c>
      <c r="BC198" s="228">
        <v>86</v>
      </c>
      <c r="BD198" s="229">
        <v>0.24110000000000001</v>
      </c>
      <c r="BE198" s="228">
        <v>11</v>
      </c>
      <c r="BF198" s="228">
        <v>2</v>
      </c>
      <c r="BG198" s="228">
        <v>9</v>
      </c>
      <c r="BH198" s="229">
        <v>5.8666999999999998</v>
      </c>
      <c r="BI198" s="230">
        <v>1094</v>
      </c>
      <c r="BJ198" s="230">
        <v>1320</v>
      </c>
      <c r="BK198" s="228">
        <v>-226</v>
      </c>
      <c r="BL198" s="229">
        <v>-0.1711</v>
      </c>
      <c r="BM198" s="228">
        <v>558</v>
      </c>
      <c r="BN198" s="228">
        <v>428</v>
      </c>
      <c r="BO198" s="228">
        <v>131</v>
      </c>
      <c r="BP198" s="229">
        <v>0.30520000000000003</v>
      </c>
      <c r="BQ198" s="230">
        <v>2663</v>
      </c>
      <c r="BR198" s="230">
        <v>2460</v>
      </c>
      <c r="BS198" s="228">
        <v>203</v>
      </c>
      <c r="BT198" s="229">
        <v>8.2699999999999996E-2</v>
      </c>
      <c r="BU198" s="230">
        <v>207018</v>
      </c>
      <c r="BV198" s="230">
        <v>123659</v>
      </c>
      <c r="BW198" s="230">
        <v>83359</v>
      </c>
      <c r="BX198" s="229">
        <v>0.67410000000000003</v>
      </c>
      <c r="BY198" s="230">
        <v>1186</v>
      </c>
      <c r="BZ198" s="230">
        <v>1428</v>
      </c>
      <c r="CA198" s="228">
        <v>-242</v>
      </c>
      <c r="CB198" s="229">
        <v>-0.16930000000000001</v>
      </c>
      <c r="CC198" s="228">
        <v>187</v>
      </c>
      <c r="CD198" s="228">
        <v>440</v>
      </c>
      <c r="CE198" s="228">
        <v>-253</v>
      </c>
      <c r="CF198" s="229">
        <v>-0.57540000000000002</v>
      </c>
      <c r="CG198" s="230">
        <v>1140</v>
      </c>
      <c r="CH198" s="228">
        <v>950</v>
      </c>
      <c r="CI198" s="228">
        <v>189</v>
      </c>
      <c r="CJ198" s="229">
        <v>0.19939999999999999</v>
      </c>
      <c r="CK198" s="228">
        <v>47</v>
      </c>
      <c r="CL198" s="228">
        <v>38</v>
      </c>
      <c r="CM198" s="228">
        <v>9</v>
      </c>
      <c r="CN198" s="229">
        <v>0.2316</v>
      </c>
      <c r="CO198" s="228">
        <v>144</v>
      </c>
      <c r="CP198" s="228">
        <v>881</v>
      </c>
      <c r="CQ198" s="228">
        <v>-737</v>
      </c>
      <c r="CR198" s="229">
        <v>-0.83689999999999998</v>
      </c>
      <c r="CS198" s="228">
        <v>107</v>
      </c>
      <c r="CT198" s="228">
        <v>670</v>
      </c>
      <c r="CU198" s="228">
        <v>-564</v>
      </c>
      <c r="CV198" s="229">
        <v>-0.8407</v>
      </c>
      <c r="CW198" s="230">
        <v>1437</v>
      </c>
      <c r="CX198" s="230">
        <v>2979</v>
      </c>
      <c r="CY198" s="230">
        <v>-1542</v>
      </c>
      <c r="CZ198" s="229">
        <v>-0.51770000000000005</v>
      </c>
      <c r="DA198" s="228">
        <v>30.16</v>
      </c>
      <c r="DB198" s="228">
        <v>28.34</v>
      </c>
      <c r="DC198" s="228">
        <v>1.82</v>
      </c>
      <c r="DD198" s="228">
        <v>1.82</v>
      </c>
      <c r="DE198" s="228">
        <v>42.86</v>
      </c>
      <c r="DF198" s="228">
        <v>42.88</v>
      </c>
      <c r="DG198" s="228">
        <v>-12.7</v>
      </c>
      <c r="DH198" s="228">
        <v>-0.02</v>
      </c>
      <c r="DI198" s="228">
        <v>29.6</v>
      </c>
      <c r="DJ198" s="228">
        <v>28.31</v>
      </c>
      <c r="DK198" s="228">
        <v>1.29</v>
      </c>
      <c r="DL198" s="228">
        <v>1.29</v>
      </c>
      <c r="DM198" s="228">
        <v>31.24</v>
      </c>
      <c r="DN198" s="228">
        <v>28.39</v>
      </c>
      <c r="DO198" s="228">
        <v>2.85</v>
      </c>
      <c r="DP198" s="228">
        <v>2.85</v>
      </c>
      <c r="DQ198" s="228">
        <v>0.74</v>
      </c>
      <c r="DR198" s="228">
        <v>0.76</v>
      </c>
      <c r="DS198" s="228">
        <v>-0.02</v>
      </c>
      <c r="DT198" s="229">
        <v>-2.63E-2</v>
      </c>
      <c r="DU198" s="231">
        <v>14500</v>
      </c>
      <c r="DV198" s="231">
        <v>14500</v>
      </c>
      <c r="DW198" s="228">
        <v>0.51</v>
      </c>
      <c r="DX198" s="228">
        <v>0.32</v>
      </c>
      <c r="DY198" s="228">
        <v>0.19</v>
      </c>
      <c r="DZ198" s="229">
        <v>0.59379999999999999</v>
      </c>
      <c r="EA198" s="229">
        <v>0.86399999999999999</v>
      </c>
      <c r="EB198" s="230">
        <v>693825</v>
      </c>
      <c r="EC198" s="229">
        <v>4.5999999999999999E-3</v>
      </c>
      <c r="ED198" s="229">
        <v>0.86399999999999999</v>
      </c>
      <c r="EE198" s="228">
        <v>65.05</v>
      </c>
      <c r="EF198" s="229">
        <v>4.5999999999999999E-3</v>
      </c>
      <c r="EG198" s="230">
        <v>146133</v>
      </c>
      <c r="EH198" s="230">
        <v>79764</v>
      </c>
      <c r="EI198" s="229">
        <v>0.83209999999999995</v>
      </c>
      <c r="EJ198" s="229">
        <v>0.70589999999999997</v>
      </c>
      <c r="EK198" s="231">
        <v>1179.22</v>
      </c>
      <c r="EL198" s="228">
        <v>579.54</v>
      </c>
      <c r="EM198" s="231">
        <v>1016.69</v>
      </c>
      <c r="EN198" s="228">
        <v>0</v>
      </c>
      <c r="EO198" s="231">
        <v>2775.45</v>
      </c>
      <c r="EP198" s="231">
        <v>2673.04</v>
      </c>
      <c r="EQ198" s="228">
        <v>102.41</v>
      </c>
      <c r="ER198" s="229">
        <v>3.8300000000000001E-2</v>
      </c>
      <c r="ES198" s="228">
        <v>156.65</v>
      </c>
      <c r="ET198" s="228">
        <v>107.95</v>
      </c>
      <c r="EU198" s="231">
        <v>1186.79</v>
      </c>
      <c r="EV198" s="231">
        <v>4859756</v>
      </c>
      <c r="EW198" s="231">
        <v>1451.39</v>
      </c>
      <c r="EX198" s="231">
        <v>3166.41</v>
      </c>
      <c r="EY198" s="231">
        <v>-1715.02</v>
      </c>
      <c r="EZ198" s="229">
        <v>-0.54159999999999997</v>
      </c>
      <c r="FA198" s="229">
        <v>0.20760000000000001</v>
      </c>
      <c r="FB198" s="227" t="s">
        <v>568</v>
      </c>
      <c r="FC198">
        <f t="shared" si="4"/>
        <v>0</v>
      </c>
    </row>
    <row r="199" spans="1:159" ht="17.25" thickBot="1" x14ac:dyDescent="0.3">
      <c r="A199" s="226">
        <v>45869</v>
      </c>
      <c r="B199" s="227" t="s">
        <v>162</v>
      </c>
      <c r="C199" s="227" t="s">
        <v>615</v>
      </c>
      <c r="D199" s="228">
        <v>1050</v>
      </c>
      <c r="E199" s="228">
        <v>0</v>
      </c>
      <c r="F199" s="228">
        <v>451.15</v>
      </c>
      <c r="G199" s="228">
        <v>458</v>
      </c>
      <c r="H199" s="228">
        <v>-6.85</v>
      </c>
      <c r="I199" s="229">
        <v>-1.4999999999999999E-2</v>
      </c>
      <c r="J199" s="228">
        <v>449.55</v>
      </c>
      <c r="K199" s="228">
        <v>461.3</v>
      </c>
      <c r="L199" s="228">
        <v>-11.75</v>
      </c>
      <c r="M199" s="229">
        <v>-2.5499999999999998E-2</v>
      </c>
      <c r="N199" s="228">
        <v>451.1</v>
      </c>
      <c r="O199" s="228">
        <v>461.05</v>
      </c>
      <c r="P199" s="228">
        <v>-9.9499999999999993</v>
      </c>
      <c r="Q199" s="229">
        <v>-2.1600000000000001E-2</v>
      </c>
      <c r="R199" s="228">
        <v>451.15</v>
      </c>
      <c r="S199" s="228">
        <v>458</v>
      </c>
      <c r="T199" s="228">
        <v>-6.85</v>
      </c>
      <c r="U199" s="229">
        <v>-1.4999999999999999E-2</v>
      </c>
      <c r="V199" s="228">
        <v>448.95</v>
      </c>
      <c r="W199" s="228">
        <v>455.55</v>
      </c>
      <c r="X199" s="228">
        <v>-6.6</v>
      </c>
      <c r="Y199" s="229">
        <v>-1.4500000000000001E-2</v>
      </c>
      <c r="Z199" s="228">
        <v>1.6</v>
      </c>
      <c r="AA199" s="228">
        <v>-0.25</v>
      </c>
      <c r="AB199" s="228">
        <v>1.85</v>
      </c>
      <c r="AC199" s="229">
        <v>3.5999999999999999E-3</v>
      </c>
      <c r="AD199" s="228">
        <v>1.55</v>
      </c>
      <c r="AE199" s="228">
        <v>-0.25</v>
      </c>
      <c r="AF199" s="228">
        <v>1.8</v>
      </c>
      <c r="AG199" s="229">
        <v>3.3999999999999998E-3</v>
      </c>
      <c r="AH199" s="228">
        <v>1.6</v>
      </c>
      <c r="AI199" s="228">
        <v>-3.3</v>
      </c>
      <c r="AJ199" s="228">
        <v>4.9000000000000004</v>
      </c>
      <c r="AK199" s="229">
        <v>3.5999999999999999E-3</v>
      </c>
      <c r="AL199" s="228">
        <v>-0.6</v>
      </c>
      <c r="AM199" s="228">
        <v>-5.75</v>
      </c>
      <c r="AN199" s="228">
        <v>5.15</v>
      </c>
      <c r="AO199" s="229">
        <v>-1.2999999999999999E-3</v>
      </c>
      <c r="AP199" s="228">
        <v>451.12</v>
      </c>
      <c r="AQ199" s="228">
        <v>450.24</v>
      </c>
      <c r="AR199" s="228">
        <v>0</v>
      </c>
      <c r="AS199" s="228">
        <v>819</v>
      </c>
      <c r="AT199" s="228">
        <v>677</v>
      </c>
      <c r="AU199" s="228">
        <v>142</v>
      </c>
      <c r="AV199" s="229">
        <v>0.21029999999999999</v>
      </c>
      <c r="AW199" s="228">
        <v>349</v>
      </c>
      <c r="AX199" s="228">
        <v>313</v>
      </c>
      <c r="AY199" s="228">
        <v>36</v>
      </c>
      <c r="AZ199" s="229">
        <v>0.1147</v>
      </c>
      <c r="BA199" s="228">
        <v>459</v>
      </c>
      <c r="BB199" s="228">
        <v>356</v>
      </c>
      <c r="BC199" s="228">
        <v>103</v>
      </c>
      <c r="BD199" s="229">
        <v>0.28870000000000001</v>
      </c>
      <c r="BE199" s="228">
        <v>11</v>
      </c>
      <c r="BF199" s="228">
        <v>8</v>
      </c>
      <c r="BG199" s="228">
        <v>4</v>
      </c>
      <c r="BH199" s="229">
        <v>0.46949999999999997</v>
      </c>
      <c r="BI199" s="228">
        <v>125</v>
      </c>
      <c r="BJ199" s="228">
        <v>287</v>
      </c>
      <c r="BK199" s="228">
        <v>-162</v>
      </c>
      <c r="BL199" s="229">
        <v>-0.56479999999999997</v>
      </c>
      <c r="BM199" s="228">
        <v>160</v>
      </c>
      <c r="BN199" s="228">
        <v>251</v>
      </c>
      <c r="BO199" s="228">
        <v>-91</v>
      </c>
      <c r="BP199" s="229">
        <v>-0.36149999999999999</v>
      </c>
      <c r="BQ199" s="230">
        <v>1104</v>
      </c>
      <c r="BR199" s="230">
        <v>1214</v>
      </c>
      <c r="BS199" s="228">
        <v>-110</v>
      </c>
      <c r="BT199" s="229">
        <v>-9.0800000000000006E-2</v>
      </c>
      <c r="BU199" s="230">
        <v>8186996</v>
      </c>
      <c r="BV199" s="230">
        <v>2919782</v>
      </c>
      <c r="BW199" s="230">
        <v>5267214</v>
      </c>
      <c r="BX199" s="229">
        <v>1.804</v>
      </c>
      <c r="BY199" s="228">
        <v>916</v>
      </c>
      <c r="BZ199" s="230">
        <v>1143</v>
      </c>
      <c r="CA199" s="228">
        <v>-227</v>
      </c>
      <c r="CB199" s="229">
        <v>-0.19850000000000001</v>
      </c>
      <c r="CC199" s="228">
        <v>138</v>
      </c>
      <c r="CD199" s="228">
        <v>296</v>
      </c>
      <c r="CE199" s="228">
        <v>-158</v>
      </c>
      <c r="CF199" s="229">
        <v>-0.53390000000000004</v>
      </c>
      <c r="CG199" s="228">
        <v>894</v>
      </c>
      <c r="CH199" s="228">
        <v>827</v>
      </c>
      <c r="CI199" s="228">
        <v>67</v>
      </c>
      <c r="CJ199" s="229">
        <v>8.1500000000000003E-2</v>
      </c>
      <c r="CK199" s="228">
        <v>22</v>
      </c>
      <c r="CL199" s="228">
        <v>20</v>
      </c>
      <c r="CM199" s="228">
        <v>2</v>
      </c>
      <c r="CN199" s="229">
        <v>8.4699999999999998E-2</v>
      </c>
      <c r="CO199" s="228">
        <v>90</v>
      </c>
      <c r="CP199" s="228">
        <v>258</v>
      </c>
      <c r="CQ199" s="228">
        <v>-168</v>
      </c>
      <c r="CR199" s="229">
        <v>-0.65180000000000005</v>
      </c>
      <c r="CS199" s="228">
        <v>83</v>
      </c>
      <c r="CT199" s="228">
        <v>155</v>
      </c>
      <c r="CU199" s="228">
        <v>-72</v>
      </c>
      <c r="CV199" s="229">
        <v>-0.46350000000000002</v>
      </c>
      <c r="CW199" s="230">
        <v>1089</v>
      </c>
      <c r="CX199" s="230">
        <v>1556</v>
      </c>
      <c r="CY199" s="228">
        <v>-467</v>
      </c>
      <c r="CZ199" s="229">
        <v>-0.30009999999999998</v>
      </c>
      <c r="DA199" s="228">
        <v>43.18</v>
      </c>
      <c r="DB199" s="228">
        <v>42.14</v>
      </c>
      <c r="DC199" s="228">
        <v>1.04</v>
      </c>
      <c r="DD199" s="228">
        <v>1.04</v>
      </c>
      <c r="DE199" s="228">
        <v>42.98</v>
      </c>
      <c r="DF199" s="228">
        <v>42.94</v>
      </c>
      <c r="DG199" s="228">
        <v>0.2</v>
      </c>
      <c r="DH199" s="228">
        <v>0.04</v>
      </c>
      <c r="DI199" s="228">
        <v>41.85</v>
      </c>
      <c r="DJ199" s="228">
        <v>41.77</v>
      </c>
      <c r="DK199" s="228">
        <v>0.08</v>
      </c>
      <c r="DL199" s="228">
        <v>0.08</v>
      </c>
      <c r="DM199" s="228">
        <v>44.23</v>
      </c>
      <c r="DN199" s="228">
        <v>42.61</v>
      </c>
      <c r="DO199" s="228">
        <v>1.62</v>
      </c>
      <c r="DP199" s="228">
        <v>1.62</v>
      </c>
      <c r="DQ199" s="228">
        <v>0.93</v>
      </c>
      <c r="DR199" s="228">
        <v>0.6</v>
      </c>
      <c r="DS199" s="228">
        <v>0.33</v>
      </c>
      <c r="DT199" s="229">
        <v>0.55000000000000004</v>
      </c>
      <c r="DU199" s="228">
        <v>500</v>
      </c>
      <c r="DV199" s="228">
        <v>400</v>
      </c>
      <c r="DW199" s="228">
        <v>1.28</v>
      </c>
      <c r="DX199" s="228">
        <v>0.87</v>
      </c>
      <c r="DY199" s="228">
        <v>0.41</v>
      </c>
      <c r="DZ199" s="229">
        <v>0.4713</v>
      </c>
      <c r="EA199" s="229">
        <v>0.86909999999999998</v>
      </c>
      <c r="EB199" s="230">
        <v>18770850</v>
      </c>
      <c r="EC199" s="229">
        <v>1E-4</v>
      </c>
      <c r="ED199" s="229">
        <v>0.86909999999999998</v>
      </c>
      <c r="EE199" s="228">
        <v>-0.88</v>
      </c>
      <c r="EF199" s="229">
        <v>-2E-3</v>
      </c>
      <c r="EG199" s="230">
        <v>4645172</v>
      </c>
      <c r="EH199" s="230">
        <v>1600961</v>
      </c>
      <c r="EI199" s="229">
        <v>1.9015</v>
      </c>
      <c r="EJ199" s="229">
        <v>0.56740000000000002</v>
      </c>
      <c r="EK199" s="228">
        <v>134.12</v>
      </c>
      <c r="EL199" s="228">
        <v>158.86000000000001</v>
      </c>
      <c r="EM199" s="228">
        <v>818.07</v>
      </c>
      <c r="EN199" s="228">
        <v>0</v>
      </c>
      <c r="EO199" s="231">
        <v>1111.04</v>
      </c>
      <c r="EP199" s="231">
        <v>1253.71</v>
      </c>
      <c r="EQ199" s="228">
        <v>-142.66999999999999</v>
      </c>
      <c r="ER199" s="229">
        <v>-0.1138</v>
      </c>
      <c r="ES199" s="228">
        <v>98.06</v>
      </c>
      <c r="ET199" s="228">
        <v>81.33</v>
      </c>
      <c r="EU199" s="228">
        <v>915.85</v>
      </c>
      <c r="EV199" s="231">
        <v>89501464</v>
      </c>
      <c r="EW199" s="231">
        <v>1095.24</v>
      </c>
      <c r="EX199" s="231">
        <v>1603.22</v>
      </c>
      <c r="EY199" s="228">
        <v>-507.98</v>
      </c>
      <c r="EZ199" s="229">
        <v>-0.31680000000000003</v>
      </c>
      <c r="FA199" s="229">
        <v>0.2697</v>
      </c>
      <c r="FB199" s="227" t="s">
        <v>568</v>
      </c>
      <c r="FC199">
        <f t="shared" si="4"/>
        <v>0</v>
      </c>
    </row>
    <row r="200" spans="1:159" ht="17.25" thickBot="1" x14ac:dyDescent="0.3">
      <c r="A200" s="226">
        <v>45869</v>
      </c>
      <c r="B200" s="227" t="s">
        <v>197</v>
      </c>
      <c r="C200" s="227" t="s">
        <v>286</v>
      </c>
      <c r="D200" s="228">
        <v>200</v>
      </c>
      <c r="E200" s="228">
        <v>0</v>
      </c>
      <c r="F200" s="231">
        <v>3052</v>
      </c>
      <c r="G200" s="231">
        <v>3104.7</v>
      </c>
      <c r="H200" s="228">
        <v>-52.7</v>
      </c>
      <c r="I200" s="229">
        <v>-1.7000000000000001E-2</v>
      </c>
      <c r="J200" s="231">
        <v>3040.8</v>
      </c>
      <c r="K200" s="231">
        <v>3086.5</v>
      </c>
      <c r="L200" s="228">
        <v>-45.7</v>
      </c>
      <c r="M200" s="229">
        <v>-1.4800000000000001E-2</v>
      </c>
      <c r="N200" s="231">
        <v>3035.1</v>
      </c>
      <c r="O200" s="231">
        <v>3088.2</v>
      </c>
      <c r="P200" s="228">
        <v>-53.1</v>
      </c>
      <c r="Q200" s="229">
        <v>-1.72E-2</v>
      </c>
      <c r="R200" s="231">
        <v>3052</v>
      </c>
      <c r="S200" s="231">
        <v>3104.7</v>
      </c>
      <c r="T200" s="228">
        <v>-52.7</v>
      </c>
      <c r="U200" s="229">
        <v>-1.7000000000000001E-2</v>
      </c>
      <c r="V200" s="231">
        <v>3070</v>
      </c>
      <c r="W200" s="231">
        <v>3120.7</v>
      </c>
      <c r="X200" s="228">
        <v>-50.7</v>
      </c>
      <c r="Y200" s="229">
        <v>-1.6199999999999999E-2</v>
      </c>
      <c r="Z200" s="228">
        <v>11.2</v>
      </c>
      <c r="AA200" s="228">
        <v>1.7</v>
      </c>
      <c r="AB200" s="228">
        <v>9.5</v>
      </c>
      <c r="AC200" s="229">
        <v>3.7000000000000002E-3</v>
      </c>
      <c r="AD200" s="228">
        <v>-5.7</v>
      </c>
      <c r="AE200" s="228">
        <v>1.7</v>
      </c>
      <c r="AF200" s="228">
        <v>-7.4</v>
      </c>
      <c r="AG200" s="229">
        <v>-1.9E-3</v>
      </c>
      <c r="AH200" s="228">
        <v>11.2</v>
      </c>
      <c r="AI200" s="228">
        <v>18.2</v>
      </c>
      <c r="AJ200" s="228">
        <v>-7</v>
      </c>
      <c r="AK200" s="229">
        <v>3.7000000000000002E-3</v>
      </c>
      <c r="AL200" s="228">
        <v>29.2</v>
      </c>
      <c r="AM200" s="228">
        <v>34.200000000000003</v>
      </c>
      <c r="AN200" s="228">
        <v>-5</v>
      </c>
      <c r="AO200" s="229">
        <v>9.5999999999999992E-3</v>
      </c>
      <c r="AP200" s="231">
        <v>3036.76</v>
      </c>
      <c r="AQ200" s="231">
        <v>3047.47</v>
      </c>
      <c r="AR200" s="228">
        <v>0</v>
      </c>
      <c r="AS200" s="228">
        <v>979</v>
      </c>
      <c r="AT200" s="228">
        <v>828</v>
      </c>
      <c r="AU200" s="228">
        <v>151</v>
      </c>
      <c r="AV200" s="229">
        <v>0.18279999999999999</v>
      </c>
      <c r="AW200" s="228">
        <v>373</v>
      </c>
      <c r="AX200" s="228">
        <v>392</v>
      </c>
      <c r="AY200" s="228">
        <v>-19</v>
      </c>
      <c r="AZ200" s="229">
        <v>-4.8500000000000001E-2</v>
      </c>
      <c r="BA200" s="228">
        <v>600</v>
      </c>
      <c r="BB200" s="228">
        <v>433</v>
      </c>
      <c r="BC200" s="228">
        <v>167</v>
      </c>
      <c r="BD200" s="229">
        <v>0.38600000000000001</v>
      </c>
      <c r="BE200" s="228">
        <v>6</v>
      </c>
      <c r="BF200" s="228">
        <v>3</v>
      </c>
      <c r="BG200" s="228">
        <v>3</v>
      </c>
      <c r="BH200" s="229">
        <v>1.2222</v>
      </c>
      <c r="BI200" s="228">
        <v>862</v>
      </c>
      <c r="BJ200" s="228">
        <v>843</v>
      </c>
      <c r="BK200" s="228">
        <v>19</v>
      </c>
      <c r="BL200" s="229">
        <v>2.2599999999999999E-2</v>
      </c>
      <c r="BM200" s="228">
        <v>866</v>
      </c>
      <c r="BN200" s="228">
        <v>429</v>
      </c>
      <c r="BO200" s="228">
        <v>437</v>
      </c>
      <c r="BP200" s="229">
        <v>1.0192000000000001</v>
      </c>
      <c r="BQ200" s="230">
        <v>2707</v>
      </c>
      <c r="BR200" s="230">
        <v>2100</v>
      </c>
      <c r="BS200" s="228">
        <v>608</v>
      </c>
      <c r="BT200" s="229">
        <v>0.28939999999999999</v>
      </c>
      <c r="BU200" s="230">
        <v>695208</v>
      </c>
      <c r="BV200" s="230">
        <v>468092</v>
      </c>
      <c r="BW200" s="230">
        <v>227116</v>
      </c>
      <c r="BX200" s="229">
        <v>0.48520000000000002</v>
      </c>
      <c r="BY200" s="230">
        <v>1182</v>
      </c>
      <c r="BZ200" s="230">
        <v>1263</v>
      </c>
      <c r="CA200" s="228">
        <v>-80</v>
      </c>
      <c r="CB200" s="229">
        <v>-6.3500000000000001E-2</v>
      </c>
      <c r="CC200" s="228">
        <v>47</v>
      </c>
      <c r="CD200" s="228">
        <v>252</v>
      </c>
      <c r="CE200" s="228">
        <v>-205</v>
      </c>
      <c r="CF200" s="229">
        <v>-0.81269999999999998</v>
      </c>
      <c r="CG200" s="230">
        <v>1172</v>
      </c>
      <c r="CH200" s="230">
        <v>1002</v>
      </c>
      <c r="CI200" s="228">
        <v>170</v>
      </c>
      <c r="CJ200" s="229">
        <v>0.1701</v>
      </c>
      <c r="CK200" s="228">
        <v>10</v>
      </c>
      <c r="CL200" s="228">
        <v>8</v>
      </c>
      <c r="CM200" s="228">
        <v>2</v>
      </c>
      <c r="CN200" s="229">
        <v>0.2059</v>
      </c>
      <c r="CO200" s="228">
        <v>265</v>
      </c>
      <c r="CP200" s="228">
        <v>593</v>
      </c>
      <c r="CQ200" s="228">
        <v>-328</v>
      </c>
      <c r="CR200" s="229">
        <v>-0.55300000000000005</v>
      </c>
      <c r="CS200" s="228">
        <v>180</v>
      </c>
      <c r="CT200" s="228">
        <v>326</v>
      </c>
      <c r="CU200" s="228">
        <v>-146</v>
      </c>
      <c r="CV200" s="229">
        <v>-0.44800000000000001</v>
      </c>
      <c r="CW200" s="230">
        <v>1628</v>
      </c>
      <c r="CX200" s="230">
        <v>2182</v>
      </c>
      <c r="CY200" s="228">
        <v>-554</v>
      </c>
      <c r="CZ200" s="229">
        <v>-0.254</v>
      </c>
      <c r="DA200" s="228">
        <v>28.11</v>
      </c>
      <c r="DB200" s="228">
        <v>27.21</v>
      </c>
      <c r="DC200" s="228">
        <v>0.9</v>
      </c>
      <c r="DD200" s="228">
        <v>0.9</v>
      </c>
      <c r="DE200" s="228">
        <v>33.93</v>
      </c>
      <c r="DF200" s="228">
        <v>33.96</v>
      </c>
      <c r="DG200" s="228">
        <v>-5.82</v>
      </c>
      <c r="DH200" s="228">
        <v>-0.03</v>
      </c>
      <c r="DI200" s="228">
        <v>28.24</v>
      </c>
      <c r="DJ200" s="228">
        <v>27.26</v>
      </c>
      <c r="DK200" s="228">
        <v>0.98</v>
      </c>
      <c r="DL200" s="228">
        <v>0.98</v>
      </c>
      <c r="DM200" s="228">
        <v>27.9</v>
      </c>
      <c r="DN200" s="228">
        <v>27.1</v>
      </c>
      <c r="DO200" s="228">
        <v>0.8</v>
      </c>
      <c r="DP200" s="228">
        <v>0.8</v>
      </c>
      <c r="DQ200" s="228">
        <v>0.68</v>
      </c>
      <c r="DR200" s="228">
        <v>0.55000000000000004</v>
      </c>
      <c r="DS200" s="228">
        <v>0.13</v>
      </c>
      <c r="DT200" s="229">
        <v>0.2364</v>
      </c>
      <c r="DU200" s="231">
        <v>3200</v>
      </c>
      <c r="DV200" s="231">
        <v>3000</v>
      </c>
      <c r="DW200" s="228">
        <v>1.01</v>
      </c>
      <c r="DX200" s="228">
        <v>0.51</v>
      </c>
      <c r="DY200" s="228">
        <v>0.5</v>
      </c>
      <c r="DZ200" s="229">
        <v>0.98040000000000005</v>
      </c>
      <c r="EA200" s="229">
        <v>0.96160000000000001</v>
      </c>
      <c r="EB200" s="230">
        <v>3310400</v>
      </c>
      <c r="EC200" s="229">
        <v>5.5999999999999999E-3</v>
      </c>
      <c r="ED200" s="229">
        <v>0.96160000000000001</v>
      </c>
      <c r="EE200" s="228">
        <v>10.71</v>
      </c>
      <c r="EF200" s="229">
        <v>3.5000000000000001E-3</v>
      </c>
      <c r="EG200" s="230">
        <v>321856</v>
      </c>
      <c r="EH200" s="230">
        <v>276702</v>
      </c>
      <c r="EI200" s="229">
        <v>0.16320000000000001</v>
      </c>
      <c r="EJ200" s="229">
        <v>0.46300000000000002</v>
      </c>
      <c r="EK200" s="228">
        <v>905.88</v>
      </c>
      <c r="EL200" s="228">
        <v>860.75</v>
      </c>
      <c r="EM200" s="228">
        <v>976.37</v>
      </c>
      <c r="EN200" s="228">
        <v>0</v>
      </c>
      <c r="EO200" s="231">
        <v>2743</v>
      </c>
      <c r="EP200" s="231">
        <v>2173.23</v>
      </c>
      <c r="EQ200" s="228">
        <v>569.77</v>
      </c>
      <c r="ER200" s="229">
        <v>0.26219999999999999</v>
      </c>
      <c r="ES200" s="228">
        <v>280.25</v>
      </c>
      <c r="ET200" s="228">
        <v>177.2</v>
      </c>
      <c r="EU200" s="231">
        <v>1182.53</v>
      </c>
      <c r="EV200" s="231">
        <v>29488465</v>
      </c>
      <c r="EW200" s="231">
        <v>1639.97</v>
      </c>
      <c r="EX200" s="231">
        <v>2240.5300000000002</v>
      </c>
      <c r="EY200" s="228">
        <v>-600.55999999999995</v>
      </c>
      <c r="EZ200" s="229">
        <v>-0.26800000000000002</v>
      </c>
      <c r="FA200" s="229">
        <v>0.18090000000000001</v>
      </c>
      <c r="FB200" s="227" t="s">
        <v>568</v>
      </c>
      <c r="FC200">
        <f t="shared" si="4"/>
        <v>0</v>
      </c>
    </row>
    <row r="201" spans="1:159" ht="17.25" thickBot="1" x14ac:dyDescent="0.3">
      <c r="A201" s="226">
        <v>45869</v>
      </c>
      <c r="B201" s="227" t="s">
        <v>170</v>
      </c>
      <c r="C201" s="227" t="s">
        <v>288</v>
      </c>
      <c r="D201" s="228">
        <v>350</v>
      </c>
      <c r="E201" s="228">
        <v>0</v>
      </c>
      <c r="F201" s="231">
        <v>1713.9</v>
      </c>
      <c r="G201" s="231">
        <v>1743.9</v>
      </c>
      <c r="H201" s="228">
        <v>-30</v>
      </c>
      <c r="I201" s="229">
        <v>-1.72E-2</v>
      </c>
      <c r="J201" s="231">
        <v>1706.7</v>
      </c>
      <c r="K201" s="231">
        <v>1733.8</v>
      </c>
      <c r="L201" s="228">
        <v>-27.1</v>
      </c>
      <c r="M201" s="229">
        <v>-1.5599999999999999E-2</v>
      </c>
      <c r="N201" s="231">
        <v>1708.1</v>
      </c>
      <c r="O201" s="231">
        <v>1732.6</v>
      </c>
      <c r="P201" s="228">
        <v>-24.5</v>
      </c>
      <c r="Q201" s="229">
        <v>-1.41E-2</v>
      </c>
      <c r="R201" s="231">
        <v>1713.9</v>
      </c>
      <c r="S201" s="231">
        <v>1743.9</v>
      </c>
      <c r="T201" s="228">
        <v>-30</v>
      </c>
      <c r="U201" s="229">
        <v>-1.72E-2</v>
      </c>
      <c r="V201" s="231">
        <v>1725.9</v>
      </c>
      <c r="W201" s="231">
        <v>1757.9</v>
      </c>
      <c r="X201" s="228">
        <v>-32</v>
      </c>
      <c r="Y201" s="229">
        <v>-1.8200000000000001E-2</v>
      </c>
      <c r="Z201" s="228">
        <v>7.2</v>
      </c>
      <c r="AA201" s="228">
        <v>-1.2</v>
      </c>
      <c r="AB201" s="228">
        <v>8.4</v>
      </c>
      <c r="AC201" s="229">
        <v>4.1999999999999997E-3</v>
      </c>
      <c r="AD201" s="228">
        <v>1.4</v>
      </c>
      <c r="AE201" s="228">
        <v>-1.2</v>
      </c>
      <c r="AF201" s="228">
        <v>2.6</v>
      </c>
      <c r="AG201" s="229">
        <v>8.0000000000000004E-4</v>
      </c>
      <c r="AH201" s="228">
        <v>7.2</v>
      </c>
      <c r="AI201" s="228">
        <v>10.1</v>
      </c>
      <c r="AJ201" s="228">
        <v>-2.9</v>
      </c>
      <c r="AK201" s="229">
        <v>4.1999999999999997E-3</v>
      </c>
      <c r="AL201" s="228">
        <v>19.2</v>
      </c>
      <c r="AM201" s="228">
        <v>24.1</v>
      </c>
      <c r="AN201" s="228">
        <v>-4.9000000000000004</v>
      </c>
      <c r="AO201" s="229">
        <v>1.12E-2</v>
      </c>
      <c r="AP201" s="231">
        <v>1722.38</v>
      </c>
      <c r="AQ201" s="231">
        <v>1732.73</v>
      </c>
      <c r="AR201" s="228">
        <v>0</v>
      </c>
      <c r="AS201" s="230">
        <v>3246</v>
      </c>
      <c r="AT201" s="230">
        <v>2110</v>
      </c>
      <c r="AU201" s="230">
        <v>1136</v>
      </c>
      <c r="AV201" s="229">
        <v>0.53849999999999998</v>
      </c>
      <c r="AW201" s="230">
        <v>1281</v>
      </c>
      <c r="AX201" s="230">
        <v>1014</v>
      </c>
      <c r="AY201" s="228">
        <v>267</v>
      </c>
      <c r="AZ201" s="229">
        <v>0.26350000000000001</v>
      </c>
      <c r="BA201" s="230">
        <v>1945</v>
      </c>
      <c r="BB201" s="230">
        <v>1084</v>
      </c>
      <c r="BC201" s="228">
        <v>861</v>
      </c>
      <c r="BD201" s="229">
        <v>0.79459999999999997</v>
      </c>
      <c r="BE201" s="228">
        <v>20</v>
      </c>
      <c r="BF201" s="228">
        <v>12</v>
      </c>
      <c r="BG201" s="228">
        <v>8</v>
      </c>
      <c r="BH201" s="229">
        <v>0.66339999999999999</v>
      </c>
      <c r="BI201" s="230">
        <v>5304</v>
      </c>
      <c r="BJ201" s="230">
        <v>3819</v>
      </c>
      <c r="BK201" s="230">
        <v>1484</v>
      </c>
      <c r="BL201" s="229">
        <v>0.38869999999999999</v>
      </c>
      <c r="BM201" s="230">
        <v>3370</v>
      </c>
      <c r="BN201" s="230">
        <v>1612</v>
      </c>
      <c r="BO201" s="230">
        <v>1759</v>
      </c>
      <c r="BP201" s="229">
        <v>1.0911999999999999</v>
      </c>
      <c r="BQ201" s="230">
        <v>11920</v>
      </c>
      <c r="BR201" s="230">
        <v>7541</v>
      </c>
      <c r="BS201" s="230">
        <v>4379</v>
      </c>
      <c r="BT201" s="229">
        <v>0.58069999999999999</v>
      </c>
      <c r="BU201" s="230">
        <v>3358027</v>
      </c>
      <c r="BV201" s="230">
        <v>2392483</v>
      </c>
      <c r="BW201" s="230">
        <v>965544</v>
      </c>
      <c r="BX201" s="229">
        <v>0.40360000000000001</v>
      </c>
      <c r="BY201" s="230">
        <v>3316</v>
      </c>
      <c r="BZ201" s="230">
        <v>3618</v>
      </c>
      <c r="CA201" s="228">
        <v>-302</v>
      </c>
      <c r="CB201" s="229">
        <v>-8.3400000000000002E-2</v>
      </c>
      <c r="CC201" s="228">
        <v>508</v>
      </c>
      <c r="CD201" s="228">
        <v>881</v>
      </c>
      <c r="CE201" s="228">
        <v>-373</v>
      </c>
      <c r="CF201" s="229">
        <v>-0.42330000000000001</v>
      </c>
      <c r="CG201" s="230">
        <v>3296</v>
      </c>
      <c r="CH201" s="230">
        <v>2722</v>
      </c>
      <c r="CI201" s="228">
        <v>573</v>
      </c>
      <c r="CJ201" s="229">
        <v>0.21060000000000001</v>
      </c>
      <c r="CK201" s="228">
        <v>21</v>
      </c>
      <c r="CL201" s="228">
        <v>15</v>
      </c>
      <c r="CM201" s="228">
        <v>6</v>
      </c>
      <c r="CN201" s="229">
        <v>0.42980000000000002</v>
      </c>
      <c r="CO201" s="228">
        <v>527</v>
      </c>
      <c r="CP201" s="230">
        <v>1659</v>
      </c>
      <c r="CQ201" s="230">
        <v>-1132</v>
      </c>
      <c r="CR201" s="229">
        <v>-0.68220000000000003</v>
      </c>
      <c r="CS201" s="228">
        <v>321</v>
      </c>
      <c r="CT201" s="228">
        <v>983</v>
      </c>
      <c r="CU201" s="228">
        <v>-663</v>
      </c>
      <c r="CV201" s="229">
        <v>-0.67369999999999997</v>
      </c>
      <c r="CW201" s="230">
        <v>4164</v>
      </c>
      <c r="CX201" s="230">
        <v>6261</v>
      </c>
      <c r="CY201" s="230">
        <v>-2096</v>
      </c>
      <c r="CZ201" s="229">
        <v>-0.33479999999999999</v>
      </c>
      <c r="DA201" s="228">
        <v>23.44</v>
      </c>
      <c r="DB201" s="228">
        <v>25.23</v>
      </c>
      <c r="DC201" s="228">
        <v>-1.79</v>
      </c>
      <c r="DD201" s="228">
        <v>-1.79</v>
      </c>
      <c r="DE201" s="228">
        <v>24.07</v>
      </c>
      <c r="DF201" s="228">
        <v>24.04</v>
      </c>
      <c r="DG201" s="228">
        <v>-0.63</v>
      </c>
      <c r="DH201" s="228">
        <v>0.03</v>
      </c>
      <c r="DI201" s="228">
        <v>23.09</v>
      </c>
      <c r="DJ201" s="228">
        <v>25.11</v>
      </c>
      <c r="DK201" s="228">
        <v>-2.02</v>
      </c>
      <c r="DL201" s="228">
        <v>-2.02</v>
      </c>
      <c r="DM201" s="228">
        <v>23.94</v>
      </c>
      <c r="DN201" s="228">
        <v>25.65</v>
      </c>
      <c r="DO201" s="228">
        <v>-1.71</v>
      </c>
      <c r="DP201" s="228">
        <v>-1.71</v>
      </c>
      <c r="DQ201" s="228">
        <v>0.61</v>
      </c>
      <c r="DR201" s="228">
        <v>0.59</v>
      </c>
      <c r="DS201" s="228">
        <v>0.02</v>
      </c>
      <c r="DT201" s="229">
        <v>3.39E-2</v>
      </c>
      <c r="DU201" s="231">
        <v>1720</v>
      </c>
      <c r="DV201" s="231">
        <v>1700</v>
      </c>
      <c r="DW201" s="228">
        <v>0.64</v>
      </c>
      <c r="DX201" s="228">
        <v>0.42</v>
      </c>
      <c r="DY201" s="228">
        <v>0.22</v>
      </c>
      <c r="DZ201" s="229">
        <v>0.52380000000000004</v>
      </c>
      <c r="EA201" s="229">
        <v>0.86709999999999998</v>
      </c>
      <c r="EB201" s="230">
        <v>15968750</v>
      </c>
      <c r="EC201" s="229">
        <v>3.3999999999999998E-3</v>
      </c>
      <c r="ED201" s="229">
        <v>0.86709999999999998</v>
      </c>
      <c r="EE201" s="228">
        <v>10.35</v>
      </c>
      <c r="EF201" s="229">
        <v>6.0000000000000001E-3</v>
      </c>
      <c r="EG201" s="230">
        <v>1307251</v>
      </c>
      <c r="EH201" s="230">
        <v>1453637</v>
      </c>
      <c r="EI201" s="229">
        <v>-0.1007</v>
      </c>
      <c r="EJ201" s="229">
        <v>0.38929999999999998</v>
      </c>
      <c r="EK201" s="231">
        <v>5498.49</v>
      </c>
      <c r="EL201" s="231">
        <v>3366.05</v>
      </c>
      <c r="EM201" s="231">
        <v>3274.2</v>
      </c>
      <c r="EN201" s="228">
        <v>0</v>
      </c>
      <c r="EO201" s="231">
        <v>12138.74</v>
      </c>
      <c r="EP201" s="231">
        <v>7688.58</v>
      </c>
      <c r="EQ201" s="231">
        <v>4450.16</v>
      </c>
      <c r="ER201" s="229">
        <v>0.57879999999999998</v>
      </c>
      <c r="ES201" s="228">
        <v>549.66</v>
      </c>
      <c r="ET201" s="228">
        <v>309.52</v>
      </c>
      <c r="EU201" s="231">
        <v>3316.5</v>
      </c>
      <c r="EV201" s="231">
        <v>218440087</v>
      </c>
      <c r="EW201" s="231">
        <v>4175.6899999999996</v>
      </c>
      <c r="EX201" s="231">
        <v>6319.06</v>
      </c>
      <c r="EY201" s="231">
        <v>-2143.37</v>
      </c>
      <c r="EZ201" s="229">
        <v>-0.3392</v>
      </c>
      <c r="FA201" s="229">
        <v>0.11119999999999999</v>
      </c>
      <c r="FB201" s="227" t="s">
        <v>568</v>
      </c>
      <c r="FC201">
        <f t="shared" si="4"/>
        <v>0</v>
      </c>
    </row>
    <row r="202" spans="1:159" ht="17.25" thickBot="1" x14ac:dyDescent="0.3">
      <c r="A202" s="226">
        <v>45869</v>
      </c>
      <c r="B202" s="227" t="s">
        <v>184</v>
      </c>
      <c r="C202" s="227" t="s">
        <v>575</v>
      </c>
      <c r="D202" s="228">
        <v>175</v>
      </c>
      <c r="E202" s="228">
        <v>0</v>
      </c>
      <c r="F202" s="231">
        <v>4323.5</v>
      </c>
      <c r="G202" s="231">
        <v>4299.1000000000004</v>
      </c>
      <c r="H202" s="228">
        <v>24.4</v>
      </c>
      <c r="I202" s="229">
        <v>5.7000000000000002E-3</v>
      </c>
      <c r="J202" s="231">
        <v>4306.8999999999996</v>
      </c>
      <c r="K202" s="231">
        <v>4279.2</v>
      </c>
      <c r="L202" s="228">
        <v>27.7</v>
      </c>
      <c r="M202" s="229">
        <v>6.4999999999999997E-3</v>
      </c>
      <c r="N202" s="231">
        <v>4299.7</v>
      </c>
      <c r="O202" s="231">
        <v>4275.7</v>
      </c>
      <c r="P202" s="228">
        <v>24</v>
      </c>
      <c r="Q202" s="229">
        <v>5.5999999999999999E-3</v>
      </c>
      <c r="R202" s="231">
        <v>4323.5</v>
      </c>
      <c r="S202" s="231">
        <v>4299.1000000000004</v>
      </c>
      <c r="T202" s="228">
        <v>24.4</v>
      </c>
      <c r="U202" s="229">
        <v>5.7000000000000002E-3</v>
      </c>
      <c r="V202" s="231">
        <v>4347.8</v>
      </c>
      <c r="W202" s="231">
        <v>4322.3</v>
      </c>
      <c r="X202" s="228">
        <v>25.5</v>
      </c>
      <c r="Y202" s="229">
        <v>5.8999999999999999E-3</v>
      </c>
      <c r="Z202" s="228">
        <v>16.600000000000001</v>
      </c>
      <c r="AA202" s="228">
        <v>-3.5</v>
      </c>
      <c r="AB202" s="228">
        <v>20.100000000000001</v>
      </c>
      <c r="AC202" s="229">
        <v>3.8999999999999998E-3</v>
      </c>
      <c r="AD202" s="228">
        <v>-7.2</v>
      </c>
      <c r="AE202" s="228">
        <v>-3.5</v>
      </c>
      <c r="AF202" s="228">
        <v>-3.7</v>
      </c>
      <c r="AG202" s="229">
        <v>-1.6999999999999999E-3</v>
      </c>
      <c r="AH202" s="228">
        <v>16.600000000000001</v>
      </c>
      <c r="AI202" s="228">
        <v>19.899999999999999</v>
      </c>
      <c r="AJ202" s="228">
        <v>-3.3</v>
      </c>
      <c r="AK202" s="229">
        <v>3.8999999999999998E-3</v>
      </c>
      <c r="AL202" s="228">
        <v>40.9</v>
      </c>
      <c r="AM202" s="228">
        <v>43.1</v>
      </c>
      <c r="AN202" s="228">
        <v>-2.2000000000000002</v>
      </c>
      <c r="AO202" s="229">
        <v>9.4999999999999998E-3</v>
      </c>
      <c r="AP202" s="231">
        <v>4282.24</v>
      </c>
      <c r="AQ202" s="231">
        <v>4304.04</v>
      </c>
      <c r="AR202" s="228">
        <v>0</v>
      </c>
      <c r="AS202" s="228">
        <v>296</v>
      </c>
      <c r="AT202" s="228">
        <v>396</v>
      </c>
      <c r="AU202" s="228">
        <v>-100</v>
      </c>
      <c r="AV202" s="229">
        <v>-0.25180000000000002</v>
      </c>
      <c r="AW202" s="228">
        <v>107</v>
      </c>
      <c r="AX202" s="228">
        <v>185</v>
      </c>
      <c r="AY202" s="228">
        <v>-78</v>
      </c>
      <c r="AZ202" s="229">
        <v>-0.42109999999999997</v>
      </c>
      <c r="BA202" s="228">
        <v>188</v>
      </c>
      <c r="BB202" s="228">
        <v>210</v>
      </c>
      <c r="BC202" s="228">
        <v>-21</v>
      </c>
      <c r="BD202" s="229">
        <v>-0.1021</v>
      </c>
      <c r="BE202" s="228">
        <v>1</v>
      </c>
      <c r="BF202" s="228">
        <v>1</v>
      </c>
      <c r="BG202" s="228">
        <v>0</v>
      </c>
      <c r="BH202" s="229">
        <v>-0.29409999999999997</v>
      </c>
      <c r="BI202" s="228">
        <v>197</v>
      </c>
      <c r="BJ202" s="228">
        <v>325</v>
      </c>
      <c r="BK202" s="228">
        <v>-128</v>
      </c>
      <c r="BL202" s="229">
        <v>-0.39329999999999998</v>
      </c>
      <c r="BM202" s="228">
        <v>223</v>
      </c>
      <c r="BN202" s="228">
        <v>405</v>
      </c>
      <c r="BO202" s="228">
        <v>-182</v>
      </c>
      <c r="BP202" s="229">
        <v>-0.44879999999999998</v>
      </c>
      <c r="BQ202" s="228">
        <v>717</v>
      </c>
      <c r="BR202" s="230">
        <v>1126</v>
      </c>
      <c r="BS202" s="228">
        <v>-409</v>
      </c>
      <c r="BT202" s="229">
        <v>-0.36349999999999999</v>
      </c>
      <c r="BU202" s="230">
        <v>160017</v>
      </c>
      <c r="BV202" s="230">
        <v>124948</v>
      </c>
      <c r="BW202" s="230">
        <v>35069</v>
      </c>
      <c r="BX202" s="229">
        <v>0.28070000000000001</v>
      </c>
      <c r="BY202" s="228">
        <v>603</v>
      </c>
      <c r="BZ202" s="228">
        <v>622</v>
      </c>
      <c r="CA202" s="228">
        <v>-19</v>
      </c>
      <c r="CB202" s="229">
        <v>-2.9899999999999999E-2</v>
      </c>
      <c r="CC202" s="228">
        <v>45</v>
      </c>
      <c r="CD202" s="228">
        <v>73</v>
      </c>
      <c r="CE202" s="228">
        <v>-29</v>
      </c>
      <c r="CF202" s="229">
        <v>-0.3891</v>
      </c>
      <c r="CG202" s="228">
        <v>598</v>
      </c>
      <c r="CH202" s="228">
        <v>544</v>
      </c>
      <c r="CI202" s="228">
        <v>54</v>
      </c>
      <c r="CJ202" s="229">
        <v>9.9500000000000005E-2</v>
      </c>
      <c r="CK202" s="228">
        <v>5</v>
      </c>
      <c r="CL202" s="228">
        <v>5</v>
      </c>
      <c r="CM202" s="228">
        <v>1</v>
      </c>
      <c r="CN202" s="229">
        <v>0.129</v>
      </c>
      <c r="CO202" s="228">
        <v>46</v>
      </c>
      <c r="CP202" s="228">
        <v>202</v>
      </c>
      <c r="CQ202" s="228">
        <v>-156</v>
      </c>
      <c r="CR202" s="229">
        <v>-0.77439999999999998</v>
      </c>
      <c r="CS202" s="228">
        <v>49</v>
      </c>
      <c r="CT202" s="228">
        <v>199</v>
      </c>
      <c r="CU202" s="228">
        <v>-150</v>
      </c>
      <c r="CV202" s="229">
        <v>-0.75419999999999998</v>
      </c>
      <c r="CW202" s="228">
        <v>698</v>
      </c>
      <c r="CX202" s="230">
        <v>1023</v>
      </c>
      <c r="CY202" s="228">
        <v>-325</v>
      </c>
      <c r="CZ202" s="229">
        <v>-0.31790000000000002</v>
      </c>
      <c r="DA202" s="228">
        <v>31.93</v>
      </c>
      <c r="DB202" s="228">
        <v>34.270000000000003</v>
      </c>
      <c r="DC202" s="228">
        <v>-2.34</v>
      </c>
      <c r="DD202" s="228">
        <v>-2.34</v>
      </c>
      <c r="DE202" s="228">
        <v>43.87</v>
      </c>
      <c r="DF202" s="228">
        <v>43.98</v>
      </c>
      <c r="DG202" s="228">
        <v>-11.94</v>
      </c>
      <c r="DH202" s="228">
        <v>-0.11</v>
      </c>
      <c r="DI202" s="228">
        <v>32.01</v>
      </c>
      <c r="DJ202" s="228">
        <v>33.71</v>
      </c>
      <c r="DK202" s="228">
        <v>-1.7</v>
      </c>
      <c r="DL202" s="228">
        <v>-1.7</v>
      </c>
      <c r="DM202" s="228">
        <v>31.87</v>
      </c>
      <c r="DN202" s="228">
        <v>34.799999999999997</v>
      </c>
      <c r="DO202" s="228">
        <v>-2.93</v>
      </c>
      <c r="DP202" s="228">
        <v>-2.93</v>
      </c>
      <c r="DQ202" s="228">
        <v>1.07</v>
      </c>
      <c r="DR202" s="228">
        <v>0.99</v>
      </c>
      <c r="DS202" s="228">
        <v>0.08</v>
      </c>
      <c r="DT202" s="229">
        <v>8.0799999999999997E-2</v>
      </c>
      <c r="DU202" s="231">
        <v>4400</v>
      </c>
      <c r="DV202" s="231">
        <v>4000</v>
      </c>
      <c r="DW202" s="228">
        <v>1.1299999999999999</v>
      </c>
      <c r="DX202" s="228">
        <v>1.24</v>
      </c>
      <c r="DY202" s="228">
        <v>-0.11</v>
      </c>
      <c r="DZ202" s="229">
        <v>-8.8700000000000001E-2</v>
      </c>
      <c r="EA202" s="229">
        <v>0.93089999999999995</v>
      </c>
      <c r="EB202" s="230">
        <v>1268750</v>
      </c>
      <c r="EC202" s="229">
        <v>5.4999999999999997E-3</v>
      </c>
      <c r="ED202" s="229">
        <v>0.93089999999999995</v>
      </c>
      <c r="EE202" s="228">
        <v>21.8</v>
      </c>
      <c r="EF202" s="229">
        <v>5.1000000000000004E-3</v>
      </c>
      <c r="EG202" s="230">
        <v>70505</v>
      </c>
      <c r="EH202" s="230">
        <v>54287</v>
      </c>
      <c r="EI202" s="229">
        <v>0.29870000000000002</v>
      </c>
      <c r="EJ202" s="229">
        <v>0.44059999999999999</v>
      </c>
      <c r="EK202" s="228">
        <v>203.58</v>
      </c>
      <c r="EL202" s="228">
        <v>217.6</v>
      </c>
      <c r="EM202" s="228">
        <v>294.42</v>
      </c>
      <c r="EN202" s="228">
        <v>0</v>
      </c>
      <c r="EO202" s="228">
        <v>715.59</v>
      </c>
      <c r="EP202" s="231">
        <v>1117.6600000000001</v>
      </c>
      <c r="EQ202" s="228">
        <v>-402.06</v>
      </c>
      <c r="ER202" s="229">
        <v>-0.35970000000000002</v>
      </c>
      <c r="ES202" s="228">
        <v>47.2</v>
      </c>
      <c r="ET202" s="228">
        <v>46.88</v>
      </c>
      <c r="EU202" s="228">
        <v>603.28</v>
      </c>
      <c r="EV202" s="231">
        <v>12994611</v>
      </c>
      <c r="EW202" s="228">
        <v>697.36</v>
      </c>
      <c r="EX202" s="231">
        <v>1014.86</v>
      </c>
      <c r="EY202" s="228">
        <v>-317.5</v>
      </c>
      <c r="EZ202" s="229">
        <v>-0.31290000000000001</v>
      </c>
      <c r="FA202" s="229">
        <v>0.1242</v>
      </c>
      <c r="FB202" s="227" t="s">
        <v>556</v>
      </c>
      <c r="FC202">
        <f t="shared" si="4"/>
        <v>0</v>
      </c>
    </row>
    <row r="203" spans="1:159" ht="17.25" thickBot="1" x14ac:dyDescent="0.3">
      <c r="A203" s="226">
        <v>45869</v>
      </c>
      <c r="B203" s="227" t="s">
        <v>170</v>
      </c>
      <c r="C203" s="227" t="s">
        <v>520</v>
      </c>
      <c r="D203" s="228">
        <v>1000</v>
      </c>
      <c r="E203" s="228">
        <v>0</v>
      </c>
      <c r="F203" s="228">
        <v>716.5</v>
      </c>
      <c r="G203" s="228">
        <v>724.65</v>
      </c>
      <c r="H203" s="228">
        <v>-8.15</v>
      </c>
      <c r="I203" s="229">
        <v>-1.12E-2</v>
      </c>
      <c r="J203" s="228">
        <v>714</v>
      </c>
      <c r="K203" s="228">
        <v>722.05</v>
      </c>
      <c r="L203" s="228">
        <v>-8.0500000000000007</v>
      </c>
      <c r="M203" s="229">
        <v>-1.11E-2</v>
      </c>
      <c r="N203" s="228">
        <v>713.25</v>
      </c>
      <c r="O203" s="228">
        <v>720.6</v>
      </c>
      <c r="P203" s="228">
        <v>-7.35</v>
      </c>
      <c r="Q203" s="229">
        <v>-1.0200000000000001E-2</v>
      </c>
      <c r="R203" s="228">
        <v>716.5</v>
      </c>
      <c r="S203" s="228">
        <v>724.65</v>
      </c>
      <c r="T203" s="228">
        <v>-8.15</v>
      </c>
      <c r="U203" s="229">
        <v>-1.12E-2</v>
      </c>
      <c r="V203" s="228">
        <v>721.2</v>
      </c>
      <c r="W203" s="228">
        <v>727.95</v>
      </c>
      <c r="X203" s="228">
        <v>-6.75</v>
      </c>
      <c r="Y203" s="229">
        <v>-9.2999999999999992E-3</v>
      </c>
      <c r="Z203" s="228">
        <v>2.5</v>
      </c>
      <c r="AA203" s="228">
        <v>-1.45</v>
      </c>
      <c r="AB203" s="228">
        <v>3.95</v>
      </c>
      <c r="AC203" s="229">
        <v>3.5000000000000001E-3</v>
      </c>
      <c r="AD203" s="228">
        <v>-0.75</v>
      </c>
      <c r="AE203" s="228">
        <v>-1.45</v>
      </c>
      <c r="AF203" s="228">
        <v>0.7</v>
      </c>
      <c r="AG203" s="229">
        <v>-1.1000000000000001E-3</v>
      </c>
      <c r="AH203" s="228">
        <v>2.5</v>
      </c>
      <c r="AI203" s="228">
        <v>2.6</v>
      </c>
      <c r="AJ203" s="228">
        <v>-0.1</v>
      </c>
      <c r="AK203" s="229">
        <v>3.5000000000000001E-3</v>
      </c>
      <c r="AL203" s="228">
        <v>7.2</v>
      </c>
      <c r="AM203" s="228">
        <v>5.9</v>
      </c>
      <c r="AN203" s="228">
        <v>1.3</v>
      </c>
      <c r="AO203" s="229">
        <v>1.01E-2</v>
      </c>
      <c r="AP203" s="228">
        <v>711.52</v>
      </c>
      <c r="AQ203" s="228">
        <v>714.68</v>
      </c>
      <c r="AR203" s="228">
        <v>0</v>
      </c>
      <c r="AS203" s="228">
        <v>471</v>
      </c>
      <c r="AT203" s="228">
        <v>572</v>
      </c>
      <c r="AU203" s="228">
        <v>-100</v>
      </c>
      <c r="AV203" s="229">
        <v>-0.17549999999999999</v>
      </c>
      <c r="AW203" s="228">
        <v>193</v>
      </c>
      <c r="AX203" s="228">
        <v>235</v>
      </c>
      <c r="AY203" s="228">
        <v>-43</v>
      </c>
      <c r="AZ203" s="229">
        <v>-0.18129999999999999</v>
      </c>
      <c r="BA203" s="228">
        <v>277</v>
      </c>
      <c r="BB203" s="228">
        <v>331</v>
      </c>
      <c r="BC203" s="228">
        <v>-54</v>
      </c>
      <c r="BD203" s="229">
        <v>-0.16389999999999999</v>
      </c>
      <c r="BE203" s="228">
        <v>2</v>
      </c>
      <c r="BF203" s="228">
        <v>5</v>
      </c>
      <c r="BG203" s="228">
        <v>-3</v>
      </c>
      <c r="BH203" s="229">
        <v>-0.6714</v>
      </c>
      <c r="BI203" s="228">
        <v>236</v>
      </c>
      <c r="BJ203" s="228">
        <v>792</v>
      </c>
      <c r="BK203" s="228">
        <v>-556</v>
      </c>
      <c r="BL203" s="229">
        <v>-0.7016</v>
      </c>
      <c r="BM203" s="228">
        <v>184</v>
      </c>
      <c r="BN203" s="228">
        <v>294</v>
      </c>
      <c r="BO203" s="228">
        <v>-110</v>
      </c>
      <c r="BP203" s="229">
        <v>-0.3745</v>
      </c>
      <c r="BQ203" s="228">
        <v>891</v>
      </c>
      <c r="BR203" s="230">
        <v>1658</v>
      </c>
      <c r="BS203" s="228">
        <v>-766</v>
      </c>
      <c r="BT203" s="229">
        <v>-0.4622</v>
      </c>
      <c r="BU203" s="230">
        <v>895732</v>
      </c>
      <c r="BV203" s="230">
        <v>2672245</v>
      </c>
      <c r="BW203" s="230">
        <v>-1776513</v>
      </c>
      <c r="BX203" s="229">
        <v>-0.66479999999999995</v>
      </c>
      <c r="BY203" s="228">
        <v>624</v>
      </c>
      <c r="BZ203" s="228">
        <v>708</v>
      </c>
      <c r="CA203" s="228">
        <v>-84</v>
      </c>
      <c r="CB203" s="229">
        <v>-0.1186</v>
      </c>
      <c r="CC203" s="228">
        <v>31</v>
      </c>
      <c r="CD203" s="228">
        <v>121</v>
      </c>
      <c r="CE203" s="228">
        <v>-90</v>
      </c>
      <c r="CF203" s="229">
        <v>-0.7429</v>
      </c>
      <c r="CG203" s="228">
        <v>616</v>
      </c>
      <c r="CH203" s="228">
        <v>579</v>
      </c>
      <c r="CI203" s="228">
        <v>38</v>
      </c>
      <c r="CJ203" s="229">
        <v>6.5000000000000002E-2</v>
      </c>
      <c r="CK203" s="228">
        <v>8</v>
      </c>
      <c r="CL203" s="228">
        <v>8</v>
      </c>
      <c r="CM203" s="228">
        <v>0</v>
      </c>
      <c r="CN203" s="229">
        <v>-4.4999999999999998E-2</v>
      </c>
      <c r="CO203" s="228">
        <v>95</v>
      </c>
      <c r="CP203" s="228">
        <v>232</v>
      </c>
      <c r="CQ203" s="228">
        <v>-137</v>
      </c>
      <c r="CR203" s="229">
        <v>-0.59089999999999998</v>
      </c>
      <c r="CS203" s="228">
        <v>72</v>
      </c>
      <c r="CT203" s="228">
        <v>215</v>
      </c>
      <c r="CU203" s="228">
        <v>-143</v>
      </c>
      <c r="CV203" s="229">
        <v>-0.66559999999999997</v>
      </c>
      <c r="CW203" s="228">
        <v>791</v>
      </c>
      <c r="CX203" s="230">
        <v>1155</v>
      </c>
      <c r="CY203" s="228">
        <v>-364</v>
      </c>
      <c r="CZ203" s="229">
        <v>-0.31540000000000001</v>
      </c>
      <c r="DA203" s="228">
        <v>25.38</v>
      </c>
      <c r="DB203" s="228">
        <v>26.18</v>
      </c>
      <c r="DC203" s="228">
        <v>-0.8</v>
      </c>
      <c r="DD203" s="228">
        <v>-0.8</v>
      </c>
      <c r="DE203" s="228">
        <v>34.07</v>
      </c>
      <c r="DF203" s="228">
        <v>34.119999999999997</v>
      </c>
      <c r="DG203" s="228">
        <v>-8.69</v>
      </c>
      <c r="DH203" s="228">
        <v>-0.05</v>
      </c>
      <c r="DI203" s="228">
        <v>25.43</v>
      </c>
      <c r="DJ203" s="228">
        <v>26.16</v>
      </c>
      <c r="DK203" s="228">
        <v>-0.73</v>
      </c>
      <c r="DL203" s="228">
        <v>-0.73</v>
      </c>
      <c r="DM203" s="228">
        <v>25.3</v>
      </c>
      <c r="DN203" s="228">
        <v>26.28</v>
      </c>
      <c r="DO203" s="228">
        <v>-0.98</v>
      </c>
      <c r="DP203" s="228">
        <v>-0.98</v>
      </c>
      <c r="DQ203" s="228">
        <v>0.76</v>
      </c>
      <c r="DR203" s="228">
        <v>0.93</v>
      </c>
      <c r="DS203" s="228">
        <v>-0.17</v>
      </c>
      <c r="DT203" s="229">
        <v>-0.18279999999999999</v>
      </c>
      <c r="DU203" s="228">
        <v>720</v>
      </c>
      <c r="DV203" s="228">
        <v>700</v>
      </c>
      <c r="DW203" s="228">
        <v>0.78</v>
      </c>
      <c r="DX203" s="228">
        <v>0.37</v>
      </c>
      <c r="DY203" s="228">
        <v>0.41</v>
      </c>
      <c r="DZ203" s="229">
        <v>1.1081000000000001</v>
      </c>
      <c r="EA203" s="229">
        <v>0.95240000000000002</v>
      </c>
      <c r="EB203" s="230">
        <v>8189000</v>
      </c>
      <c r="EC203" s="229">
        <v>4.5999999999999999E-3</v>
      </c>
      <c r="ED203" s="229">
        <v>0.95240000000000002</v>
      </c>
      <c r="EE203" s="228">
        <v>3.16</v>
      </c>
      <c r="EF203" s="229">
        <v>4.4000000000000003E-3</v>
      </c>
      <c r="EG203" s="230">
        <v>355753</v>
      </c>
      <c r="EH203" s="230">
        <v>1378263</v>
      </c>
      <c r="EI203" s="229">
        <v>-0.7419</v>
      </c>
      <c r="EJ203" s="229">
        <v>0.3972</v>
      </c>
      <c r="EK203" s="228">
        <v>243.34</v>
      </c>
      <c r="EL203" s="228">
        <v>178.48</v>
      </c>
      <c r="EM203" s="228">
        <v>469.27</v>
      </c>
      <c r="EN203" s="228">
        <v>0</v>
      </c>
      <c r="EO203" s="228">
        <v>891.09</v>
      </c>
      <c r="EP203" s="231">
        <v>1683.19</v>
      </c>
      <c r="EQ203" s="228">
        <v>-792.1</v>
      </c>
      <c r="ER203" s="229">
        <v>-0.47060000000000002</v>
      </c>
      <c r="ES203" s="228">
        <v>96.55</v>
      </c>
      <c r="ET203" s="228">
        <v>68.239999999999995</v>
      </c>
      <c r="EU203" s="228">
        <v>624.04999999999995</v>
      </c>
      <c r="EV203" s="231">
        <v>37816323</v>
      </c>
      <c r="EW203" s="228">
        <v>788.84</v>
      </c>
      <c r="EX203" s="231">
        <v>1145.43</v>
      </c>
      <c r="EY203" s="228">
        <v>-356.59</v>
      </c>
      <c r="EZ203" s="229">
        <v>-0.31130000000000002</v>
      </c>
      <c r="FA203" s="229">
        <v>0.29189999999999999</v>
      </c>
      <c r="FB203" s="227" t="s">
        <v>568</v>
      </c>
      <c r="FC203">
        <f t="shared" si="4"/>
        <v>0</v>
      </c>
    </row>
    <row r="204" spans="1:159" ht="17.25" thickBot="1" x14ac:dyDescent="0.3">
      <c r="A204" s="226">
        <v>45869</v>
      </c>
      <c r="B204" s="227" t="s">
        <v>498</v>
      </c>
      <c r="C204" s="227" t="s">
        <v>290</v>
      </c>
      <c r="D204" s="228">
        <v>650</v>
      </c>
      <c r="E204" s="228">
        <v>0</v>
      </c>
      <c r="F204" s="228">
        <v>986.55</v>
      </c>
      <c r="G204" s="231">
        <v>1005.7</v>
      </c>
      <c r="H204" s="228">
        <v>-19.149999999999999</v>
      </c>
      <c r="I204" s="229">
        <v>-1.9E-2</v>
      </c>
      <c r="J204" s="228">
        <v>982.55</v>
      </c>
      <c r="K204" s="231">
        <v>1001.35</v>
      </c>
      <c r="L204" s="228">
        <v>-18.8</v>
      </c>
      <c r="M204" s="229">
        <v>-1.8800000000000001E-2</v>
      </c>
      <c r="N204" s="228">
        <v>982.85</v>
      </c>
      <c r="O204" s="231">
        <v>1001.8</v>
      </c>
      <c r="P204" s="228">
        <v>-18.95</v>
      </c>
      <c r="Q204" s="229">
        <v>-1.89E-2</v>
      </c>
      <c r="R204" s="228">
        <v>986.55</v>
      </c>
      <c r="S204" s="231">
        <v>1005.7</v>
      </c>
      <c r="T204" s="228">
        <v>-19.149999999999999</v>
      </c>
      <c r="U204" s="229">
        <v>-1.9E-2</v>
      </c>
      <c r="V204" s="228">
        <v>991.65</v>
      </c>
      <c r="W204" s="231">
        <v>1010.85</v>
      </c>
      <c r="X204" s="228">
        <v>-19.2</v>
      </c>
      <c r="Y204" s="229">
        <v>-1.9E-2</v>
      </c>
      <c r="Z204" s="228">
        <v>4</v>
      </c>
      <c r="AA204" s="228">
        <v>0.45</v>
      </c>
      <c r="AB204" s="228">
        <v>3.55</v>
      </c>
      <c r="AC204" s="229">
        <v>4.1000000000000003E-3</v>
      </c>
      <c r="AD204" s="228">
        <v>0.3</v>
      </c>
      <c r="AE204" s="228">
        <v>0.45</v>
      </c>
      <c r="AF204" s="228">
        <v>-0.15</v>
      </c>
      <c r="AG204" s="229">
        <v>2.9999999999999997E-4</v>
      </c>
      <c r="AH204" s="228">
        <v>4</v>
      </c>
      <c r="AI204" s="228">
        <v>4.3499999999999996</v>
      </c>
      <c r="AJ204" s="228">
        <v>-0.35</v>
      </c>
      <c r="AK204" s="229">
        <v>4.1000000000000003E-3</v>
      </c>
      <c r="AL204" s="228">
        <v>9.1</v>
      </c>
      <c r="AM204" s="228">
        <v>9.5</v>
      </c>
      <c r="AN204" s="228">
        <v>-0.4</v>
      </c>
      <c r="AO204" s="229">
        <v>9.2999999999999992E-3</v>
      </c>
      <c r="AP204" s="228">
        <v>988.17</v>
      </c>
      <c r="AQ204" s="228">
        <v>993.38</v>
      </c>
      <c r="AR204" s="228">
        <v>0</v>
      </c>
      <c r="AS204" s="228">
        <v>590</v>
      </c>
      <c r="AT204" s="228">
        <v>804</v>
      </c>
      <c r="AU204" s="228">
        <v>-214</v>
      </c>
      <c r="AV204" s="229">
        <v>-0.26569999999999999</v>
      </c>
      <c r="AW204" s="228">
        <v>235</v>
      </c>
      <c r="AX204" s="228">
        <v>309</v>
      </c>
      <c r="AY204" s="228">
        <v>-74</v>
      </c>
      <c r="AZ204" s="229">
        <v>-0.23960000000000001</v>
      </c>
      <c r="BA204" s="228">
        <v>346</v>
      </c>
      <c r="BB204" s="228">
        <v>485</v>
      </c>
      <c r="BC204" s="228">
        <v>-139</v>
      </c>
      <c r="BD204" s="229">
        <v>-0.28570000000000001</v>
      </c>
      <c r="BE204" s="228">
        <v>9</v>
      </c>
      <c r="BF204" s="228">
        <v>10</v>
      </c>
      <c r="BG204" s="228">
        <v>-1</v>
      </c>
      <c r="BH204" s="229">
        <v>-0.1013</v>
      </c>
      <c r="BI204" s="228">
        <v>738</v>
      </c>
      <c r="BJ204" s="230">
        <v>2563</v>
      </c>
      <c r="BK204" s="230">
        <v>-1825</v>
      </c>
      <c r="BL204" s="229">
        <v>-0.71189999999999998</v>
      </c>
      <c r="BM204" s="228">
        <v>439</v>
      </c>
      <c r="BN204" s="230">
        <v>1124</v>
      </c>
      <c r="BO204" s="228">
        <v>-685</v>
      </c>
      <c r="BP204" s="229">
        <v>-0.60940000000000005</v>
      </c>
      <c r="BQ204" s="230">
        <v>1767</v>
      </c>
      <c r="BR204" s="230">
        <v>4491</v>
      </c>
      <c r="BS204" s="230">
        <v>-2723</v>
      </c>
      <c r="BT204" s="229">
        <v>-0.60640000000000005</v>
      </c>
      <c r="BU204" s="230">
        <v>867098</v>
      </c>
      <c r="BV204" s="230">
        <v>2284387</v>
      </c>
      <c r="BW204" s="230">
        <v>-1417289</v>
      </c>
      <c r="BX204" s="229">
        <v>-0.62039999999999995</v>
      </c>
      <c r="BY204" s="228">
        <v>725</v>
      </c>
      <c r="BZ204" s="228">
        <v>859</v>
      </c>
      <c r="CA204" s="228">
        <v>-134</v>
      </c>
      <c r="CB204" s="229">
        <v>-0.15629999999999999</v>
      </c>
      <c r="CC204" s="228">
        <v>95</v>
      </c>
      <c r="CD204" s="228">
        <v>178</v>
      </c>
      <c r="CE204" s="228">
        <v>-83</v>
      </c>
      <c r="CF204" s="229">
        <v>-0.46600000000000003</v>
      </c>
      <c r="CG204" s="228">
        <v>710</v>
      </c>
      <c r="CH204" s="228">
        <v>667</v>
      </c>
      <c r="CI204" s="228">
        <v>43</v>
      </c>
      <c r="CJ204" s="229">
        <v>6.4299999999999996E-2</v>
      </c>
      <c r="CK204" s="228">
        <v>14</v>
      </c>
      <c r="CL204" s="228">
        <v>13</v>
      </c>
      <c r="CM204" s="228">
        <v>1</v>
      </c>
      <c r="CN204" s="229">
        <v>9.7100000000000006E-2</v>
      </c>
      <c r="CO204" s="228">
        <v>398</v>
      </c>
      <c r="CP204" s="228">
        <v>723</v>
      </c>
      <c r="CQ204" s="228">
        <v>-325</v>
      </c>
      <c r="CR204" s="229">
        <v>-0.44969999999999999</v>
      </c>
      <c r="CS204" s="228">
        <v>240</v>
      </c>
      <c r="CT204" s="228">
        <v>569</v>
      </c>
      <c r="CU204" s="228">
        <v>-329</v>
      </c>
      <c r="CV204" s="229">
        <v>-0.57830000000000004</v>
      </c>
      <c r="CW204" s="230">
        <v>1363</v>
      </c>
      <c r="CX204" s="230">
        <v>2152</v>
      </c>
      <c r="CY204" s="228">
        <v>-789</v>
      </c>
      <c r="CZ204" s="229">
        <v>-0.36659999999999998</v>
      </c>
      <c r="DA204" s="228">
        <v>27.95</v>
      </c>
      <c r="DB204" s="228">
        <v>27.94</v>
      </c>
      <c r="DC204" s="228">
        <v>0.01</v>
      </c>
      <c r="DD204" s="228">
        <v>0.01</v>
      </c>
      <c r="DE204" s="228">
        <v>36.549999999999997</v>
      </c>
      <c r="DF204" s="228">
        <v>36.549999999999997</v>
      </c>
      <c r="DG204" s="228">
        <v>-8.6</v>
      </c>
      <c r="DH204" s="228">
        <v>0</v>
      </c>
      <c r="DI204" s="228">
        <v>28.34</v>
      </c>
      <c r="DJ204" s="228">
        <v>27.99</v>
      </c>
      <c r="DK204" s="228">
        <v>0.35</v>
      </c>
      <c r="DL204" s="228">
        <v>0.35</v>
      </c>
      <c r="DM204" s="228">
        <v>27.27</v>
      </c>
      <c r="DN204" s="228">
        <v>27.79</v>
      </c>
      <c r="DO204" s="228">
        <v>-0.52</v>
      </c>
      <c r="DP204" s="228">
        <v>-0.52</v>
      </c>
      <c r="DQ204" s="228">
        <v>0.6</v>
      </c>
      <c r="DR204" s="228">
        <v>0.79</v>
      </c>
      <c r="DS204" s="228">
        <v>-0.19</v>
      </c>
      <c r="DT204" s="229">
        <v>-0.24049999999999999</v>
      </c>
      <c r="DU204" s="231">
        <v>1100</v>
      </c>
      <c r="DV204" s="228">
        <v>900</v>
      </c>
      <c r="DW204" s="228">
        <v>0.59</v>
      </c>
      <c r="DX204" s="228">
        <v>0.44</v>
      </c>
      <c r="DY204" s="228">
        <v>0.15</v>
      </c>
      <c r="DZ204" s="229">
        <v>0.34089999999999998</v>
      </c>
      <c r="EA204" s="229">
        <v>0.88380000000000003</v>
      </c>
      <c r="EB204" s="230">
        <v>6897800</v>
      </c>
      <c r="EC204" s="229">
        <v>3.8E-3</v>
      </c>
      <c r="ED204" s="229">
        <v>0.88380000000000003</v>
      </c>
      <c r="EE204" s="228">
        <v>5.21</v>
      </c>
      <c r="EF204" s="229">
        <v>5.3E-3</v>
      </c>
      <c r="EG204" s="230">
        <v>362106</v>
      </c>
      <c r="EH204" s="230">
        <v>636984</v>
      </c>
      <c r="EI204" s="229">
        <v>-0.43149999999999999</v>
      </c>
      <c r="EJ204" s="229">
        <v>0.41760000000000003</v>
      </c>
      <c r="EK204" s="228">
        <v>776.7</v>
      </c>
      <c r="EL204" s="228">
        <v>439.52</v>
      </c>
      <c r="EM204" s="228">
        <v>593.12</v>
      </c>
      <c r="EN204" s="228">
        <v>0</v>
      </c>
      <c r="EO204" s="231">
        <v>1809.33</v>
      </c>
      <c r="EP204" s="231">
        <v>4647.5200000000004</v>
      </c>
      <c r="EQ204" s="231">
        <v>-2838.19</v>
      </c>
      <c r="ER204" s="229">
        <v>-0.61070000000000002</v>
      </c>
      <c r="ES204" s="228">
        <v>417.83</v>
      </c>
      <c r="ET204" s="228">
        <v>230.37</v>
      </c>
      <c r="EU204" s="228">
        <v>724.76</v>
      </c>
      <c r="EV204" s="231">
        <v>31601465</v>
      </c>
      <c r="EW204" s="231">
        <v>1372.97</v>
      </c>
      <c r="EX204" s="231">
        <v>2162.31</v>
      </c>
      <c r="EY204" s="228">
        <v>-789.34</v>
      </c>
      <c r="EZ204" s="229">
        <v>-0.36499999999999999</v>
      </c>
      <c r="FA204" s="229">
        <v>0.43709999999999999</v>
      </c>
      <c r="FB204" s="227" t="s">
        <v>568</v>
      </c>
      <c r="FC204">
        <f t="shared" si="4"/>
        <v>0</v>
      </c>
    </row>
    <row r="205" spans="1:159" ht="17.25" thickBot="1" x14ac:dyDescent="0.3">
      <c r="A205" s="226">
        <v>45869</v>
      </c>
      <c r="B205" s="227" t="s">
        <v>188</v>
      </c>
      <c r="C205" s="227" t="s">
        <v>552</v>
      </c>
      <c r="D205" s="228">
        <v>350</v>
      </c>
      <c r="E205" s="228">
        <v>0</v>
      </c>
      <c r="F205" s="228">
        <v>0</v>
      </c>
      <c r="G205" s="228">
        <v>0</v>
      </c>
      <c r="H205" s="228">
        <v>0</v>
      </c>
      <c r="I205" s="229">
        <v>0</v>
      </c>
      <c r="J205" s="231">
        <v>1724.7</v>
      </c>
      <c r="K205" s="231">
        <v>1758.6</v>
      </c>
      <c r="L205" s="228">
        <v>-33.9</v>
      </c>
      <c r="M205" s="229">
        <v>-1.9300000000000001E-2</v>
      </c>
      <c r="N205" s="231">
        <v>1726.4</v>
      </c>
      <c r="O205" s="231">
        <v>1758</v>
      </c>
      <c r="P205" s="228">
        <v>-31.6</v>
      </c>
      <c r="Q205" s="229">
        <v>-1.7999999999999999E-2</v>
      </c>
      <c r="R205" s="228">
        <v>0</v>
      </c>
      <c r="S205" s="228">
        <v>0</v>
      </c>
      <c r="T205" s="228">
        <v>0</v>
      </c>
      <c r="U205" s="229">
        <v>0</v>
      </c>
      <c r="V205" s="228">
        <v>0</v>
      </c>
      <c r="W205" s="228">
        <v>0</v>
      </c>
      <c r="X205" s="228">
        <v>0</v>
      </c>
      <c r="Y205" s="229">
        <v>0</v>
      </c>
      <c r="Z205" s="228">
        <v>0</v>
      </c>
      <c r="AA205" s="228">
        <v>-0.6</v>
      </c>
      <c r="AB205" s="228">
        <v>0</v>
      </c>
      <c r="AC205" s="229">
        <v>0</v>
      </c>
      <c r="AD205" s="228">
        <v>1.7</v>
      </c>
      <c r="AE205" s="228">
        <v>-0.6</v>
      </c>
      <c r="AF205" s="228">
        <v>2.2999999999999998</v>
      </c>
      <c r="AG205" s="229">
        <v>1E-3</v>
      </c>
      <c r="AH205" s="228">
        <v>0</v>
      </c>
      <c r="AI205" s="228">
        <v>0</v>
      </c>
      <c r="AJ205" s="228">
        <v>0</v>
      </c>
      <c r="AK205" s="229">
        <v>0</v>
      </c>
      <c r="AL205" s="228">
        <v>0</v>
      </c>
      <c r="AM205" s="228">
        <v>0</v>
      </c>
      <c r="AN205" s="228">
        <v>0</v>
      </c>
      <c r="AO205" s="229">
        <v>0</v>
      </c>
      <c r="AP205" s="231">
        <v>1742.88</v>
      </c>
      <c r="AQ205" s="228">
        <v>0</v>
      </c>
      <c r="AR205" s="228">
        <v>0</v>
      </c>
      <c r="AS205" s="228">
        <v>0</v>
      </c>
      <c r="AT205" s="228">
        <v>0</v>
      </c>
      <c r="AU205" s="228">
        <v>0</v>
      </c>
      <c r="AV205" s="229">
        <v>-0.1426</v>
      </c>
      <c r="AW205" s="228">
        <v>0</v>
      </c>
      <c r="AX205" s="228">
        <v>0</v>
      </c>
      <c r="AY205" s="228">
        <v>0</v>
      </c>
      <c r="AZ205" s="229">
        <v>-0.1426</v>
      </c>
      <c r="BA205" s="228">
        <v>0</v>
      </c>
      <c r="BB205" s="228">
        <v>0</v>
      </c>
      <c r="BC205" s="228">
        <v>0</v>
      </c>
      <c r="BD205" s="229">
        <v>0</v>
      </c>
      <c r="BE205" s="228">
        <v>0</v>
      </c>
      <c r="BF205" s="228">
        <v>0</v>
      </c>
      <c r="BG205" s="228">
        <v>0</v>
      </c>
      <c r="BH205" s="229">
        <v>0</v>
      </c>
      <c r="BI205" s="228">
        <v>0</v>
      </c>
      <c r="BJ205" s="228">
        <v>0</v>
      </c>
      <c r="BK205" s="228">
        <v>0</v>
      </c>
      <c r="BL205" s="229">
        <v>-0.5252</v>
      </c>
      <c r="BM205" s="228">
        <v>0</v>
      </c>
      <c r="BN205" s="228">
        <v>0</v>
      </c>
      <c r="BO205" s="228">
        <v>0</v>
      </c>
      <c r="BP205" s="229">
        <v>-8.0799999999999997E-2</v>
      </c>
      <c r="BQ205" s="228">
        <v>0</v>
      </c>
      <c r="BR205" s="228">
        <v>0</v>
      </c>
      <c r="BS205" s="228">
        <v>0</v>
      </c>
      <c r="BT205" s="229">
        <v>-0.33539999999999998</v>
      </c>
      <c r="BU205" s="230">
        <v>650184</v>
      </c>
      <c r="BV205" s="230">
        <v>393290</v>
      </c>
      <c r="BW205" s="230">
        <v>256894</v>
      </c>
      <c r="BX205" s="229">
        <v>0.6532</v>
      </c>
      <c r="BY205" s="228">
        <v>0</v>
      </c>
      <c r="BZ205" s="228">
        <v>0</v>
      </c>
      <c r="CA205" s="228">
        <v>0</v>
      </c>
      <c r="CB205" s="229">
        <v>-1</v>
      </c>
      <c r="CC205" s="228">
        <v>0</v>
      </c>
      <c r="CD205" s="228">
        <v>0</v>
      </c>
      <c r="CE205" s="228">
        <v>0</v>
      </c>
      <c r="CF205" s="229">
        <v>-0.2802</v>
      </c>
      <c r="CG205" s="228">
        <v>0</v>
      </c>
      <c r="CH205" s="228">
        <v>0</v>
      </c>
      <c r="CI205" s="228">
        <v>0</v>
      </c>
      <c r="CJ205" s="229">
        <v>0</v>
      </c>
      <c r="CK205" s="228">
        <v>0</v>
      </c>
      <c r="CL205" s="228">
        <v>0</v>
      </c>
      <c r="CM205" s="228">
        <v>0</v>
      </c>
      <c r="CN205" s="229">
        <v>0</v>
      </c>
      <c r="CO205" s="228">
        <v>0</v>
      </c>
      <c r="CP205" s="228">
        <v>0</v>
      </c>
      <c r="CQ205" s="228">
        <v>0</v>
      </c>
      <c r="CR205" s="229">
        <v>-0.2296</v>
      </c>
      <c r="CS205" s="228">
        <v>0</v>
      </c>
      <c r="CT205" s="228">
        <v>0</v>
      </c>
      <c r="CU205" s="228">
        <v>0</v>
      </c>
      <c r="CV205" s="229">
        <v>-0.13059999999999999</v>
      </c>
      <c r="CW205" s="228">
        <v>0</v>
      </c>
      <c r="CX205" s="228">
        <v>0</v>
      </c>
      <c r="CY205" s="228">
        <v>0</v>
      </c>
      <c r="CZ205" s="229">
        <v>-0.41570000000000001</v>
      </c>
      <c r="DA205" s="228">
        <v>32.99</v>
      </c>
      <c r="DB205" s="228">
        <v>32.99</v>
      </c>
      <c r="DC205" s="228">
        <v>0</v>
      </c>
      <c r="DD205" s="228">
        <v>0</v>
      </c>
      <c r="DE205" s="228">
        <v>32.99</v>
      </c>
      <c r="DF205" s="228">
        <v>32.99</v>
      </c>
      <c r="DG205" s="228">
        <v>0</v>
      </c>
      <c r="DH205" s="228">
        <v>0</v>
      </c>
      <c r="DI205" s="228">
        <v>32.99</v>
      </c>
      <c r="DJ205" s="228">
        <v>32.99</v>
      </c>
      <c r="DK205" s="228">
        <v>0</v>
      </c>
      <c r="DL205" s="228">
        <v>0</v>
      </c>
      <c r="DM205" s="228">
        <v>32.99</v>
      </c>
      <c r="DN205" s="228">
        <v>32.99</v>
      </c>
      <c r="DO205" s="228">
        <v>0</v>
      </c>
      <c r="DP205" s="228">
        <v>0</v>
      </c>
      <c r="DQ205" s="228">
        <v>0.71</v>
      </c>
      <c r="DR205" s="228">
        <v>0.63</v>
      </c>
      <c r="DS205" s="228">
        <v>0.08</v>
      </c>
      <c r="DT205" s="229">
        <v>0.127</v>
      </c>
      <c r="DU205" s="231">
        <v>1800</v>
      </c>
      <c r="DV205" s="231">
        <v>1680</v>
      </c>
      <c r="DW205" s="228">
        <v>0.75</v>
      </c>
      <c r="DX205" s="228">
        <v>0.38</v>
      </c>
      <c r="DY205" s="228">
        <v>0.37</v>
      </c>
      <c r="DZ205" s="229">
        <v>0.97370000000000001</v>
      </c>
      <c r="EA205" s="229">
        <v>0</v>
      </c>
      <c r="EB205" s="228">
        <v>0</v>
      </c>
      <c r="EC205" s="229">
        <v>0</v>
      </c>
      <c r="ED205" s="229">
        <v>0</v>
      </c>
      <c r="EE205" s="228">
        <v>0</v>
      </c>
      <c r="EF205" s="229">
        <v>0</v>
      </c>
      <c r="EG205" s="230">
        <v>273000</v>
      </c>
      <c r="EH205" s="230">
        <v>180103</v>
      </c>
      <c r="EI205" s="229">
        <v>0.51580000000000004</v>
      </c>
      <c r="EJ205" s="229">
        <v>0.4199</v>
      </c>
      <c r="EK205" s="228">
        <v>172.19</v>
      </c>
      <c r="EL205" s="228">
        <v>123.15</v>
      </c>
      <c r="EM205" s="228">
        <v>142.62</v>
      </c>
      <c r="EN205" s="228">
        <v>0</v>
      </c>
      <c r="EO205" s="228">
        <v>437.96</v>
      </c>
      <c r="EP205" s="228">
        <v>661.84</v>
      </c>
      <c r="EQ205" s="228">
        <v>-223.87</v>
      </c>
      <c r="ER205" s="229">
        <v>-0.33829999999999999</v>
      </c>
      <c r="ES205" s="228">
        <v>0</v>
      </c>
      <c r="ET205" s="228">
        <v>0</v>
      </c>
      <c r="EU205" s="228">
        <v>0</v>
      </c>
      <c r="EV205" s="231">
        <v>23447901</v>
      </c>
      <c r="EW205" s="228">
        <v>0</v>
      </c>
      <c r="EX205" s="228">
        <v>662.48</v>
      </c>
      <c r="EY205" s="228">
        <v>-662.48</v>
      </c>
      <c r="EZ205" s="229">
        <v>-1</v>
      </c>
      <c r="FA205" s="229">
        <v>9.2999999999999999E-2</v>
      </c>
      <c r="FB205" s="227" t="s">
        <v>237</v>
      </c>
      <c r="FC205">
        <f t="shared" si="4"/>
        <v>0</v>
      </c>
    </row>
    <row r="206" spans="1:159" ht="17.25" thickBot="1" x14ac:dyDescent="0.3">
      <c r="A206" s="226">
        <v>45869</v>
      </c>
      <c r="B206" s="227" t="s">
        <v>168</v>
      </c>
      <c r="C206" s="227" t="s">
        <v>291</v>
      </c>
      <c r="D206" s="228">
        <v>550</v>
      </c>
      <c r="E206" s="228">
        <v>0</v>
      </c>
      <c r="F206" s="231">
        <v>1076.4000000000001</v>
      </c>
      <c r="G206" s="231">
        <v>1079.3</v>
      </c>
      <c r="H206" s="228">
        <v>-2.9</v>
      </c>
      <c r="I206" s="229">
        <v>-2.7000000000000001E-3</v>
      </c>
      <c r="J206" s="231">
        <v>1073.2</v>
      </c>
      <c r="K206" s="231">
        <v>1073.0999999999999</v>
      </c>
      <c r="L206" s="228">
        <v>0.1</v>
      </c>
      <c r="M206" s="229">
        <v>1E-4</v>
      </c>
      <c r="N206" s="231">
        <v>1071.3</v>
      </c>
      <c r="O206" s="231">
        <v>1073.8</v>
      </c>
      <c r="P206" s="228">
        <v>-2.5</v>
      </c>
      <c r="Q206" s="229">
        <v>-2.3E-3</v>
      </c>
      <c r="R206" s="231">
        <v>1076.4000000000001</v>
      </c>
      <c r="S206" s="231">
        <v>1079.3</v>
      </c>
      <c r="T206" s="228">
        <v>-2.9</v>
      </c>
      <c r="U206" s="229">
        <v>-2.7000000000000001E-3</v>
      </c>
      <c r="V206" s="231">
        <v>1082.5</v>
      </c>
      <c r="W206" s="231">
        <v>1086.5999999999999</v>
      </c>
      <c r="X206" s="228">
        <v>-4.0999999999999996</v>
      </c>
      <c r="Y206" s="229">
        <v>-3.8E-3</v>
      </c>
      <c r="Z206" s="228">
        <v>3.2</v>
      </c>
      <c r="AA206" s="228">
        <v>0.7</v>
      </c>
      <c r="AB206" s="228">
        <v>2.5</v>
      </c>
      <c r="AC206" s="229">
        <v>3.0000000000000001E-3</v>
      </c>
      <c r="AD206" s="228">
        <v>-1.9</v>
      </c>
      <c r="AE206" s="228">
        <v>0.7</v>
      </c>
      <c r="AF206" s="228">
        <v>-2.6</v>
      </c>
      <c r="AG206" s="229">
        <v>-1.8E-3</v>
      </c>
      <c r="AH206" s="228">
        <v>3.2</v>
      </c>
      <c r="AI206" s="228">
        <v>6.2</v>
      </c>
      <c r="AJ206" s="228">
        <v>-3</v>
      </c>
      <c r="AK206" s="229">
        <v>3.0000000000000001E-3</v>
      </c>
      <c r="AL206" s="228">
        <v>9.3000000000000007</v>
      </c>
      <c r="AM206" s="228">
        <v>13.5</v>
      </c>
      <c r="AN206" s="228">
        <v>-4.2</v>
      </c>
      <c r="AO206" s="229">
        <v>8.6999999999999994E-3</v>
      </c>
      <c r="AP206" s="231">
        <v>1071.1099999999999</v>
      </c>
      <c r="AQ206" s="231">
        <v>1076.06</v>
      </c>
      <c r="AR206" s="228">
        <v>0</v>
      </c>
      <c r="AS206" s="228">
        <v>467</v>
      </c>
      <c r="AT206" s="228">
        <v>997</v>
      </c>
      <c r="AU206" s="228">
        <v>-531</v>
      </c>
      <c r="AV206" s="229">
        <v>-0.53200000000000003</v>
      </c>
      <c r="AW206" s="228">
        <v>170</v>
      </c>
      <c r="AX206" s="228">
        <v>484</v>
      </c>
      <c r="AY206" s="228">
        <v>-313</v>
      </c>
      <c r="AZ206" s="229">
        <v>-0.64790000000000003</v>
      </c>
      <c r="BA206" s="228">
        <v>290</v>
      </c>
      <c r="BB206" s="228">
        <v>511</v>
      </c>
      <c r="BC206" s="228">
        <v>-221</v>
      </c>
      <c r="BD206" s="229">
        <v>-0.43209999999999998</v>
      </c>
      <c r="BE206" s="228">
        <v>7</v>
      </c>
      <c r="BF206" s="228">
        <v>3</v>
      </c>
      <c r="BG206" s="228">
        <v>3</v>
      </c>
      <c r="BH206" s="229">
        <v>1.0754999999999999</v>
      </c>
      <c r="BI206" s="228">
        <v>603</v>
      </c>
      <c r="BJ206" s="230">
        <v>1048</v>
      </c>
      <c r="BK206" s="228">
        <v>-444</v>
      </c>
      <c r="BL206" s="229">
        <v>-0.42409999999999998</v>
      </c>
      <c r="BM206" s="228">
        <v>175</v>
      </c>
      <c r="BN206" s="228">
        <v>290</v>
      </c>
      <c r="BO206" s="228">
        <v>-115</v>
      </c>
      <c r="BP206" s="229">
        <v>-0.39589999999999997</v>
      </c>
      <c r="BQ206" s="230">
        <v>1245</v>
      </c>
      <c r="BR206" s="230">
        <v>2335</v>
      </c>
      <c r="BS206" s="230">
        <v>-1090</v>
      </c>
      <c r="BT206" s="229">
        <v>-0.4667</v>
      </c>
      <c r="BU206" s="230">
        <v>1145817</v>
      </c>
      <c r="BV206" s="230">
        <v>1233767</v>
      </c>
      <c r="BW206" s="230">
        <v>-87950</v>
      </c>
      <c r="BX206" s="229">
        <v>-7.1300000000000002E-2</v>
      </c>
      <c r="BY206" s="230">
        <v>1562</v>
      </c>
      <c r="BZ206" s="230">
        <v>1651</v>
      </c>
      <c r="CA206" s="228">
        <v>-89</v>
      </c>
      <c r="CB206" s="229">
        <v>-5.3800000000000001E-2</v>
      </c>
      <c r="CC206" s="228">
        <v>53</v>
      </c>
      <c r="CD206" s="228">
        <v>159</v>
      </c>
      <c r="CE206" s="228">
        <v>-105</v>
      </c>
      <c r="CF206" s="229">
        <v>-0.66500000000000004</v>
      </c>
      <c r="CG206" s="230">
        <v>1550</v>
      </c>
      <c r="CH206" s="230">
        <v>1484</v>
      </c>
      <c r="CI206" s="228">
        <v>66</v>
      </c>
      <c r="CJ206" s="229">
        <v>4.48E-2</v>
      </c>
      <c r="CK206" s="228">
        <v>12</v>
      </c>
      <c r="CL206" s="228">
        <v>9</v>
      </c>
      <c r="CM206" s="228">
        <v>3</v>
      </c>
      <c r="CN206" s="229">
        <v>0.38890000000000002</v>
      </c>
      <c r="CO206" s="228">
        <v>188</v>
      </c>
      <c r="CP206" s="228">
        <v>680</v>
      </c>
      <c r="CQ206" s="228">
        <v>-492</v>
      </c>
      <c r="CR206" s="229">
        <v>-0.72370000000000001</v>
      </c>
      <c r="CS206" s="228">
        <v>131</v>
      </c>
      <c r="CT206" s="228">
        <v>435</v>
      </c>
      <c r="CU206" s="228">
        <v>-304</v>
      </c>
      <c r="CV206" s="229">
        <v>-0.69910000000000005</v>
      </c>
      <c r="CW206" s="230">
        <v>1881</v>
      </c>
      <c r="CX206" s="230">
        <v>2766</v>
      </c>
      <c r="CY206" s="228">
        <v>-885</v>
      </c>
      <c r="CZ206" s="229">
        <v>-0.32</v>
      </c>
      <c r="DA206" s="228">
        <v>22.67</v>
      </c>
      <c r="DB206" s="228">
        <v>22.44</v>
      </c>
      <c r="DC206" s="228">
        <v>0.23</v>
      </c>
      <c r="DD206" s="228">
        <v>0.23</v>
      </c>
      <c r="DE206" s="228">
        <v>28</v>
      </c>
      <c r="DF206" s="228">
        <v>28.07</v>
      </c>
      <c r="DG206" s="228">
        <v>-5.33</v>
      </c>
      <c r="DH206" s="228">
        <v>-7.0000000000000007E-2</v>
      </c>
      <c r="DI206" s="228">
        <v>22.69</v>
      </c>
      <c r="DJ206" s="228">
        <v>22.12</v>
      </c>
      <c r="DK206" s="228">
        <v>0.56999999999999995</v>
      </c>
      <c r="DL206" s="228">
        <v>0.56999999999999995</v>
      </c>
      <c r="DM206" s="228">
        <v>22.59</v>
      </c>
      <c r="DN206" s="228">
        <v>23.25</v>
      </c>
      <c r="DO206" s="228">
        <v>-0.66</v>
      </c>
      <c r="DP206" s="228">
        <v>-0.66</v>
      </c>
      <c r="DQ206" s="228">
        <v>0.7</v>
      </c>
      <c r="DR206" s="228">
        <v>0.64</v>
      </c>
      <c r="DS206" s="228">
        <v>0.06</v>
      </c>
      <c r="DT206" s="229">
        <v>9.3700000000000006E-2</v>
      </c>
      <c r="DU206" s="231">
        <v>1230</v>
      </c>
      <c r="DV206" s="228">
        <v>980</v>
      </c>
      <c r="DW206" s="228">
        <v>0.28999999999999998</v>
      </c>
      <c r="DX206" s="228">
        <v>0.28000000000000003</v>
      </c>
      <c r="DY206" s="228">
        <v>0.01</v>
      </c>
      <c r="DZ206" s="229">
        <v>3.5700000000000003E-2</v>
      </c>
      <c r="EA206" s="229">
        <v>0.96709999999999996</v>
      </c>
      <c r="EB206" s="230">
        <v>13864950</v>
      </c>
      <c r="EC206" s="229">
        <v>4.7999999999999996E-3</v>
      </c>
      <c r="ED206" s="229">
        <v>0.96709999999999996</v>
      </c>
      <c r="EE206" s="228">
        <v>4.95</v>
      </c>
      <c r="EF206" s="229">
        <v>4.5999999999999999E-3</v>
      </c>
      <c r="EG206" s="230">
        <v>582150</v>
      </c>
      <c r="EH206" s="230">
        <v>556614</v>
      </c>
      <c r="EI206" s="229">
        <v>4.5900000000000003E-2</v>
      </c>
      <c r="EJ206" s="229">
        <v>0.5081</v>
      </c>
      <c r="EK206" s="228">
        <v>623.04999999999995</v>
      </c>
      <c r="EL206" s="228">
        <v>173.61</v>
      </c>
      <c r="EM206" s="228">
        <v>465.91</v>
      </c>
      <c r="EN206" s="228">
        <v>0</v>
      </c>
      <c r="EO206" s="231">
        <v>1262.56</v>
      </c>
      <c r="EP206" s="231">
        <v>2360.9299999999998</v>
      </c>
      <c r="EQ206" s="231">
        <v>-1098.3699999999999</v>
      </c>
      <c r="ER206" s="229">
        <v>-0.4652</v>
      </c>
      <c r="ES206" s="228">
        <v>196.72</v>
      </c>
      <c r="ET206" s="228">
        <v>123.93</v>
      </c>
      <c r="EU206" s="231">
        <v>1562.29</v>
      </c>
      <c r="EV206" s="231">
        <v>130936945</v>
      </c>
      <c r="EW206" s="231">
        <v>1882.94</v>
      </c>
      <c r="EX206" s="231">
        <v>2794.15</v>
      </c>
      <c r="EY206" s="228">
        <v>-911.21</v>
      </c>
      <c r="EZ206" s="229">
        <v>-0.3261</v>
      </c>
      <c r="FA206" s="229">
        <v>0.13350000000000001</v>
      </c>
      <c r="FB206" s="227" t="s">
        <v>568</v>
      </c>
      <c r="FC206">
        <f t="shared" si="4"/>
        <v>0</v>
      </c>
    </row>
    <row r="207" spans="1:159" ht="17.25" thickBot="1" x14ac:dyDescent="0.3">
      <c r="A207" s="226">
        <v>45869</v>
      </c>
      <c r="B207" s="227" t="s">
        <v>221</v>
      </c>
      <c r="C207" s="227" t="s">
        <v>605</v>
      </c>
      <c r="D207" s="228">
        <v>100</v>
      </c>
      <c r="E207" s="228">
        <v>0</v>
      </c>
      <c r="F207" s="231">
        <v>6009.5</v>
      </c>
      <c r="G207" s="231">
        <v>6068</v>
      </c>
      <c r="H207" s="228">
        <v>-58.5</v>
      </c>
      <c r="I207" s="229">
        <v>-9.5999999999999992E-3</v>
      </c>
      <c r="J207" s="231">
        <v>6093.5</v>
      </c>
      <c r="K207" s="231">
        <v>6101</v>
      </c>
      <c r="L207" s="228">
        <v>-7.5</v>
      </c>
      <c r="M207" s="229">
        <v>-1.1999999999999999E-3</v>
      </c>
      <c r="N207" s="231">
        <v>6104.5</v>
      </c>
      <c r="O207" s="231">
        <v>6103.5</v>
      </c>
      <c r="P207" s="228">
        <v>1</v>
      </c>
      <c r="Q207" s="229">
        <v>2.0000000000000001E-4</v>
      </c>
      <c r="R207" s="231">
        <v>6009.5</v>
      </c>
      <c r="S207" s="231">
        <v>6068</v>
      </c>
      <c r="T207" s="228">
        <v>-58.5</v>
      </c>
      <c r="U207" s="229">
        <v>-9.5999999999999992E-3</v>
      </c>
      <c r="V207" s="231">
        <v>5982</v>
      </c>
      <c r="W207" s="231">
        <v>6048.5</v>
      </c>
      <c r="X207" s="228">
        <v>-66.5</v>
      </c>
      <c r="Y207" s="229">
        <v>-1.0999999999999999E-2</v>
      </c>
      <c r="Z207" s="228">
        <v>-84</v>
      </c>
      <c r="AA207" s="228">
        <v>2.5</v>
      </c>
      <c r="AB207" s="228">
        <v>-86.5</v>
      </c>
      <c r="AC207" s="229">
        <v>-1.38E-2</v>
      </c>
      <c r="AD207" s="228">
        <v>11</v>
      </c>
      <c r="AE207" s="228">
        <v>2.5</v>
      </c>
      <c r="AF207" s="228">
        <v>8.5</v>
      </c>
      <c r="AG207" s="229">
        <v>1.8E-3</v>
      </c>
      <c r="AH207" s="228">
        <v>-84</v>
      </c>
      <c r="AI207" s="228">
        <v>-33</v>
      </c>
      <c r="AJ207" s="228">
        <v>-51</v>
      </c>
      <c r="AK207" s="229">
        <v>-1.38E-2</v>
      </c>
      <c r="AL207" s="228">
        <v>-111.5</v>
      </c>
      <c r="AM207" s="228">
        <v>-52.5</v>
      </c>
      <c r="AN207" s="228">
        <v>-59</v>
      </c>
      <c r="AO207" s="229">
        <v>-1.83E-2</v>
      </c>
      <c r="AP207" s="231">
        <v>6061.78</v>
      </c>
      <c r="AQ207" s="231">
        <v>5996.29</v>
      </c>
      <c r="AR207" s="228">
        <v>0</v>
      </c>
      <c r="AS207" s="228">
        <v>660</v>
      </c>
      <c r="AT207" s="228">
        <v>804</v>
      </c>
      <c r="AU207" s="228">
        <v>-144</v>
      </c>
      <c r="AV207" s="229">
        <v>-0.17879999999999999</v>
      </c>
      <c r="AW207" s="228">
        <v>320</v>
      </c>
      <c r="AX207" s="228">
        <v>393</v>
      </c>
      <c r="AY207" s="228">
        <v>-73</v>
      </c>
      <c r="AZ207" s="229">
        <v>-0.18609999999999999</v>
      </c>
      <c r="BA207" s="228">
        <v>334</v>
      </c>
      <c r="BB207" s="228">
        <v>407</v>
      </c>
      <c r="BC207" s="228">
        <v>-72</v>
      </c>
      <c r="BD207" s="229">
        <v>-0.17799999999999999</v>
      </c>
      <c r="BE207" s="228">
        <v>6</v>
      </c>
      <c r="BF207" s="228">
        <v>4</v>
      </c>
      <c r="BG207" s="228">
        <v>2</v>
      </c>
      <c r="BH207" s="229">
        <v>0.43480000000000002</v>
      </c>
      <c r="BI207" s="228">
        <v>304</v>
      </c>
      <c r="BJ207" s="228">
        <v>384</v>
      </c>
      <c r="BK207" s="228">
        <v>-80</v>
      </c>
      <c r="BL207" s="229">
        <v>-0.20780000000000001</v>
      </c>
      <c r="BM207" s="228">
        <v>229</v>
      </c>
      <c r="BN207" s="228">
        <v>200</v>
      </c>
      <c r="BO207" s="228">
        <v>29</v>
      </c>
      <c r="BP207" s="229">
        <v>0.14710000000000001</v>
      </c>
      <c r="BQ207" s="230">
        <v>1193</v>
      </c>
      <c r="BR207" s="230">
        <v>1388</v>
      </c>
      <c r="BS207" s="228">
        <v>-194</v>
      </c>
      <c r="BT207" s="229">
        <v>-0.1399</v>
      </c>
      <c r="BU207" s="230">
        <v>143338</v>
      </c>
      <c r="BV207" s="230">
        <v>104139</v>
      </c>
      <c r="BW207" s="230">
        <v>39199</v>
      </c>
      <c r="BX207" s="229">
        <v>0.37640000000000001</v>
      </c>
      <c r="BY207" s="230">
        <v>1221</v>
      </c>
      <c r="BZ207" s="230">
        <v>1426</v>
      </c>
      <c r="CA207" s="228">
        <v>-205</v>
      </c>
      <c r="CB207" s="229">
        <v>-0.1439</v>
      </c>
      <c r="CC207" s="228">
        <v>50</v>
      </c>
      <c r="CD207" s="228">
        <v>251</v>
      </c>
      <c r="CE207" s="228">
        <v>-201</v>
      </c>
      <c r="CF207" s="229">
        <v>-0.80149999999999999</v>
      </c>
      <c r="CG207" s="230">
        <v>1208</v>
      </c>
      <c r="CH207" s="230">
        <v>1166</v>
      </c>
      <c r="CI207" s="228">
        <v>43</v>
      </c>
      <c r="CJ207" s="229">
        <v>3.6700000000000003E-2</v>
      </c>
      <c r="CK207" s="228">
        <v>13</v>
      </c>
      <c r="CL207" s="228">
        <v>10</v>
      </c>
      <c r="CM207" s="228">
        <v>3</v>
      </c>
      <c r="CN207" s="229">
        <v>0.25879999999999997</v>
      </c>
      <c r="CO207" s="228">
        <v>99</v>
      </c>
      <c r="CP207" s="228">
        <v>352</v>
      </c>
      <c r="CQ207" s="228">
        <v>-252</v>
      </c>
      <c r="CR207" s="229">
        <v>-0.71799999999999997</v>
      </c>
      <c r="CS207" s="228">
        <v>71</v>
      </c>
      <c r="CT207" s="228">
        <v>287</v>
      </c>
      <c r="CU207" s="228">
        <v>-216</v>
      </c>
      <c r="CV207" s="229">
        <v>-0.75180000000000002</v>
      </c>
      <c r="CW207" s="230">
        <v>1392</v>
      </c>
      <c r="CX207" s="230">
        <v>2065</v>
      </c>
      <c r="CY207" s="228">
        <v>-673</v>
      </c>
      <c r="CZ207" s="229">
        <v>-0.3261</v>
      </c>
      <c r="DA207" s="228">
        <v>26.53</v>
      </c>
      <c r="DB207" s="228">
        <v>25.66</v>
      </c>
      <c r="DC207" s="228">
        <v>0.87</v>
      </c>
      <c r="DD207" s="228">
        <v>0.87</v>
      </c>
      <c r="DE207" s="228">
        <v>38.33</v>
      </c>
      <c r="DF207" s="228">
        <v>38.4</v>
      </c>
      <c r="DG207" s="228">
        <v>-11.8</v>
      </c>
      <c r="DH207" s="228">
        <v>-7.0000000000000007E-2</v>
      </c>
      <c r="DI207" s="228">
        <v>27.03</v>
      </c>
      <c r="DJ207" s="228">
        <v>25.67</v>
      </c>
      <c r="DK207" s="228">
        <v>1.36</v>
      </c>
      <c r="DL207" s="228">
        <v>1.36</v>
      </c>
      <c r="DM207" s="228">
        <v>25.78</v>
      </c>
      <c r="DN207" s="228">
        <v>25.64</v>
      </c>
      <c r="DO207" s="228">
        <v>0.14000000000000001</v>
      </c>
      <c r="DP207" s="228">
        <v>0.14000000000000001</v>
      </c>
      <c r="DQ207" s="228">
        <v>0.72</v>
      </c>
      <c r="DR207" s="228">
        <v>0.82</v>
      </c>
      <c r="DS207" s="228">
        <v>-0.1</v>
      </c>
      <c r="DT207" s="229">
        <v>-0.122</v>
      </c>
      <c r="DU207" s="231">
        <v>6500</v>
      </c>
      <c r="DV207" s="231">
        <v>6000</v>
      </c>
      <c r="DW207" s="228">
        <v>0.75</v>
      </c>
      <c r="DX207" s="228">
        <v>0.52</v>
      </c>
      <c r="DY207" s="228">
        <v>0.23</v>
      </c>
      <c r="DZ207" s="229">
        <v>0.44230000000000003</v>
      </c>
      <c r="EA207" s="229">
        <v>0.96079999999999999</v>
      </c>
      <c r="EB207" s="230">
        <v>1956500</v>
      </c>
      <c r="EC207" s="229">
        <v>-1.5599999999999999E-2</v>
      </c>
      <c r="ED207" s="229">
        <v>0.96079999999999999</v>
      </c>
      <c r="EE207" s="228">
        <v>-65.489999999999995</v>
      </c>
      <c r="EF207" s="229">
        <v>-1.0800000000000001E-2</v>
      </c>
      <c r="EG207" s="230">
        <v>59056</v>
      </c>
      <c r="EH207" s="230">
        <v>23665</v>
      </c>
      <c r="EI207" s="229">
        <v>1.4955000000000001</v>
      </c>
      <c r="EJ207" s="229">
        <v>0.41199999999999998</v>
      </c>
      <c r="EK207" s="228">
        <v>322.72000000000003</v>
      </c>
      <c r="EL207" s="228">
        <v>228.21</v>
      </c>
      <c r="EM207" s="228">
        <v>662.05</v>
      </c>
      <c r="EN207" s="228">
        <v>0</v>
      </c>
      <c r="EO207" s="231">
        <v>1212.98</v>
      </c>
      <c r="EP207" s="231">
        <v>1420.2</v>
      </c>
      <c r="EQ207" s="228">
        <v>-207.22</v>
      </c>
      <c r="ER207" s="229">
        <v>-0.1459</v>
      </c>
      <c r="ES207" s="228">
        <v>105.04</v>
      </c>
      <c r="ET207" s="228">
        <v>70.5</v>
      </c>
      <c r="EU207" s="231">
        <v>1221.1300000000001</v>
      </c>
      <c r="EV207" s="231">
        <v>6987041</v>
      </c>
      <c r="EW207" s="231">
        <v>1396.67</v>
      </c>
      <c r="EX207" s="231">
        <v>2101.4499999999998</v>
      </c>
      <c r="EY207" s="228">
        <v>-704.78</v>
      </c>
      <c r="EZ207" s="229">
        <v>-0.33539999999999998</v>
      </c>
      <c r="FA207" s="229">
        <v>0.33139999999999997</v>
      </c>
      <c r="FB207" s="227" t="s">
        <v>568</v>
      </c>
      <c r="FC207">
        <f t="shared" si="4"/>
        <v>0</v>
      </c>
    </row>
    <row r="208" spans="1:159" ht="17.25" thickBot="1" x14ac:dyDescent="0.3">
      <c r="A208" s="226">
        <v>45869</v>
      </c>
      <c r="B208" s="227" t="s">
        <v>162</v>
      </c>
      <c r="C208" s="227" t="s">
        <v>292</v>
      </c>
      <c r="D208" s="228">
        <v>800</v>
      </c>
      <c r="E208" s="228">
        <v>0</v>
      </c>
      <c r="F208" s="228">
        <v>668.4</v>
      </c>
      <c r="G208" s="228">
        <v>671.3</v>
      </c>
      <c r="H208" s="228">
        <v>-2.9</v>
      </c>
      <c r="I208" s="229">
        <v>-4.3E-3</v>
      </c>
      <c r="J208" s="228">
        <v>665.95</v>
      </c>
      <c r="K208" s="228">
        <v>668.45</v>
      </c>
      <c r="L208" s="228">
        <v>-2.5</v>
      </c>
      <c r="M208" s="229">
        <v>-3.7000000000000002E-3</v>
      </c>
      <c r="N208" s="228">
        <v>664.35</v>
      </c>
      <c r="O208" s="228">
        <v>667.85</v>
      </c>
      <c r="P208" s="228">
        <v>-3.5</v>
      </c>
      <c r="Q208" s="229">
        <v>-5.1999999999999998E-3</v>
      </c>
      <c r="R208" s="228">
        <v>668.4</v>
      </c>
      <c r="S208" s="228">
        <v>671.3</v>
      </c>
      <c r="T208" s="228">
        <v>-2.9</v>
      </c>
      <c r="U208" s="229">
        <v>-4.3E-3</v>
      </c>
      <c r="V208" s="228">
        <v>672.5</v>
      </c>
      <c r="W208" s="228">
        <v>675.35</v>
      </c>
      <c r="X208" s="228">
        <v>-2.85</v>
      </c>
      <c r="Y208" s="229">
        <v>-4.1999999999999997E-3</v>
      </c>
      <c r="Z208" s="228">
        <v>2.4500000000000002</v>
      </c>
      <c r="AA208" s="228">
        <v>-0.6</v>
      </c>
      <c r="AB208" s="228">
        <v>3.05</v>
      </c>
      <c r="AC208" s="229">
        <v>3.7000000000000002E-3</v>
      </c>
      <c r="AD208" s="228">
        <v>-1.6</v>
      </c>
      <c r="AE208" s="228">
        <v>-0.6</v>
      </c>
      <c r="AF208" s="228">
        <v>-1</v>
      </c>
      <c r="AG208" s="229">
        <v>-2.3999999999999998E-3</v>
      </c>
      <c r="AH208" s="228">
        <v>2.4500000000000002</v>
      </c>
      <c r="AI208" s="228">
        <v>2.85</v>
      </c>
      <c r="AJ208" s="228">
        <v>-0.4</v>
      </c>
      <c r="AK208" s="229">
        <v>3.7000000000000002E-3</v>
      </c>
      <c r="AL208" s="228">
        <v>6.55</v>
      </c>
      <c r="AM208" s="228">
        <v>6.9</v>
      </c>
      <c r="AN208" s="228">
        <v>-0.35</v>
      </c>
      <c r="AO208" s="229">
        <v>9.7999999999999997E-3</v>
      </c>
      <c r="AP208" s="228">
        <v>666.43</v>
      </c>
      <c r="AQ208" s="228">
        <v>669.1</v>
      </c>
      <c r="AR208" s="228">
        <v>0</v>
      </c>
      <c r="AS208" s="230">
        <v>3138</v>
      </c>
      <c r="AT208" s="230">
        <v>3602</v>
      </c>
      <c r="AU208" s="228">
        <v>-464</v>
      </c>
      <c r="AV208" s="229">
        <v>-0.12889999999999999</v>
      </c>
      <c r="AW208" s="230">
        <v>1186</v>
      </c>
      <c r="AX208" s="230">
        <v>1441</v>
      </c>
      <c r="AY208" s="228">
        <v>-255</v>
      </c>
      <c r="AZ208" s="229">
        <v>-0.17680000000000001</v>
      </c>
      <c r="BA208" s="230">
        <v>1871</v>
      </c>
      <c r="BB208" s="230">
        <v>2058</v>
      </c>
      <c r="BC208" s="228">
        <v>-187</v>
      </c>
      <c r="BD208" s="229">
        <v>-9.0899999999999995E-2</v>
      </c>
      <c r="BE208" s="228">
        <v>81</v>
      </c>
      <c r="BF208" s="228">
        <v>104</v>
      </c>
      <c r="BG208" s="228">
        <v>-23</v>
      </c>
      <c r="BH208" s="229">
        <v>-0.21729999999999999</v>
      </c>
      <c r="BI208" s="230">
        <v>3901</v>
      </c>
      <c r="BJ208" s="230">
        <v>5957</v>
      </c>
      <c r="BK208" s="230">
        <v>-2056</v>
      </c>
      <c r="BL208" s="229">
        <v>-0.34520000000000001</v>
      </c>
      <c r="BM208" s="230">
        <v>2733</v>
      </c>
      <c r="BN208" s="230">
        <v>4436</v>
      </c>
      <c r="BO208" s="230">
        <v>-1703</v>
      </c>
      <c r="BP208" s="229">
        <v>-0.38390000000000002</v>
      </c>
      <c r="BQ208" s="230">
        <v>9772</v>
      </c>
      <c r="BR208" s="230">
        <v>13995</v>
      </c>
      <c r="BS208" s="230">
        <v>-4223</v>
      </c>
      <c r="BT208" s="229">
        <v>-0.30180000000000001</v>
      </c>
      <c r="BU208" s="230">
        <v>19565166</v>
      </c>
      <c r="BV208" s="230">
        <v>20408715</v>
      </c>
      <c r="BW208" s="230">
        <v>-843549</v>
      </c>
      <c r="BX208" s="229">
        <v>-4.1300000000000003E-2</v>
      </c>
      <c r="BY208" s="230">
        <v>5207</v>
      </c>
      <c r="BZ208" s="230">
        <v>5415</v>
      </c>
      <c r="CA208" s="228">
        <v>-208</v>
      </c>
      <c r="CB208" s="229">
        <v>-3.8399999999999997E-2</v>
      </c>
      <c r="CC208" s="228">
        <v>270</v>
      </c>
      <c r="CD208" s="228">
        <v>928</v>
      </c>
      <c r="CE208" s="228">
        <v>-658</v>
      </c>
      <c r="CF208" s="229">
        <v>-0.70909999999999995</v>
      </c>
      <c r="CG208" s="230">
        <v>4988</v>
      </c>
      <c r="CH208" s="230">
        <v>4293</v>
      </c>
      <c r="CI208" s="228">
        <v>694</v>
      </c>
      <c r="CJ208" s="229">
        <v>0.16170000000000001</v>
      </c>
      <c r="CK208" s="228">
        <v>219</v>
      </c>
      <c r="CL208" s="228">
        <v>194</v>
      </c>
      <c r="CM208" s="228">
        <v>26</v>
      </c>
      <c r="CN208" s="229">
        <v>0.1318</v>
      </c>
      <c r="CO208" s="230">
        <v>1406</v>
      </c>
      <c r="CP208" s="230">
        <v>2942</v>
      </c>
      <c r="CQ208" s="230">
        <v>-1536</v>
      </c>
      <c r="CR208" s="229">
        <v>-0.52200000000000002</v>
      </c>
      <c r="CS208" s="230">
        <v>1232</v>
      </c>
      <c r="CT208" s="230">
        <v>1978</v>
      </c>
      <c r="CU208" s="228">
        <v>-746</v>
      </c>
      <c r="CV208" s="229">
        <v>-0.37730000000000002</v>
      </c>
      <c r="CW208" s="230">
        <v>7846</v>
      </c>
      <c r="CX208" s="230">
        <v>10335</v>
      </c>
      <c r="CY208" s="230">
        <v>-2490</v>
      </c>
      <c r="CZ208" s="229">
        <v>-0.2409</v>
      </c>
      <c r="DA208" s="228">
        <v>32.36</v>
      </c>
      <c r="DB208" s="228">
        <v>32.22</v>
      </c>
      <c r="DC208" s="228">
        <v>0.14000000000000001</v>
      </c>
      <c r="DD208" s="228">
        <v>0.14000000000000001</v>
      </c>
      <c r="DE208" s="228">
        <v>36.44</v>
      </c>
      <c r="DF208" s="228">
        <v>36.53</v>
      </c>
      <c r="DG208" s="228">
        <v>-4.08</v>
      </c>
      <c r="DH208" s="228">
        <v>-0.09</v>
      </c>
      <c r="DI208" s="228">
        <v>32.270000000000003</v>
      </c>
      <c r="DJ208" s="228">
        <v>32.090000000000003</v>
      </c>
      <c r="DK208" s="228">
        <v>0.18</v>
      </c>
      <c r="DL208" s="228">
        <v>0.18</v>
      </c>
      <c r="DM208" s="228">
        <v>32.49</v>
      </c>
      <c r="DN208" s="228">
        <v>32.4</v>
      </c>
      <c r="DO208" s="228">
        <v>0.09</v>
      </c>
      <c r="DP208" s="228">
        <v>0.09</v>
      </c>
      <c r="DQ208" s="228">
        <v>0.88</v>
      </c>
      <c r="DR208" s="228">
        <v>0.67</v>
      </c>
      <c r="DS208" s="228">
        <v>0.21</v>
      </c>
      <c r="DT208" s="229">
        <v>0.31340000000000001</v>
      </c>
      <c r="DU208" s="228">
        <v>700</v>
      </c>
      <c r="DV208" s="228">
        <v>800</v>
      </c>
      <c r="DW208" s="228">
        <v>0.7</v>
      </c>
      <c r="DX208" s="228">
        <v>0.74</v>
      </c>
      <c r="DY208" s="228">
        <v>-0.04</v>
      </c>
      <c r="DZ208" s="229">
        <v>-5.4100000000000002E-2</v>
      </c>
      <c r="EA208" s="229">
        <v>0.95069999999999999</v>
      </c>
      <c r="EB208" s="230">
        <v>67136000</v>
      </c>
      <c r="EC208" s="229">
        <v>6.1000000000000004E-3</v>
      </c>
      <c r="ED208" s="229">
        <v>0.95069999999999999</v>
      </c>
      <c r="EE208" s="228">
        <v>2.67</v>
      </c>
      <c r="EF208" s="229">
        <v>4.0000000000000001E-3</v>
      </c>
      <c r="EG208" s="230">
        <v>9060107</v>
      </c>
      <c r="EH208" s="230">
        <v>9551812</v>
      </c>
      <c r="EI208" s="229">
        <v>-5.1499999999999997E-2</v>
      </c>
      <c r="EJ208" s="229">
        <v>0.46310000000000001</v>
      </c>
      <c r="EK208" s="231">
        <v>4107.05</v>
      </c>
      <c r="EL208" s="231">
        <v>2765.41</v>
      </c>
      <c r="EM208" s="231">
        <v>3137.04</v>
      </c>
      <c r="EN208" s="228">
        <v>0</v>
      </c>
      <c r="EO208" s="231">
        <v>10009.51</v>
      </c>
      <c r="EP208" s="231">
        <v>14367.98</v>
      </c>
      <c r="EQ208" s="231">
        <v>-4358.47</v>
      </c>
      <c r="ER208" s="229">
        <v>-0.30330000000000001</v>
      </c>
      <c r="ES208" s="231">
        <v>1501.2</v>
      </c>
      <c r="ET208" s="231">
        <v>1252.97</v>
      </c>
      <c r="EU208" s="231">
        <v>5208.6099999999997</v>
      </c>
      <c r="EV208" s="231">
        <v>422796029</v>
      </c>
      <c r="EW208" s="231">
        <v>7962.79</v>
      </c>
      <c r="EX208" s="231">
        <v>10617.9</v>
      </c>
      <c r="EY208" s="231">
        <v>-2655.11</v>
      </c>
      <c r="EZ208" s="229">
        <v>-0.25009999999999999</v>
      </c>
      <c r="FA208" s="229">
        <v>0.27760000000000001</v>
      </c>
      <c r="FB208" s="227" t="s">
        <v>568</v>
      </c>
      <c r="FC208">
        <f t="shared" si="4"/>
        <v>0</v>
      </c>
    </row>
    <row r="209" spans="1:159" ht="17.25" thickBot="1" x14ac:dyDescent="0.3">
      <c r="A209" s="226">
        <v>45869</v>
      </c>
      <c r="B209" s="227" t="s">
        <v>161</v>
      </c>
      <c r="C209" s="227" t="s">
        <v>293</v>
      </c>
      <c r="D209" s="228">
        <v>1450</v>
      </c>
      <c r="E209" s="228">
        <v>0</v>
      </c>
      <c r="F209" s="228">
        <v>399.7</v>
      </c>
      <c r="G209" s="228">
        <v>403.05</v>
      </c>
      <c r="H209" s="228">
        <v>-3.35</v>
      </c>
      <c r="I209" s="229">
        <v>-8.3000000000000001E-3</v>
      </c>
      <c r="J209" s="228">
        <v>397.75</v>
      </c>
      <c r="K209" s="228">
        <v>401.35</v>
      </c>
      <c r="L209" s="228">
        <v>-3.6</v>
      </c>
      <c r="M209" s="229">
        <v>-8.9999999999999993E-3</v>
      </c>
      <c r="N209" s="228">
        <v>397.55</v>
      </c>
      <c r="O209" s="228">
        <v>401.05</v>
      </c>
      <c r="P209" s="228">
        <v>-3.5</v>
      </c>
      <c r="Q209" s="229">
        <v>-8.6999999999999994E-3</v>
      </c>
      <c r="R209" s="228">
        <v>399.7</v>
      </c>
      <c r="S209" s="228">
        <v>403.05</v>
      </c>
      <c r="T209" s="228">
        <v>-3.35</v>
      </c>
      <c r="U209" s="229">
        <v>-8.3000000000000001E-3</v>
      </c>
      <c r="V209" s="228">
        <v>401.85</v>
      </c>
      <c r="W209" s="228">
        <v>405.5</v>
      </c>
      <c r="X209" s="228">
        <v>-3.65</v>
      </c>
      <c r="Y209" s="229">
        <v>-8.9999999999999993E-3</v>
      </c>
      <c r="Z209" s="228">
        <v>1.95</v>
      </c>
      <c r="AA209" s="228">
        <v>-0.3</v>
      </c>
      <c r="AB209" s="228">
        <v>2.25</v>
      </c>
      <c r="AC209" s="229">
        <v>4.8999999999999998E-3</v>
      </c>
      <c r="AD209" s="228">
        <v>-0.2</v>
      </c>
      <c r="AE209" s="228">
        <v>-0.3</v>
      </c>
      <c r="AF209" s="228">
        <v>0.1</v>
      </c>
      <c r="AG209" s="229">
        <v>-5.0000000000000001E-4</v>
      </c>
      <c r="AH209" s="228">
        <v>1.95</v>
      </c>
      <c r="AI209" s="228">
        <v>1.7</v>
      </c>
      <c r="AJ209" s="228">
        <v>0.25</v>
      </c>
      <c r="AK209" s="229">
        <v>4.8999999999999998E-3</v>
      </c>
      <c r="AL209" s="228">
        <v>4.0999999999999996</v>
      </c>
      <c r="AM209" s="228">
        <v>4.1500000000000004</v>
      </c>
      <c r="AN209" s="228">
        <v>-0.05</v>
      </c>
      <c r="AO209" s="229">
        <v>1.03E-2</v>
      </c>
      <c r="AP209" s="228">
        <v>398.18</v>
      </c>
      <c r="AQ209" s="228">
        <v>400.26</v>
      </c>
      <c r="AR209" s="228">
        <v>0</v>
      </c>
      <c r="AS209" s="230">
        <v>1237</v>
      </c>
      <c r="AT209" s="230">
        <v>1486</v>
      </c>
      <c r="AU209" s="228">
        <v>-249</v>
      </c>
      <c r="AV209" s="229">
        <v>-0.16750000000000001</v>
      </c>
      <c r="AW209" s="228">
        <v>465</v>
      </c>
      <c r="AX209" s="228">
        <v>696</v>
      </c>
      <c r="AY209" s="228">
        <v>-231</v>
      </c>
      <c r="AZ209" s="229">
        <v>-0.33139999999999997</v>
      </c>
      <c r="BA209" s="228">
        <v>753</v>
      </c>
      <c r="BB209" s="228">
        <v>780</v>
      </c>
      <c r="BC209" s="228">
        <v>-27</v>
      </c>
      <c r="BD209" s="229">
        <v>-3.4299999999999997E-2</v>
      </c>
      <c r="BE209" s="228">
        <v>19</v>
      </c>
      <c r="BF209" s="228">
        <v>10</v>
      </c>
      <c r="BG209" s="228">
        <v>8</v>
      </c>
      <c r="BH209" s="229">
        <v>0.80449999999999999</v>
      </c>
      <c r="BI209" s="230">
        <v>1229</v>
      </c>
      <c r="BJ209" s="230">
        <v>1266</v>
      </c>
      <c r="BK209" s="228">
        <v>-37</v>
      </c>
      <c r="BL209" s="229">
        <v>-2.9499999999999998E-2</v>
      </c>
      <c r="BM209" s="228">
        <v>732</v>
      </c>
      <c r="BN209" s="228">
        <v>846</v>
      </c>
      <c r="BO209" s="228">
        <v>-113</v>
      </c>
      <c r="BP209" s="229">
        <v>-0.13420000000000001</v>
      </c>
      <c r="BQ209" s="230">
        <v>3198</v>
      </c>
      <c r="BR209" s="230">
        <v>3598</v>
      </c>
      <c r="BS209" s="228">
        <v>-400</v>
      </c>
      <c r="BT209" s="229">
        <v>-0.1111</v>
      </c>
      <c r="BU209" s="230">
        <v>5668480</v>
      </c>
      <c r="BV209" s="230">
        <v>5638281</v>
      </c>
      <c r="BW209" s="230">
        <v>30199</v>
      </c>
      <c r="BX209" s="229">
        <v>5.4000000000000003E-3</v>
      </c>
      <c r="BY209" s="230">
        <v>2839</v>
      </c>
      <c r="BZ209" s="230">
        <v>2829</v>
      </c>
      <c r="CA209" s="228">
        <v>9</v>
      </c>
      <c r="CB209" s="229">
        <v>3.3E-3</v>
      </c>
      <c r="CC209" s="228">
        <v>100</v>
      </c>
      <c r="CD209" s="228">
        <v>384</v>
      </c>
      <c r="CE209" s="228">
        <v>-284</v>
      </c>
      <c r="CF209" s="229">
        <v>-0.73880000000000001</v>
      </c>
      <c r="CG209" s="230">
        <v>2779</v>
      </c>
      <c r="CH209" s="230">
        <v>2395</v>
      </c>
      <c r="CI209" s="228">
        <v>384</v>
      </c>
      <c r="CJ209" s="229">
        <v>0.1605</v>
      </c>
      <c r="CK209" s="228">
        <v>60</v>
      </c>
      <c r="CL209" s="228">
        <v>50</v>
      </c>
      <c r="CM209" s="228">
        <v>10</v>
      </c>
      <c r="CN209" s="229">
        <v>0.191</v>
      </c>
      <c r="CO209" s="228">
        <v>603</v>
      </c>
      <c r="CP209" s="230">
        <v>1221</v>
      </c>
      <c r="CQ209" s="228">
        <v>-617</v>
      </c>
      <c r="CR209" s="229">
        <v>-0.50590000000000002</v>
      </c>
      <c r="CS209" s="228">
        <v>600</v>
      </c>
      <c r="CT209" s="228">
        <v>940</v>
      </c>
      <c r="CU209" s="228">
        <v>-340</v>
      </c>
      <c r="CV209" s="229">
        <v>-0.3614</v>
      </c>
      <c r="CW209" s="230">
        <v>4042</v>
      </c>
      <c r="CX209" s="230">
        <v>4990</v>
      </c>
      <c r="CY209" s="228">
        <v>-948</v>
      </c>
      <c r="CZ209" s="229">
        <v>-0.19</v>
      </c>
      <c r="DA209" s="228">
        <v>25.87</v>
      </c>
      <c r="DB209" s="228">
        <v>25.32</v>
      </c>
      <c r="DC209" s="228">
        <v>0.55000000000000004</v>
      </c>
      <c r="DD209" s="228">
        <v>0.55000000000000004</v>
      </c>
      <c r="DE209" s="228">
        <v>36.4</v>
      </c>
      <c r="DF209" s="228">
        <v>36.479999999999997</v>
      </c>
      <c r="DG209" s="228">
        <v>-10.53</v>
      </c>
      <c r="DH209" s="228">
        <v>-0.08</v>
      </c>
      <c r="DI209" s="228">
        <v>26.16</v>
      </c>
      <c r="DJ209" s="228">
        <v>25.42</v>
      </c>
      <c r="DK209" s="228">
        <v>0.74</v>
      </c>
      <c r="DL209" s="228">
        <v>0.74</v>
      </c>
      <c r="DM209" s="228">
        <v>25.38</v>
      </c>
      <c r="DN209" s="228">
        <v>25.19</v>
      </c>
      <c r="DO209" s="228">
        <v>0.19</v>
      </c>
      <c r="DP209" s="228">
        <v>0.19</v>
      </c>
      <c r="DQ209" s="228">
        <v>1</v>
      </c>
      <c r="DR209" s="228">
        <v>0.77</v>
      </c>
      <c r="DS209" s="228">
        <v>0.23</v>
      </c>
      <c r="DT209" s="229">
        <v>0.29870000000000002</v>
      </c>
      <c r="DU209" s="228">
        <v>450</v>
      </c>
      <c r="DV209" s="228">
        <v>400</v>
      </c>
      <c r="DW209" s="228">
        <v>0.6</v>
      </c>
      <c r="DX209" s="228">
        <v>0.67</v>
      </c>
      <c r="DY209" s="228">
        <v>-7.0000000000000007E-2</v>
      </c>
      <c r="DZ209" s="229">
        <v>-0.1045</v>
      </c>
      <c r="EA209" s="229">
        <v>0.96579999999999999</v>
      </c>
      <c r="EB209" s="230">
        <v>61166800</v>
      </c>
      <c r="EC209" s="229">
        <v>5.4000000000000003E-3</v>
      </c>
      <c r="ED209" s="229">
        <v>0.96579999999999999</v>
      </c>
      <c r="EE209" s="228">
        <v>2.08</v>
      </c>
      <c r="EF209" s="229">
        <v>5.1999999999999998E-3</v>
      </c>
      <c r="EG209" s="230">
        <v>2693912</v>
      </c>
      <c r="EH209" s="230">
        <v>2725467</v>
      </c>
      <c r="EI209" s="229">
        <v>-1.1599999999999999E-2</v>
      </c>
      <c r="EJ209" s="229">
        <v>0.47520000000000001</v>
      </c>
      <c r="EK209" s="231">
        <v>1280.7</v>
      </c>
      <c r="EL209" s="228">
        <v>743.08</v>
      </c>
      <c r="EM209" s="231">
        <v>1236.79</v>
      </c>
      <c r="EN209" s="228">
        <v>0</v>
      </c>
      <c r="EO209" s="231">
        <v>3260.56</v>
      </c>
      <c r="EP209" s="231">
        <v>3696.38</v>
      </c>
      <c r="EQ209" s="228">
        <v>-435.82</v>
      </c>
      <c r="ER209" s="229">
        <v>-0.1179</v>
      </c>
      <c r="ES209" s="228">
        <v>633.66999999999996</v>
      </c>
      <c r="ET209" s="228">
        <v>604.01</v>
      </c>
      <c r="EU209" s="231">
        <v>2839.03</v>
      </c>
      <c r="EV209" s="231">
        <v>339616396</v>
      </c>
      <c r="EW209" s="231">
        <v>4076.7</v>
      </c>
      <c r="EX209" s="231">
        <v>5084.5600000000004</v>
      </c>
      <c r="EY209" s="231">
        <v>-1007.86</v>
      </c>
      <c r="EZ209" s="229">
        <v>-0.19819999999999999</v>
      </c>
      <c r="FA209" s="229">
        <v>0.29780000000000001</v>
      </c>
      <c r="FB209" s="227" t="s">
        <v>567</v>
      </c>
      <c r="FC209">
        <f t="shared" si="4"/>
        <v>0</v>
      </c>
    </row>
    <row r="210" spans="1:159" ht="17.25" thickBot="1" x14ac:dyDescent="0.3">
      <c r="A210" s="226">
        <v>45869</v>
      </c>
      <c r="B210" s="227" t="s">
        <v>227</v>
      </c>
      <c r="C210" s="227" t="s">
        <v>294</v>
      </c>
      <c r="D210" s="228">
        <v>5500</v>
      </c>
      <c r="E210" s="228">
        <v>0</v>
      </c>
      <c r="F210" s="228">
        <v>158.41999999999999</v>
      </c>
      <c r="G210" s="228">
        <v>162.33000000000001</v>
      </c>
      <c r="H210" s="228">
        <v>-3.91</v>
      </c>
      <c r="I210" s="229">
        <v>-2.41E-2</v>
      </c>
      <c r="J210" s="228">
        <v>157.94</v>
      </c>
      <c r="K210" s="228">
        <v>161.36000000000001</v>
      </c>
      <c r="L210" s="228">
        <v>-3.42</v>
      </c>
      <c r="M210" s="229">
        <v>-2.12E-2</v>
      </c>
      <c r="N210" s="228">
        <v>157.88</v>
      </c>
      <c r="O210" s="228">
        <v>161.46</v>
      </c>
      <c r="P210" s="228">
        <v>-3.58</v>
      </c>
      <c r="Q210" s="229">
        <v>-2.2200000000000001E-2</v>
      </c>
      <c r="R210" s="228">
        <v>158.41999999999999</v>
      </c>
      <c r="S210" s="228">
        <v>162.33000000000001</v>
      </c>
      <c r="T210" s="228">
        <v>-3.91</v>
      </c>
      <c r="U210" s="229">
        <v>-2.41E-2</v>
      </c>
      <c r="V210" s="228">
        <v>159.52000000000001</v>
      </c>
      <c r="W210" s="228">
        <v>163.24</v>
      </c>
      <c r="X210" s="228">
        <v>-3.72</v>
      </c>
      <c r="Y210" s="229">
        <v>-2.2800000000000001E-2</v>
      </c>
      <c r="Z210" s="228">
        <v>0.48</v>
      </c>
      <c r="AA210" s="228">
        <v>0.1</v>
      </c>
      <c r="AB210" s="228">
        <v>0.38</v>
      </c>
      <c r="AC210" s="229">
        <v>3.0000000000000001E-3</v>
      </c>
      <c r="AD210" s="228">
        <v>-0.06</v>
      </c>
      <c r="AE210" s="228">
        <v>0.1</v>
      </c>
      <c r="AF210" s="228">
        <v>-0.16</v>
      </c>
      <c r="AG210" s="229">
        <v>-4.0000000000000002E-4</v>
      </c>
      <c r="AH210" s="228">
        <v>0.48</v>
      </c>
      <c r="AI210" s="228">
        <v>0.97</v>
      </c>
      <c r="AJ210" s="228">
        <v>-0.49</v>
      </c>
      <c r="AK210" s="229">
        <v>3.0000000000000001E-3</v>
      </c>
      <c r="AL210" s="228">
        <v>1.58</v>
      </c>
      <c r="AM210" s="228">
        <v>1.88</v>
      </c>
      <c r="AN210" s="228">
        <v>-0.3</v>
      </c>
      <c r="AO210" s="229">
        <v>0.01</v>
      </c>
      <c r="AP210" s="228">
        <v>160.22999999999999</v>
      </c>
      <c r="AQ210" s="228">
        <v>160.74</v>
      </c>
      <c r="AR210" s="228">
        <v>0</v>
      </c>
      <c r="AS210" s="230">
        <v>2157</v>
      </c>
      <c r="AT210" s="230">
        <v>1522</v>
      </c>
      <c r="AU210" s="228">
        <v>635</v>
      </c>
      <c r="AV210" s="229">
        <v>0.41749999999999998</v>
      </c>
      <c r="AW210" s="228">
        <v>769</v>
      </c>
      <c r="AX210" s="228">
        <v>739</v>
      </c>
      <c r="AY210" s="228">
        <v>30</v>
      </c>
      <c r="AZ210" s="229">
        <v>4.0399999999999998E-2</v>
      </c>
      <c r="BA210" s="230">
        <v>1346</v>
      </c>
      <c r="BB210" s="228">
        <v>769</v>
      </c>
      <c r="BC210" s="228">
        <v>577</v>
      </c>
      <c r="BD210" s="229">
        <v>0.74990000000000001</v>
      </c>
      <c r="BE210" s="228">
        <v>42</v>
      </c>
      <c r="BF210" s="228">
        <v>13</v>
      </c>
      <c r="BG210" s="228">
        <v>29</v>
      </c>
      <c r="BH210" s="229">
        <v>2.1429</v>
      </c>
      <c r="BI210" s="230">
        <v>4939</v>
      </c>
      <c r="BJ210" s="230">
        <v>3227</v>
      </c>
      <c r="BK210" s="230">
        <v>1712</v>
      </c>
      <c r="BL210" s="229">
        <v>0.53049999999999997</v>
      </c>
      <c r="BM210" s="230">
        <v>2451</v>
      </c>
      <c r="BN210" s="230">
        <v>1317</v>
      </c>
      <c r="BO210" s="230">
        <v>1134</v>
      </c>
      <c r="BP210" s="229">
        <v>0.86109999999999998</v>
      </c>
      <c r="BQ210" s="230">
        <v>9547</v>
      </c>
      <c r="BR210" s="230">
        <v>6066</v>
      </c>
      <c r="BS210" s="230">
        <v>3481</v>
      </c>
      <c r="BT210" s="229">
        <v>0.57389999999999997</v>
      </c>
      <c r="BU210" s="230">
        <v>27267142</v>
      </c>
      <c r="BV210" s="230">
        <v>16885457</v>
      </c>
      <c r="BW210" s="230">
        <v>10381685</v>
      </c>
      <c r="BX210" s="229">
        <v>0.61480000000000001</v>
      </c>
      <c r="BY210" s="230">
        <v>2866</v>
      </c>
      <c r="BZ210" s="230">
        <v>3092</v>
      </c>
      <c r="CA210" s="228">
        <v>-226</v>
      </c>
      <c r="CB210" s="229">
        <v>-7.3099999999999998E-2</v>
      </c>
      <c r="CC210" s="228">
        <v>427</v>
      </c>
      <c r="CD210" s="228">
        <v>608</v>
      </c>
      <c r="CE210" s="228">
        <v>-181</v>
      </c>
      <c r="CF210" s="229">
        <v>-0.29830000000000001</v>
      </c>
      <c r="CG210" s="230">
        <v>2774</v>
      </c>
      <c r="CH210" s="230">
        <v>2409</v>
      </c>
      <c r="CI210" s="228">
        <v>365</v>
      </c>
      <c r="CJ210" s="229">
        <v>0.15140000000000001</v>
      </c>
      <c r="CK210" s="228">
        <v>92</v>
      </c>
      <c r="CL210" s="228">
        <v>74</v>
      </c>
      <c r="CM210" s="228">
        <v>18</v>
      </c>
      <c r="CN210" s="229">
        <v>0.2374</v>
      </c>
      <c r="CO210" s="230">
        <v>1282</v>
      </c>
      <c r="CP210" s="230">
        <v>2310</v>
      </c>
      <c r="CQ210" s="230">
        <v>-1029</v>
      </c>
      <c r="CR210" s="229">
        <v>-0.44519999999999998</v>
      </c>
      <c r="CS210" s="228">
        <v>794</v>
      </c>
      <c r="CT210" s="230">
        <v>1451</v>
      </c>
      <c r="CU210" s="228">
        <v>-656</v>
      </c>
      <c r="CV210" s="229">
        <v>-0.45240000000000002</v>
      </c>
      <c r="CW210" s="230">
        <v>4942</v>
      </c>
      <c r="CX210" s="230">
        <v>6853</v>
      </c>
      <c r="CY210" s="230">
        <v>-1911</v>
      </c>
      <c r="CZ210" s="229">
        <v>-0.27879999999999999</v>
      </c>
      <c r="DA210" s="228">
        <v>27.49</v>
      </c>
      <c r="DB210" s="228">
        <v>28.55</v>
      </c>
      <c r="DC210" s="228">
        <v>-1.06</v>
      </c>
      <c r="DD210" s="228">
        <v>-1.06</v>
      </c>
      <c r="DE210" s="228">
        <v>35</v>
      </c>
      <c r="DF210" s="228">
        <v>34.94</v>
      </c>
      <c r="DG210" s="228">
        <v>-7.51</v>
      </c>
      <c r="DH210" s="228">
        <v>0.06</v>
      </c>
      <c r="DI210" s="228">
        <v>28.23</v>
      </c>
      <c r="DJ210" s="228">
        <v>29.02</v>
      </c>
      <c r="DK210" s="228">
        <v>-0.79</v>
      </c>
      <c r="DL210" s="228">
        <v>-0.79</v>
      </c>
      <c r="DM210" s="228">
        <v>26.01</v>
      </c>
      <c r="DN210" s="228">
        <v>27.05</v>
      </c>
      <c r="DO210" s="228">
        <v>-1.04</v>
      </c>
      <c r="DP210" s="228">
        <v>-1.04</v>
      </c>
      <c r="DQ210" s="228">
        <v>0.62</v>
      </c>
      <c r="DR210" s="228">
        <v>0.63</v>
      </c>
      <c r="DS210" s="228">
        <v>-0.01</v>
      </c>
      <c r="DT210" s="229">
        <v>-1.5900000000000001E-2</v>
      </c>
      <c r="DU210" s="228">
        <v>180</v>
      </c>
      <c r="DV210" s="228">
        <v>160</v>
      </c>
      <c r="DW210" s="228">
        <v>0.5</v>
      </c>
      <c r="DX210" s="228">
        <v>0.41</v>
      </c>
      <c r="DY210" s="228">
        <v>0.09</v>
      </c>
      <c r="DZ210" s="229">
        <v>0.2195</v>
      </c>
      <c r="EA210" s="229">
        <v>0.87039999999999995</v>
      </c>
      <c r="EB210" s="230">
        <v>156755500</v>
      </c>
      <c r="EC210" s="229">
        <v>3.3999999999999998E-3</v>
      </c>
      <c r="ED210" s="229">
        <v>0.87039999999999995</v>
      </c>
      <c r="EE210" s="228">
        <v>0.51</v>
      </c>
      <c r="EF210" s="229">
        <v>3.2000000000000002E-3</v>
      </c>
      <c r="EG210" s="230">
        <v>8829964</v>
      </c>
      <c r="EH210" s="230">
        <v>9468458</v>
      </c>
      <c r="EI210" s="229">
        <v>-6.7400000000000002E-2</v>
      </c>
      <c r="EJ210" s="229">
        <v>0.32379999999999998</v>
      </c>
      <c r="EK210" s="231">
        <v>5274.67</v>
      </c>
      <c r="EL210" s="231">
        <v>2462.9899999999998</v>
      </c>
      <c r="EM210" s="231">
        <v>2186.6799999999998</v>
      </c>
      <c r="EN210" s="228">
        <v>0</v>
      </c>
      <c r="EO210" s="231">
        <v>9924.35</v>
      </c>
      <c r="EP210" s="231">
        <v>6375.69</v>
      </c>
      <c r="EQ210" s="231">
        <v>3548.65</v>
      </c>
      <c r="ER210" s="229">
        <v>0.55659999999999998</v>
      </c>
      <c r="ES210" s="231">
        <v>1373.92</v>
      </c>
      <c r="ET210" s="228">
        <v>765.83</v>
      </c>
      <c r="EU210" s="231">
        <v>2866.38</v>
      </c>
      <c r="EV210" s="231">
        <v>1667987352</v>
      </c>
      <c r="EW210" s="231">
        <v>5006.13</v>
      </c>
      <c r="EX210" s="231">
        <v>7042.85</v>
      </c>
      <c r="EY210" s="231">
        <v>-2036.72</v>
      </c>
      <c r="EZ210" s="229">
        <v>-0.28920000000000001</v>
      </c>
      <c r="FA210" s="229">
        <v>0.187</v>
      </c>
      <c r="FB210" s="227" t="s">
        <v>568</v>
      </c>
      <c r="FC210">
        <f t="shared" si="4"/>
        <v>0</v>
      </c>
    </row>
    <row r="211" spans="1:159" ht="17.25" thickBot="1" x14ac:dyDescent="0.3">
      <c r="A211" s="226">
        <v>45869</v>
      </c>
      <c r="B211" s="227" t="s">
        <v>221</v>
      </c>
      <c r="C211" s="227" t="s">
        <v>665</v>
      </c>
      <c r="D211" s="228">
        <v>800</v>
      </c>
      <c r="E211" s="228">
        <v>0</v>
      </c>
      <c r="F211" s="228">
        <v>706</v>
      </c>
      <c r="G211" s="228">
        <v>713.15</v>
      </c>
      <c r="H211" s="228">
        <v>-7.15</v>
      </c>
      <c r="I211" s="229">
        <v>-0.01</v>
      </c>
      <c r="J211" s="228">
        <v>702.25</v>
      </c>
      <c r="K211" s="228">
        <v>709.35</v>
      </c>
      <c r="L211" s="228">
        <v>-7.1</v>
      </c>
      <c r="M211" s="229">
        <v>-0.01</v>
      </c>
      <c r="N211" s="228">
        <v>701.75</v>
      </c>
      <c r="O211" s="228">
        <v>709.75</v>
      </c>
      <c r="P211" s="228">
        <v>-8</v>
      </c>
      <c r="Q211" s="229">
        <v>-1.1299999999999999E-2</v>
      </c>
      <c r="R211" s="228">
        <v>706</v>
      </c>
      <c r="S211" s="228">
        <v>713.15</v>
      </c>
      <c r="T211" s="228">
        <v>-7.15</v>
      </c>
      <c r="U211" s="229">
        <v>-0.01</v>
      </c>
      <c r="V211" s="228">
        <v>710.6</v>
      </c>
      <c r="W211" s="228">
        <v>717.8</v>
      </c>
      <c r="X211" s="228">
        <v>-7.2</v>
      </c>
      <c r="Y211" s="229">
        <v>-0.01</v>
      </c>
      <c r="Z211" s="228">
        <v>3.75</v>
      </c>
      <c r="AA211" s="228">
        <v>0.4</v>
      </c>
      <c r="AB211" s="228">
        <v>3.35</v>
      </c>
      <c r="AC211" s="229">
        <v>5.3E-3</v>
      </c>
      <c r="AD211" s="228">
        <v>-0.5</v>
      </c>
      <c r="AE211" s="228">
        <v>0.4</v>
      </c>
      <c r="AF211" s="228">
        <v>-0.9</v>
      </c>
      <c r="AG211" s="229">
        <v>-6.9999999999999999E-4</v>
      </c>
      <c r="AH211" s="228">
        <v>3.75</v>
      </c>
      <c r="AI211" s="228">
        <v>3.8</v>
      </c>
      <c r="AJ211" s="228">
        <v>-0.05</v>
      </c>
      <c r="AK211" s="229">
        <v>5.3E-3</v>
      </c>
      <c r="AL211" s="228">
        <v>8.35</v>
      </c>
      <c r="AM211" s="228">
        <v>8.4499999999999993</v>
      </c>
      <c r="AN211" s="228">
        <v>-0.1</v>
      </c>
      <c r="AO211" s="229">
        <v>1.1900000000000001E-2</v>
      </c>
      <c r="AP211" s="228">
        <v>704.6</v>
      </c>
      <c r="AQ211" s="228">
        <v>708.3</v>
      </c>
      <c r="AR211" s="228">
        <v>0</v>
      </c>
      <c r="AS211" s="228">
        <v>591</v>
      </c>
      <c r="AT211" s="228">
        <v>457</v>
      </c>
      <c r="AU211" s="228">
        <v>134</v>
      </c>
      <c r="AV211" s="229">
        <v>0.29189999999999999</v>
      </c>
      <c r="AW211" s="228">
        <v>255</v>
      </c>
      <c r="AX211" s="228">
        <v>206</v>
      </c>
      <c r="AY211" s="228">
        <v>48</v>
      </c>
      <c r="AZ211" s="229">
        <v>0.23469999999999999</v>
      </c>
      <c r="BA211" s="228">
        <v>324</v>
      </c>
      <c r="BB211" s="228">
        <v>244</v>
      </c>
      <c r="BC211" s="228">
        <v>81</v>
      </c>
      <c r="BD211" s="229">
        <v>0.33090000000000003</v>
      </c>
      <c r="BE211" s="228">
        <v>12</v>
      </c>
      <c r="BF211" s="228">
        <v>7</v>
      </c>
      <c r="BG211" s="228">
        <v>4</v>
      </c>
      <c r="BH211" s="229">
        <v>0.60309999999999997</v>
      </c>
      <c r="BI211" s="228">
        <v>200</v>
      </c>
      <c r="BJ211" s="228">
        <v>222</v>
      </c>
      <c r="BK211" s="228">
        <v>-22</v>
      </c>
      <c r="BL211" s="229">
        <v>-9.8500000000000004E-2</v>
      </c>
      <c r="BM211" s="228">
        <v>120</v>
      </c>
      <c r="BN211" s="228">
        <v>114</v>
      </c>
      <c r="BO211" s="228">
        <v>7</v>
      </c>
      <c r="BP211" s="229">
        <v>6.0199999999999997E-2</v>
      </c>
      <c r="BQ211" s="228">
        <v>911</v>
      </c>
      <c r="BR211" s="228">
        <v>793</v>
      </c>
      <c r="BS211" s="228">
        <v>118</v>
      </c>
      <c r="BT211" s="229">
        <v>0.14949999999999999</v>
      </c>
      <c r="BU211" s="230">
        <v>773841</v>
      </c>
      <c r="BV211" s="230">
        <v>691176</v>
      </c>
      <c r="BW211" s="230">
        <v>82665</v>
      </c>
      <c r="BX211" s="229">
        <v>0.1196</v>
      </c>
      <c r="BY211" s="228">
        <v>735</v>
      </c>
      <c r="BZ211" s="228">
        <v>743</v>
      </c>
      <c r="CA211" s="228">
        <v>-8</v>
      </c>
      <c r="CB211" s="229">
        <v>-1.0500000000000001E-2</v>
      </c>
      <c r="CC211" s="228">
        <v>37</v>
      </c>
      <c r="CD211" s="228">
        <v>178</v>
      </c>
      <c r="CE211" s="228">
        <v>-141</v>
      </c>
      <c r="CF211" s="229">
        <v>-0.79400000000000004</v>
      </c>
      <c r="CG211" s="228">
        <v>684</v>
      </c>
      <c r="CH211" s="228">
        <v>522</v>
      </c>
      <c r="CI211" s="228">
        <v>162</v>
      </c>
      <c r="CJ211" s="229">
        <v>0.31090000000000001</v>
      </c>
      <c r="CK211" s="228">
        <v>51</v>
      </c>
      <c r="CL211" s="228">
        <v>44</v>
      </c>
      <c r="CM211" s="228">
        <v>8</v>
      </c>
      <c r="CN211" s="229">
        <v>0.1764</v>
      </c>
      <c r="CO211" s="228">
        <v>130</v>
      </c>
      <c r="CP211" s="228">
        <v>414</v>
      </c>
      <c r="CQ211" s="228">
        <v>-284</v>
      </c>
      <c r="CR211" s="229">
        <v>-0.68640000000000001</v>
      </c>
      <c r="CS211" s="228">
        <v>104</v>
      </c>
      <c r="CT211" s="228">
        <v>249</v>
      </c>
      <c r="CU211" s="228">
        <v>-145</v>
      </c>
      <c r="CV211" s="229">
        <v>-0.58199999999999996</v>
      </c>
      <c r="CW211" s="228">
        <v>969</v>
      </c>
      <c r="CX211" s="230">
        <v>1406</v>
      </c>
      <c r="CY211" s="228">
        <v>-437</v>
      </c>
      <c r="CZ211" s="229">
        <v>-0.31080000000000002</v>
      </c>
      <c r="DA211" s="228">
        <v>25.26</v>
      </c>
      <c r="DB211" s="228">
        <v>25.44</v>
      </c>
      <c r="DC211" s="228">
        <v>-0.18</v>
      </c>
      <c r="DD211" s="228">
        <v>-0.18</v>
      </c>
      <c r="DE211" s="228">
        <v>32.700000000000003</v>
      </c>
      <c r="DF211" s="228">
        <v>32.75</v>
      </c>
      <c r="DG211" s="228">
        <v>-7.44</v>
      </c>
      <c r="DH211" s="228">
        <v>-0.05</v>
      </c>
      <c r="DI211" s="228">
        <v>25.57</v>
      </c>
      <c r="DJ211" s="228">
        <v>25.72</v>
      </c>
      <c r="DK211" s="228">
        <v>-0.15</v>
      </c>
      <c r="DL211" s="228">
        <v>-0.15</v>
      </c>
      <c r="DM211" s="228">
        <v>24.78</v>
      </c>
      <c r="DN211" s="228">
        <v>25.02</v>
      </c>
      <c r="DO211" s="228">
        <v>-0.24</v>
      </c>
      <c r="DP211" s="228">
        <v>-0.24</v>
      </c>
      <c r="DQ211" s="228">
        <v>0.8</v>
      </c>
      <c r="DR211" s="228">
        <v>0.6</v>
      </c>
      <c r="DS211" s="228">
        <v>0.2</v>
      </c>
      <c r="DT211" s="229">
        <v>0.33329999999999999</v>
      </c>
      <c r="DU211" s="228">
        <v>800</v>
      </c>
      <c r="DV211" s="228">
        <v>700</v>
      </c>
      <c r="DW211" s="228">
        <v>0.6</v>
      </c>
      <c r="DX211" s="228">
        <v>0.51</v>
      </c>
      <c r="DY211" s="228">
        <v>0.09</v>
      </c>
      <c r="DZ211" s="229">
        <v>0.17649999999999999</v>
      </c>
      <c r="EA211" s="229">
        <v>0.9526</v>
      </c>
      <c r="EB211" s="230">
        <v>8007200</v>
      </c>
      <c r="EC211" s="229">
        <v>6.1000000000000004E-3</v>
      </c>
      <c r="ED211" s="229">
        <v>0.9526</v>
      </c>
      <c r="EE211" s="228">
        <v>3.7</v>
      </c>
      <c r="EF211" s="229">
        <v>5.3E-3</v>
      </c>
      <c r="EG211" s="230">
        <v>338179</v>
      </c>
      <c r="EH211" s="230">
        <v>324765</v>
      </c>
      <c r="EI211" s="229">
        <v>4.1300000000000003E-2</v>
      </c>
      <c r="EJ211" s="229">
        <v>0.437</v>
      </c>
      <c r="EK211" s="228">
        <v>207.57</v>
      </c>
      <c r="EL211" s="228">
        <v>122.88</v>
      </c>
      <c r="EM211" s="228">
        <v>591.55999999999995</v>
      </c>
      <c r="EN211" s="228">
        <v>0</v>
      </c>
      <c r="EO211" s="228">
        <v>922.01</v>
      </c>
      <c r="EP211" s="228">
        <v>808.13</v>
      </c>
      <c r="EQ211" s="228">
        <v>113.89</v>
      </c>
      <c r="ER211" s="229">
        <v>0.1409</v>
      </c>
      <c r="ES211" s="228">
        <v>136.28</v>
      </c>
      <c r="ET211" s="228">
        <v>103.68</v>
      </c>
      <c r="EU211" s="228">
        <v>735.53</v>
      </c>
      <c r="EV211" s="231">
        <v>36328758</v>
      </c>
      <c r="EW211" s="228">
        <v>975.5</v>
      </c>
      <c r="EX211" s="231">
        <v>1436.16</v>
      </c>
      <c r="EY211" s="228">
        <v>-460.66</v>
      </c>
      <c r="EZ211" s="229">
        <v>-0.32079999999999997</v>
      </c>
      <c r="FA211" s="229">
        <v>0.37790000000000001</v>
      </c>
      <c r="FB211" s="227" t="s">
        <v>568</v>
      </c>
      <c r="FC211">
        <f t="shared" si="4"/>
        <v>0</v>
      </c>
    </row>
    <row r="212" spans="1:159" ht="17.25" thickBot="1" x14ac:dyDescent="0.3">
      <c r="A212" s="226">
        <v>45869</v>
      </c>
      <c r="B212" s="227" t="s">
        <v>221</v>
      </c>
      <c r="C212" s="227" t="s">
        <v>295</v>
      </c>
      <c r="D212" s="228">
        <v>175</v>
      </c>
      <c r="E212" s="228">
        <v>0</v>
      </c>
      <c r="F212" s="231">
        <v>3051.9</v>
      </c>
      <c r="G212" s="231">
        <v>3071.2</v>
      </c>
      <c r="H212" s="228">
        <v>-19.3</v>
      </c>
      <c r="I212" s="229">
        <v>-6.3E-3</v>
      </c>
      <c r="J212" s="231">
        <v>3036.8</v>
      </c>
      <c r="K212" s="231">
        <v>3053.6</v>
      </c>
      <c r="L212" s="228">
        <v>-16.8</v>
      </c>
      <c r="M212" s="229">
        <v>-5.4999999999999997E-3</v>
      </c>
      <c r="N212" s="231">
        <v>3033.5</v>
      </c>
      <c r="O212" s="231">
        <v>3056.5</v>
      </c>
      <c r="P212" s="228">
        <v>-23</v>
      </c>
      <c r="Q212" s="229">
        <v>-7.4999999999999997E-3</v>
      </c>
      <c r="R212" s="231">
        <v>3051.9</v>
      </c>
      <c r="S212" s="231">
        <v>3071.2</v>
      </c>
      <c r="T212" s="228">
        <v>-19.3</v>
      </c>
      <c r="U212" s="229">
        <v>-6.3E-3</v>
      </c>
      <c r="V212" s="231">
        <v>3070.3</v>
      </c>
      <c r="W212" s="231">
        <v>3088.9</v>
      </c>
      <c r="X212" s="228">
        <v>-18.600000000000001</v>
      </c>
      <c r="Y212" s="229">
        <v>-6.0000000000000001E-3</v>
      </c>
      <c r="Z212" s="228">
        <v>15.1</v>
      </c>
      <c r="AA212" s="228">
        <v>2.9</v>
      </c>
      <c r="AB212" s="228">
        <v>12.2</v>
      </c>
      <c r="AC212" s="229">
        <v>5.0000000000000001E-3</v>
      </c>
      <c r="AD212" s="228">
        <v>-3.3</v>
      </c>
      <c r="AE212" s="228">
        <v>2.9</v>
      </c>
      <c r="AF212" s="228">
        <v>-6.2</v>
      </c>
      <c r="AG212" s="229">
        <v>-1.1000000000000001E-3</v>
      </c>
      <c r="AH212" s="228">
        <v>15.1</v>
      </c>
      <c r="AI212" s="228">
        <v>17.600000000000001</v>
      </c>
      <c r="AJ212" s="228">
        <v>-2.5</v>
      </c>
      <c r="AK212" s="229">
        <v>5.0000000000000001E-3</v>
      </c>
      <c r="AL212" s="228">
        <v>33.5</v>
      </c>
      <c r="AM212" s="228">
        <v>35.299999999999997</v>
      </c>
      <c r="AN212" s="228">
        <v>-1.8</v>
      </c>
      <c r="AO212" s="229">
        <v>1.0999999999999999E-2</v>
      </c>
      <c r="AP212" s="231">
        <v>3034.08</v>
      </c>
      <c r="AQ212" s="231">
        <v>3049.95</v>
      </c>
      <c r="AR212" s="228">
        <v>0</v>
      </c>
      <c r="AS212" s="230">
        <v>4057</v>
      </c>
      <c r="AT212" s="230">
        <v>3548</v>
      </c>
      <c r="AU212" s="228">
        <v>510</v>
      </c>
      <c r="AV212" s="229">
        <v>0.14369999999999999</v>
      </c>
      <c r="AW212" s="230">
        <v>1699</v>
      </c>
      <c r="AX212" s="230">
        <v>1617</v>
      </c>
      <c r="AY212" s="228">
        <v>81</v>
      </c>
      <c r="AZ212" s="229">
        <v>5.04E-2</v>
      </c>
      <c r="BA212" s="230">
        <v>2249</v>
      </c>
      <c r="BB212" s="230">
        <v>1866</v>
      </c>
      <c r="BC212" s="228">
        <v>383</v>
      </c>
      <c r="BD212" s="229">
        <v>0.20530000000000001</v>
      </c>
      <c r="BE212" s="228">
        <v>109</v>
      </c>
      <c r="BF212" s="228">
        <v>64</v>
      </c>
      <c r="BG212" s="228">
        <v>45</v>
      </c>
      <c r="BH212" s="229">
        <v>0.70689999999999997</v>
      </c>
      <c r="BI212" s="230">
        <v>7128</v>
      </c>
      <c r="BJ212" s="230">
        <v>5519</v>
      </c>
      <c r="BK212" s="230">
        <v>1609</v>
      </c>
      <c r="BL212" s="229">
        <v>0.29149999999999998</v>
      </c>
      <c r="BM212" s="230">
        <v>4456</v>
      </c>
      <c r="BN212" s="230">
        <v>2689</v>
      </c>
      <c r="BO212" s="230">
        <v>1767</v>
      </c>
      <c r="BP212" s="229">
        <v>0.65680000000000005</v>
      </c>
      <c r="BQ212" s="230">
        <v>15642</v>
      </c>
      <c r="BR212" s="230">
        <v>11756</v>
      </c>
      <c r="BS212" s="230">
        <v>3885</v>
      </c>
      <c r="BT212" s="229">
        <v>0.33050000000000002</v>
      </c>
      <c r="BU212" s="230">
        <v>3087218</v>
      </c>
      <c r="BV212" s="230">
        <v>2980533</v>
      </c>
      <c r="BW212" s="230">
        <v>106685</v>
      </c>
      <c r="BX212" s="229">
        <v>3.5799999999999998E-2</v>
      </c>
      <c r="BY212" s="230">
        <v>8810</v>
      </c>
      <c r="BZ212" s="230">
        <v>9229</v>
      </c>
      <c r="CA212" s="228">
        <v>-419</v>
      </c>
      <c r="CB212" s="229">
        <v>-4.5400000000000003E-2</v>
      </c>
      <c r="CC212" s="228">
        <v>763</v>
      </c>
      <c r="CD212" s="230">
        <v>1683</v>
      </c>
      <c r="CE212" s="228">
        <v>-920</v>
      </c>
      <c r="CF212" s="229">
        <v>-0.54649999999999999</v>
      </c>
      <c r="CG212" s="230">
        <v>8128</v>
      </c>
      <c r="CH212" s="230">
        <v>6929</v>
      </c>
      <c r="CI212" s="230">
        <v>1198</v>
      </c>
      <c r="CJ212" s="229">
        <v>0.1729</v>
      </c>
      <c r="CK212" s="228">
        <v>683</v>
      </c>
      <c r="CL212" s="228">
        <v>617</v>
      </c>
      <c r="CM212" s="228">
        <v>66</v>
      </c>
      <c r="CN212" s="229">
        <v>0.1067</v>
      </c>
      <c r="CO212" s="230">
        <v>3620</v>
      </c>
      <c r="CP212" s="230">
        <v>7267</v>
      </c>
      <c r="CQ212" s="230">
        <v>-3647</v>
      </c>
      <c r="CR212" s="229">
        <v>-0.50190000000000001</v>
      </c>
      <c r="CS212" s="230">
        <v>2754</v>
      </c>
      <c r="CT212" s="230">
        <v>4157</v>
      </c>
      <c r="CU212" s="230">
        <v>-1402</v>
      </c>
      <c r="CV212" s="229">
        <v>-0.33739999999999998</v>
      </c>
      <c r="CW212" s="230">
        <v>15184</v>
      </c>
      <c r="CX212" s="230">
        <v>20653</v>
      </c>
      <c r="CY212" s="230">
        <v>-5468</v>
      </c>
      <c r="CZ212" s="229">
        <v>-0.26479999999999998</v>
      </c>
      <c r="DA212" s="228">
        <v>20.11</v>
      </c>
      <c r="DB212" s="228">
        <v>20.99</v>
      </c>
      <c r="DC212" s="228">
        <v>-0.88</v>
      </c>
      <c r="DD212" s="228">
        <v>-0.88</v>
      </c>
      <c r="DE212" s="228">
        <v>24.63</v>
      </c>
      <c r="DF212" s="228">
        <v>24.68</v>
      </c>
      <c r="DG212" s="228">
        <v>-4.5199999999999996</v>
      </c>
      <c r="DH212" s="228">
        <v>-0.05</v>
      </c>
      <c r="DI212" s="228">
        <v>20.11</v>
      </c>
      <c r="DJ212" s="228">
        <v>20.97</v>
      </c>
      <c r="DK212" s="228">
        <v>-0.86</v>
      </c>
      <c r="DL212" s="228">
        <v>-0.86</v>
      </c>
      <c r="DM212" s="228">
        <v>20.100000000000001</v>
      </c>
      <c r="DN212" s="228">
        <v>21.03</v>
      </c>
      <c r="DO212" s="228">
        <v>-0.93</v>
      </c>
      <c r="DP212" s="228">
        <v>-0.93</v>
      </c>
      <c r="DQ212" s="228">
        <v>0.76</v>
      </c>
      <c r="DR212" s="228">
        <v>0.56999999999999995</v>
      </c>
      <c r="DS212" s="228">
        <v>0.19</v>
      </c>
      <c r="DT212" s="229">
        <v>0.33329999999999999</v>
      </c>
      <c r="DU212" s="231">
        <v>3200</v>
      </c>
      <c r="DV212" s="231">
        <v>3000</v>
      </c>
      <c r="DW212" s="228">
        <v>0.63</v>
      </c>
      <c r="DX212" s="228">
        <v>0.49</v>
      </c>
      <c r="DY212" s="228">
        <v>0.14000000000000001</v>
      </c>
      <c r="DZ212" s="229">
        <v>0.28570000000000001</v>
      </c>
      <c r="EA212" s="229">
        <v>0.92030000000000001</v>
      </c>
      <c r="EB212" s="230">
        <v>24725750</v>
      </c>
      <c r="EC212" s="229">
        <v>6.1000000000000004E-3</v>
      </c>
      <c r="ED212" s="229">
        <v>0.92030000000000001</v>
      </c>
      <c r="EE212" s="228">
        <v>15.87</v>
      </c>
      <c r="EF212" s="229">
        <v>5.1999999999999998E-3</v>
      </c>
      <c r="EG212" s="230">
        <v>1923486</v>
      </c>
      <c r="EH212" s="230">
        <v>2356833</v>
      </c>
      <c r="EI212" s="229">
        <v>-0.18390000000000001</v>
      </c>
      <c r="EJ212" s="229">
        <v>0.623</v>
      </c>
      <c r="EK212" s="231">
        <v>7491.75</v>
      </c>
      <c r="EL212" s="231">
        <v>4602.26</v>
      </c>
      <c r="EM212" s="231">
        <v>4046.49</v>
      </c>
      <c r="EN212" s="228">
        <v>0</v>
      </c>
      <c r="EO212" s="231">
        <v>16140.49</v>
      </c>
      <c r="EP212" s="231">
        <v>12180.25</v>
      </c>
      <c r="EQ212" s="231">
        <v>3960.24</v>
      </c>
      <c r="ER212" s="229">
        <v>0.3251</v>
      </c>
      <c r="ES212" s="231">
        <v>3866.72</v>
      </c>
      <c r="ET212" s="231">
        <v>2809.58</v>
      </c>
      <c r="EU212" s="231">
        <v>8814.23</v>
      </c>
      <c r="EV212" s="231">
        <v>204305778</v>
      </c>
      <c r="EW212" s="231">
        <v>15490.54</v>
      </c>
      <c r="EX212" s="231">
        <v>21553.01</v>
      </c>
      <c r="EY212" s="231">
        <v>-6062.47</v>
      </c>
      <c r="EZ212" s="229">
        <v>-0.28129999999999999</v>
      </c>
      <c r="FA212" s="229">
        <v>0.24349999999999999</v>
      </c>
      <c r="FB212" s="227" t="s">
        <v>568</v>
      </c>
      <c r="FC212">
        <f t="shared" si="4"/>
        <v>0</v>
      </c>
    </row>
    <row r="213" spans="1:159" ht="17.25" thickBot="1" x14ac:dyDescent="0.3">
      <c r="A213" s="226">
        <v>45869</v>
      </c>
      <c r="B213" s="227" t="s">
        <v>221</v>
      </c>
      <c r="C213" s="227" t="s">
        <v>296</v>
      </c>
      <c r="D213" s="228">
        <v>600</v>
      </c>
      <c r="E213" s="228">
        <v>0</v>
      </c>
      <c r="F213" s="231">
        <v>1469.4</v>
      </c>
      <c r="G213" s="231">
        <v>1470.5</v>
      </c>
      <c r="H213" s="228">
        <v>-1.1000000000000001</v>
      </c>
      <c r="I213" s="229">
        <v>-6.9999999999999999E-4</v>
      </c>
      <c r="J213" s="231">
        <v>1463.7</v>
      </c>
      <c r="K213" s="231">
        <v>1463.2</v>
      </c>
      <c r="L213" s="228">
        <v>0.5</v>
      </c>
      <c r="M213" s="229">
        <v>2.9999999999999997E-4</v>
      </c>
      <c r="N213" s="231">
        <v>1462.8</v>
      </c>
      <c r="O213" s="231">
        <v>1463.9</v>
      </c>
      <c r="P213" s="228">
        <v>-1.1000000000000001</v>
      </c>
      <c r="Q213" s="229">
        <v>-8.0000000000000004E-4</v>
      </c>
      <c r="R213" s="231">
        <v>1469.4</v>
      </c>
      <c r="S213" s="231">
        <v>1470.5</v>
      </c>
      <c r="T213" s="228">
        <v>-1.1000000000000001</v>
      </c>
      <c r="U213" s="229">
        <v>-6.9999999999999999E-4</v>
      </c>
      <c r="V213" s="231">
        <v>1478.4</v>
      </c>
      <c r="W213" s="231">
        <v>1479.6</v>
      </c>
      <c r="X213" s="228">
        <v>-1.2</v>
      </c>
      <c r="Y213" s="229">
        <v>-8.0000000000000004E-4</v>
      </c>
      <c r="Z213" s="228">
        <v>5.7</v>
      </c>
      <c r="AA213" s="228">
        <v>0.7</v>
      </c>
      <c r="AB213" s="228">
        <v>5</v>
      </c>
      <c r="AC213" s="229">
        <v>3.8999999999999998E-3</v>
      </c>
      <c r="AD213" s="228">
        <v>-0.9</v>
      </c>
      <c r="AE213" s="228">
        <v>0.7</v>
      </c>
      <c r="AF213" s="228">
        <v>-1.6</v>
      </c>
      <c r="AG213" s="229">
        <v>-5.9999999999999995E-4</v>
      </c>
      <c r="AH213" s="228">
        <v>5.7</v>
      </c>
      <c r="AI213" s="228">
        <v>7.3</v>
      </c>
      <c r="AJ213" s="228">
        <v>-1.6</v>
      </c>
      <c r="AK213" s="229">
        <v>3.8999999999999998E-3</v>
      </c>
      <c r="AL213" s="228">
        <v>14.7</v>
      </c>
      <c r="AM213" s="228">
        <v>16.399999999999999</v>
      </c>
      <c r="AN213" s="228">
        <v>-1.7</v>
      </c>
      <c r="AO213" s="229">
        <v>0.01</v>
      </c>
      <c r="AP213" s="231">
        <v>1461.03</v>
      </c>
      <c r="AQ213" s="231">
        <v>1468.69</v>
      </c>
      <c r="AR213" s="228">
        <v>0</v>
      </c>
      <c r="AS213" s="230">
        <v>1176</v>
      </c>
      <c r="AT213" s="230">
        <v>1483</v>
      </c>
      <c r="AU213" s="228">
        <v>-307</v>
      </c>
      <c r="AV213" s="229">
        <v>-0.2069</v>
      </c>
      <c r="AW213" s="228">
        <v>512</v>
      </c>
      <c r="AX213" s="228">
        <v>727</v>
      </c>
      <c r="AY213" s="228">
        <v>-216</v>
      </c>
      <c r="AZ213" s="229">
        <v>-0.29649999999999999</v>
      </c>
      <c r="BA213" s="228">
        <v>655</v>
      </c>
      <c r="BB213" s="228">
        <v>746</v>
      </c>
      <c r="BC213" s="228">
        <v>-92</v>
      </c>
      <c r="BD213" s="229">
        <v>-0.1227</v>
      </c>
      <c r="BE213" s="228">
        <v>10</v>
      </c>
      <c r="BF213" s="228">
        <v>9</v>
      </c>
      <c r="BG213" s="228">
        <v>0</v>
      </c>
      <c r="BH213" s="229">
        <v>4.7199999999999999E-2</v>
      </c>
      <c r="BI213" s="230">
        <v>1068</v>
      </c>
      <c r="BJ213" s="230">
        <v>1200</v>
      </c>
      <c r="BK213" s="228">
        <v>-132</v>
      </c>
      <c r="BL213" s="229">
        <v>-0.1099</v>
      </c>
      <c r="BM213" s="228">
        <v>529</v>
      </c>
      <c r="BN213" s="228">
        <v>457</v>
      </c>
      <c r="BO213" s="228">
        <v>73</v>
      </c>
      <c r="BP213" s="229">
        <v>0.15890000000000001</v>
      </c>
      <c r="BQ213" s="230">
        <v>2774</v>
      </c>
      <c r="BR213" s="230">
        <v>3140</v>
      </c>
      <c r="BS213" s="228">
        <v>-366</v>
      </c>
      <c r="BT213" s="229">
        <v>-0.1166</v>
      </c>
      <c r="BU213" s="230">
        <v>1403526</v>
      </c>
      <c r="BV213" s="230">
        <v>1339041</v>
      </c>
      <c r="BW213" s="230">
        <v>64485</v>
      </c>
      <c r="BX213" s="229">
        <v>4.82E-2</v>
      </c>
      <c r="BY213" s="230">
        <v>2434</v>
      </c>
      <c r="BZ213" s="230">
        <v>2761</v>
      </c>
      <c r="CA213" s="228">
        <v>-327</v>
      </c>
      <c r="CB213" s="229">
        <v>-0.1183</v>
      </c>
      <c r="CC213" s="228">
        <v>290</v>
      </c>
      <c r="CD213" s="228">
        <v>615</v>
      </c>
      <c r="CE213" s="228">
        <v>-325</v>
      </c>
      <c r="CF213" s="229">
        <v>-0.52800000000000002</v>
      </c>
      <c r="CG213" s="230">
        <v>2343</v>
      </c>
      <c r="CH213" s="230">
        <v>2060</v>
      </c>
      <c r="CI213" s="228">
        <v>283</v>
      </c>
      <c r="CJ213" s="229">
        <v>0.13739999999999999</v>
      </c>
      <c r="CK213" s="228">
        <v>91</v>
      </c>
      <c r="CL213" s="228">
        <v>86</v>
      </c>
      <c r="CM213" s="228">
        <v>5</v>
      </c>
      <c r="CN213" s="229">
        <v>6.0600000000000001E-2</v>
      </c>
      <c r="CO213" s="228">
        <v>616</v>
      </c>
      <c r="CP213" s="230">
        <v>1833</v>
      </c>
      <c r="CQ213" s="230">
        <v>-1217</v>
      </c>
      <c r="CR213" s="229">
        <v>-0.66390000000000005</v>
      </c>
      <c r="CS213" s="228">
        <v>391</v>
      </c>
      <c r="CT213" s="228">
        <v>884</v>
      </c>
      <c r="CU213" s="228">
        <v>-493</v>
      </c>
      <c r="CV213" s="229">
        <v>-0.55779999999999996</v>
      </c>
      <c r="CW213" s="230">
        <v>3441</v>
      </c>
      <c r="CX213" s="230">
        <v>5478</v>
      </c>
      <c r="CY213" s="230">
        <v>-2036</v>
      </c>
      <c r="CZ213" s="229">
        <v>-0.37180000000000002</v>
      </c>
      <c r="DA213" s="228">
        <v>23.09</v>
      </c>
      <c r="DB213" s="228">
        <v>23.63</v>
      </c>
      <c r="DC213" s="228">
        <v>-0.54</v>
      </c>
      <c r="DD213" s="228">
        <v>-0.54</v>
      </c>
      <c r="DE213" s="228">
        <v>31.19</v>
      </c>
      <c r="DF213" s="228">
        <v>31.27</v>
      </c>
      <c r="DG213" s="228">
        <v>-8.1</v>
      </c>
      <c r="DH213" s="228">
        <v>-0.08</v>
      </c>
      <c r="DI213" s="228">
        <v>23.39</v>
      </c>
      <c r="DJ213" s="228">
        <v>23.78</v>
      </c>
      <c r="DK213" s="228">
        <v>-0.39</v>
      </c>
      <c r="DL213" s="228">
        <v>-0.39</v>
      </c>
      <c r="DM213" s="228">
        <v>22.45</v>
      </c>
      <c r="DN213" s="228">
        <v>23.38</v>
      </c>
      <c r="DO213" s="228">
        <v>-0.93</v>
      </c>
      <c r="DP213" s="228">
        <v>-0.93</v>
      </c>
      <c r="DQ213" s="228">
        <v>0.63</v>
      </c>
      <c r="DR213" s="228">
        <v>0.48</v>
      </c>
      <c r="DS213" s="228">
        <v>0.15</v>
      </c>
      <c r="DT213" s="229">
        <v>0.3125</v>
      </c>
      <c r="DU213" s="231">
        <v>1600</v>
      </c>
      <c r="DV213" s="231">
        <v>1390</v>
      </c>
      <c r="DW213" s="228">
        <v>0.5</v>
      </c>
      <c r="DX213" s="228">
        <v>0.38</v>
      </c>
      <c r="DY213" s="228">
        <v>0.12</v>
      </c>
      <c r="DZ213" s="229">
        <v>0.31580000000000003</v>
      </c>
      <c r="EA213" s="229">
        <v>0.89349999999999996</v>
      </c>
      <c r="EB213" s="230">
        <v>14606400</v>
      </c>
      <c r="EC213" s="229">
        <v>4.4999999999999997E-3</v>
      </c>
      <c r="ED213" s="229">
        <v>0.89349999999999996</v>
      </c>
      <c r="EE213" s="228">
        <v>7.66</v>
      </c>
      <c r="EF213" s="229">
        <v>5.1999999999999998E-3</v>
      </c>
      <c r="EG213" s="230">
        <v>865269</v>
      </c>
      <c r="EH213" s="230">
        <v>850266</v>
      </c>
      <c r="EI213" s="229">
        <v>1.7600000000000001E-2</v>
      </c>
      <c r="EJ213" s="229">
        <v>0.61650000000000005</v>
      </c>
      <c r="EK213" s="231">
        <v>1128.08</v>
      </c>
      <c r="EL213" s="228">
        <v>545.71</v>
      </c>
      <c r="EM213" s="231">
        <v>1172.93</v>
      </c>
      <c r="EN213" s="228">
        <v>0</v>
      </c>
      <c r="EO213" s="231">
        <v>2846.72</v>
      </c>
      <c r="EP213" s="231">
        <v>3212</v>
      </c>
      <c r="EQ213" s="228">
        <v>-365.27</v>
      </c>
      <c r="ER213" s="229">
        <v>-0.1137</v>
      </c>
      <c r="ES213" s="228">
        <v>657.24</v>
      </c>
      <c r="ET213" s="228">
        <v>391.66</v>
      </c>
      <c r="EU213" s="231">
        <v>2435.0300000000002</v>
      </c>
      <c r="EV213" s="231">
        <v>127258876</v>
      </c>
      <c r="EW213" s="231">
        <v>3483.93</v>
      </c>
      <c r="EX213" s="231">
        <v>5678.68</v>
      </c>
      <c r="EY213" s="231">
        <v>-2194.75</v>
      </c>
      <c r="EZ213" s="229">
        <v>-0.38650000000000001</v>
      </c>
      <c r="FA213" s="229">
        <v>0.184</v>
      </c>
      <c r="FB213" s="227" t="s">
        <v>568</v>
      </c>
      <c r="FC213">
        <f t="shared" si="4"/>
        <v>0</v>
      </c>
    </row>
    <row r="214" spans="1:159" ht="17.25" thickBot="1" x14ac:dyDescent="0.3">
      <c r="A214" s="226">
        <v>45869</v>
      </c>
      <c r="B214" s="227" t="s">
        <v>184</v>
      </c>
      <c r="C214" s="227" t="s">
        <v>596</v>
      </c>
      <c r="D214" s="228">
        <v>200</v>
      </c>
      <c r="E214" s="228">
        <v>0</v>
      </c>
      <c r="F214" s="231">
        <v>2852.7</v>
      </c>
      <c r="G214" s="231">
        <v>2869.9</v>
      </c>
      <c r="H214" s="228">
        <v>-17.2</v>
      </c>
      <c r="I214" s="229">
        <v>-6.0000000000000001E-3</v>
      </c>
      <c r="J214" s="231">
        <v>2840.7</v>
      </c>
      <c r="K214" s="231">
        <v>2855.4</v>
      </c>
      <c r="L214" s="228">
        <v>-14.7</v>
      </c>
      <c r="M214" s="229">
        <v>-5.1000000000000004E-3</v>
      </c>
      <c r="N214" s="231">
        <v>2835.2</v>
      </c>
      <c r="O214" s="231">
        <v>2854.8</v>
      </c>
      <c r="P214" s="228">
        <v>-19.600000000000001</v>
      </c>
      <c r="Q214" s="229">
        <v>-6.8999999999999999E-3</v>
      </c>
      <c r="R214" s="231">
        <v>2852.7</v>
      </c>
      <c r="S214" s="231">
        <v>2869.9</v>
      </c>
      <c r="T214" s="228">
        <v>-17.2</v>
      </c>
      <c r="U214" s="229">
        <v>-6.0000000000000001E-3</v>
      </c>
      <c r="V214" s="231">
        <v>2848.3</v>
      </c>
      <c r="W214" s="231">
        <v>2889.5</v>
      </c>
      <c r="X214" s="228">
        <v>-41.2</v>
      </c>
      <c r="Y214" s="229">
        <v>-1.43E-2</v>
      </c>
      <c r="Z214" s="228">
        <v>12</v>
      </c>
      <c r="AA214" s="228">
        <v>-0.6</v>
      </c>
      <c r="AB214" s="228">
        <v>12.6</v>
      </c>
      <c r="AC214" s="229">
        <v>4.1999999999999997E-3</v>
      </c>
      <c r="AD214" s="228">
        <v>-5.5</v>
      </c>
      <c r="AE214" s="228">
        <v>-0.6</v>
      </c>
      <c r="AF214" s="228">
        <v>-4.9000000000000004</v>
      </c>
      <c r="AG214" s="229">
        <v>-1.9E-3</v>
      </c>
      <c r="AH214" s="228">
        <v>12</v>
      </c>
      <c r="AI214" s="228">
        <v>14.5</v>
      </c>
      <c r="AJ214" s="228">
        <v>-2.5</v>
      </c>
      <c r="AK214" s="229">
        <v>4.1999999999999997E-3</v>
      </c>
      <c r="AL214" s="228">
        <v>7.6</v>
      </c>
      <c r="AM214" s="228">
        <v>34.1</v>
      </c>
      <c r="AN214" s="228">
        <v>-26.5</v>
      </c>
      <c r="AO214" s="229">
        <v>2.7000000000000001E-3</v>
      </c>
      <c r="AP214" s="231">
        <v>2826.76</v>
      </c>
      <c r="AQ214" s="231">
        <v>2842.77</v>
      </c>
      <c r="AR214" s="228">
        <v>0</v>
      </c>
      <c r="AS214" s="228">
        <v>191</v>
      </c>
      <c r="AT214" s="228">
        <v>375</v>
      </c>
      <c r="AU214" s="228">
        <v>-185</v>
      </c>
      <c r="AV214" s="229">
        <v>-0.49230000000000002</v>
      </c>
      <c r="AW214" s="228">
        <v>75</v>
      </c>
      <c r="AX214" s="228">
        <v>170</v>
      </c>
      <c r="AY214" s="228">
        <v>-95</v>
      </c>
      <c r="AZ214" s="229">
        <v>-0.56020000000000003</v>
      </c>
      <c r="BA214" s="228">
        <v>114</v>
      </c>
      <c r="BB214" s="228">
        <v>204</v>
      </c>
      <c r="BC214" s="228">
        <v>-90</v>
      </c>
      <c r="BD214" s="229">
        <v>-0.44130000000000003</v>
      </c>
      <c r="BE214" s="228">
        <v>2</v>
      </c>
      <c r="BF214" s="228">
        <v>1</v>
      </c>
      <c r="BG214" s="228">
        <v>0</v>
      </c>
      <c r="BH214" s="229">
        <v>0.32</v>
      </c>
      <c r="BI214" s="228">
        <v>326</v>
      </c>
      <c r="BJ214" s="228">
        <v>591</v>
      </c>
      <c r="BK214" s="228">
        <v>-265</v>
      </c>
      <c r="BL214" s="229">
        <v>-0.4491</v>
      </c>
      <c r="BM214" s="228">
        <v>46</v>
      </c>
      <c r="BN214" s="228">
        <v>65</v>
      </c>
      <c r="BO214" s="228">
        <v>-19</v>
      </c>
      <c r="BP214" s="229">
        <v>-0.29499999999999998</v>
      </c>
      <c r="BQ214" s="228">
        <v>562</v>
      </c>
      <c r="BR214" s="230">
        <v>1031</v>
      </c>
      <c r="BS214" s="228">
        <v>-469</v>
      </c>
      <c r="BT214" s="229">
        <v>-0.4551</v>
      </c>
      <c r="BU214" s="230">
        <v>293857</v>
      </c>
      <c r="BV214" s="230">
        <v>734221</v>
      </c>
      <c r="BW214" s="230">
        <v>-440364</v>
      </c>
      <c r="BX214" s="229">
        <v>-0.5998</v>
      </c>
      <c r="BY214" s="228">
        <v>490</v>
      </c>
      <c r="BZ214" s="228">
        <v>528</v>
      </c>
      <c r="CA214" s="228">
        <v>-38</v>
      </c>
      <c r="CB214" s="229">
        <v>-7.1099999999999997E-2</v>
      </c>
      <c r="CC214" s="228">
        <v>42</v>
      </c>
      <c r="CD214" s="228">
        <v>69</v>
      </c>
      <c r="CE214" s="228">
        <v>-27</v>
      </c>
      <c r="CF214" s="229">
        <v>-0.3916</v>
      </c>
      <c r="CG214" s="228">
        <v>487</v>
      </c>
      <c r="CH214" s="228">
        <v>455</v>
      </c>
      <c r="CI214" s="228">
        <v>31</v>
      </c>
      <c r="CJ214" s="229">
        <v>6.9199999999999998E-2</v>
      </c>
      <c r="CK214" s="228">
        <v>3</v>
      </c>
      <c r="CL214" s="228">
        <v>3</v>
      </c>
      <c r="CM214" s="228">
        <v>0</v>
      </c>
      <c r="CN214" s="229">
        <v>0.16</v>
      </c>
      <c r="CO214" s="228">
        <v>36</v>
      </c>
      <c r="CP214" s="228">
        <v>173</v>
      </c>
      <c r="CQ214" s="228">
        <v>-137</v>
      </c>
      <c r="CR214" s="229">
        <v>-0.79210000000000003</v>
      </c>
      <c r="CS214" s="228">
        <v>32</v>
      </c>
      <c r="CT214" s="228">
        <v>92</v>
      </c>
      <c r="CU214" s="228">
        <v>-61</v>
      </c>
      <c r="CV214" s="229">
        <v>-0.65859999999999996</v>
      </c>
      <c r="CW214" s="228">
        <v>558</v>
      </c>
      <c r="CX214" s="228">
        <v>793</v>
      </c>
      <c r="CY214" s="228">
        <v>-235</v>
      </c>
      <c r="CZ214" s="229">
        <v>-0.29680000000000001</v>
      </c>
      <c r="DA214" s="228">
        <v>34.229999999999997</v>
      </c>
      <c r="DB214" s="228">
        <v>35.78</v>
      </c>
      <c r="DC214" s="228">
        <v>-1.55</v>
      </c>
      <c r="DD214" s="228">
        <v>-1.55</v>
      </c>
      <c r="DE214" s="228">
        <v>44.39</v>
      </c>
      <c r="DF214" s="228">
        <v>44.49</v>
      </c>
      <c r="DG214" s="228">
        <v>-10.16</v>
      </c>
      <c r="DH214" s="228">
        <v>-0.1</v>
      </c>
      <c r="DI214" s="228">
        <v>34.35</v>
      </c>
      <c r="DJ214" s="228">
        <v>35.869999999999997</v>
      </c>
      <c r="DK214" s="228">
        <v>-1.52</v>
      </c>
      <c r="DL214" s="228">
        <v>-1.52</v>
      </c>
      <c r="DM214" s="228">
        <v>34.090000000000003</v>
      </c>
      <c r="DN214" s="228">
        <v>35.31</v>
      </c>
      <c r="DO214" s="228">
        <v>-1.22</v>
      </c>
      <c r="DP214" s="228">
        <v>-1.22</v>
      </c>
      <c r="DQ214" s="228">
        <v>0.88</v>
      </c>
      <c r="DR214" s="228">
        <v>0.53</v>
      </c>
      <c r="DS214" s="228">
        <v>0.35</v>
      </c>
      <c r="DT214" s="229">
        <v>0.66039999999999999</v>
      </c>
      <c r="DU214" s="231">
        <v>3000</v>
      </c>
      <c r="DV214" s="231">
        <v>3000</v>
      </c>
      <c r="DW214" s="228">
        <v>0.14000000000000001</v>
      </c>
      <c r="DX214" s="228">
        <v>0.11</v>
      </c>
      <c r="DY214" s="228">
        <v>0.03</v>
      </c>
      <c r="DZ214" s="229">
        <v>0.2727</v>
      </c>
      <c r="EA214" s="229">
        <v>0.92059999999999997</v>
      </c>
      <c r="EB214" s="230">
        <v>1606200</v>
      </c>
      <c r="EC214" s="229">
        <v>6.1999999999999998E-3</v>
      </c>
      <c r="ED214" s="229">
        <v>0.92059999999999997</v>
      </c>
      <c r="EE214" s="228">
        <v>16.010000000000002</v>
      </c>
      <c r="EF214" s="229">
        <v>5.7000000000000002E-3</v>
      </c>
      <c r="EG214" s="230">
        <v>160870</v>
      </c>
      <c r="EH214" s="230">
        <v>577501</v>
      </c>
      <c r="EI214" s="229">
        <v>-0.72140000000000004</v>
      </c>
      <c r="EJ214" s="229">
        <v>0.5474</v>
      </c>
      <c r="EK214" s="228">
        <v>341.05</v>
      </c>
      <c r="EL214" s="228">
        <v>47.78</v>
      </c>
      <c r="EM214" s="228">
        <v>189.48</v>
      </c>
      <c r="EN214" s="228">
        <v>0</v>
      </c>
      <c r="EO214" s="228">
        <v>578.30999999999995</v>
      </c>
      <c r="EP214" s="231">
        <v>1076.3399999999999</v>
      </c>
      <c r="EQ214" s="228">
        <v>-498.03</v>
      </c>
      <c r="ER214" s="229">
        <v>-0.4627</v>
      </c>
      <c r="ES214" s="228">
        <v>37.92</v>
      </c>
      <c r="ET214" s="228">
        <v>31.31</v>
      </c>
      <c r="EU214" s="228">
        <v>490.15</v>
      </c>
      <c r="EV214" s="231">
        <v>21630854</v>
      </c>
      <c r="EW214" s="228">
        <v>559.37</v>
      </c>
      <c r="EX214" s="228">
        <v>811.95</v>
      </c>
      <c r="EY214" s="228">
        <v>-252.58</v>
      </c>
      <c r="EZ214" s="229">
        <v>-0.31109999999999999</v>
      </c>
      <c r="FA214" s="229">
        <v>9.0399999999999994E-2</v>
      </c>
      <c r="FB214" s="227" t="s">
        <v>568</v>
      </c>
      <c r="FC214">
        <f t="shared" si="4"/>
        <v>0</v>
      </c>
    </row>
    <row r="215" spans="1:159" ht="17.25" thickBot="1" x14ac:dyDescent="0.3">
      <c r="A215" s="226">
        <v>45869</v>
      </c>
      <c r="B215" s="227" t="s">
        <v>184</v>
      </c>
      <c r="C215" s="227" t="s">
        <v>664</v>
      </c>
      <c r="D215" s="228">
        <v>725</v>
      </c>
      <c r="E215" s="228">
        <v>0</v>
      </c>
      <c r="F215" s="228">
        <v>864.7</v>
      </c>
      <c r="G215" s="228">
        <v>873.65</v>
      </c>
      <c r="H215" s="228">
        <v>-8.9499999999999993</v>
      </c>
      <c r="I215" s="229">
        <v>-1.0200000000000001E-2</v>
      </c>
      <c r="J215" s="228">
        <v>860.15</v>
      </c>
      <c r="K215" s="228">
        <v>869.95</v>
      </c>
      <c r="L215" s="228">
        <v>-9.8000000000000007</v>
      </c>
      <c r="M215" s="229">
        <v>-1.1299999999999999E-2</v>
      </c>
      <c r="N215" s="228">
        <v>860.95</v>
      </c>
      <c r="O215" s="228">
        <v>871.2</v>
      </c>
      <c r="P215" s="228">
        <v>-10.25</v>
      </c>
      <c r="Q215" s="229">
        <v>-1.18E-2</v>
      </c>
      <c r="R215" s="228">
        <v>864.7</v>
      </c>
      <c r="S215" s="228">
        <v>873.65</v>
      </c>
      <c r="T215" s="228">
        <v>-8.9499999999999993</v>
      </c>
      <c r="U215" s="229">
        <v>-1.0200000000000001E-2</v>
      </c>
      <c r="V215" s="228">
        <v>868.55</v>
      </c>
      <c r="W215" s="228">
        <v>876.35</v>
      </c>
      <c r="X215" s="228">
        <v>-7.8</v>
      </c>
      <c r="Y215" s="229">
        <v>-8.8999999999999999E-3</v>
      </c>
      <c r="Z215" s="228">
        <v>4.55</v>
      </c>
      <c r="AA215" s="228">
        <v>1.25</v>
      </c>
      <c r="AB215" s="228">
        <v>3.3</v>
      </c>
      <c r="AC215" s="229">
        <v>5.3E-3</v>
      </c>
      <c r="AD215" s="228">
        <v>0.8</v>
      </c>
      <c r="AE215" s="228">
        <v>1.25</v>
      </c>
      <c r="AF215" s="228">
        <v>-0.45</v>
      </c>
      <c r="AG215" s="229">
        <v>8.9999999999999998E-4</v>
      </c>
      <c r="AH215" s="228">
        <v>4.55</v>
      </c>
      <c r="AI215" s="228">
        <v>3.7</v>
      </c>
      <c r="AJ215" s="228">
        <v>0.85</v>
      </c>
      <c r="AK215" s="229">
        <v>5.3E-3</v>
      </c>
      <c r="AL215" s="228">
        <v>8.4</v>
      </c>
      <c r="AM215" s="228">
        <v>6.4</v>
      </c>
      <c r="AN215" s="228">
        <v>2</v>
      </c>
      <c r="AO215" s="229">
        <v>9.7999999999999997E-3</v>
      </c>
      <c r="AP215" s="228">
        <v>864.22</v>
      </c>
      <c r="AQ215" s="228">
        <v>868.54</v>
      </c>
      <c r="AR215" s="228">
        <v>0</v>
      </c>
      <c r="AS215" s="228">
        <v>392</v>
      </c>
      <c r="AT215" s="228">
        <v>456</v>
      </c>
      <c r="AU215" s="228">
        <v>-64</v>
      </c>
      <c r="AV215" s="229">
        <v>-0.14000000000000001</v>
      </c>
      <c r="AW215" s="228">
        <v>187</v>
      </c>
      <c r="AX215" s="228">
        <v>218</v>
      </c>
      <c r="AY215" s="228">
        <v>-31</v>
      </c>
      <c r="AZ215" s="229">
        <v>-0.14199999999999999</v>
      </c>
      <c r="BA215" s="228">
        <v>203</v>
      </c>
      <c r="BB215" s="228">
        <v>235</v>
      </c>
      <c r="BC215" s="228">
        <v>-32</v>
      </c>
      <c r="BD215" s="229">
        <v>-0.13500000000000001</v>
      </c>
      <c r="BE215" s="228">
        <v>3</v>
      </c>
      <c r="BF215" s="228">
        <v>4</v>
      </c>
      <c r="BG215" s="228">
        <v>-1</v>
      </c>
      <c r="BH215" s="229">
        <v>-0.3281</v>
      </c>
      <c r="BI215" s="228">
        <v>203</v>
      </c>
      <c r="BJ215" s="228">
        <v>402</v>
      </c>
      <c r="BK215" s="228">
        <v>-199</v>
      </c>
      <c r="BL215" s="229">
        <v>-0.49519999999999997</v>
      </c>
      <c r="BM215" s="228">
        <v>206</v>
      </c>
      <c r="BN215" s="228">
        <v>87</v>
      </c>
      <c r="BO215" s="228">
        <v>119</v>
      </c>
      <c r="BP215" s="229">
        <v>1.3654999999999999</v>
      </c>
      <c r="BQ215" s="228">
        <v>801</v>
      </c>
      <c r="BR215" s="228">
        <v>945</v>
      </c>
      <c r="BS215" s="228">
        <v>-144</v>
      </c>
      <c r="BT215" s="229">
        <v>-0.1527</v>
      </c>
      <c r="BU215" s="230">
        <v>1033715</v>
      </c>
      <c r="BV215" s="230">
        <v>856032</v>
      </c>
      <c r="BW215" s="230">
        <v>177683</v>
      </c>
      <c r="BX215" s="229">
        <v>0.20760000000000001</v>
      </c>
      <c r="BY215" s="228">
        <v>597</v>
      </c>
      <c r="BZ215" s="228">
        <v>640</v>
      </c>
      <c r="CA215" s="228">
        <v>-43</v>
      </c>
      <c r="CB215" s="229">
        <v>-6.7400000000000002E-2</v>
      </c>
      <c r="CC215" s="228">
        <v>39</v>
      </c>
      <c r="CD215" s="228">
        <v>146</v>
      </c>
      <c r="CE215" s="228">
        <v>-108</v>
      </c>
      <c r="CF215" s="229">
        <v>-0.73629999999999995</v>
      </c>
      <c r="CG215" s="228">
        <v>585</v>
      </c>
      <c r="CH215" s="228">
        <v>482</v>
      </c>
      <c r="CI215" s="228">
        <v>102</v>
      </c>
      <c r="CJ215" s="229">
        <v>0.21229999999999999</v>
      </c>
      <c r="CK215" s="228">
        <v>12</v>
      </c>
      <c r="CL215" s="228">
        <v>11</v>
      </c>
      <c r="CM215" s="228">
        <v>1</v>
      </c>
      <c r="CN215" s="229">
        <v>5.5899999999999998E-2</v>
      </c>
      <c r="CO215" s="228">
        <v>55</v>
      </c>
      <c r="CP215" s="228">
        <v>246</v>
      </c>
      <c r="CQ215" s="228">
        <v>-191</v>
      </c>
      <c r="CR215" s="229">
        <v>-0.77470000000000006</v>
      </c>
      <c r="CS215" s="228">
        <v>74</v>
      </c>
      <c r="CT215" s="228">
        <v>165</v>
      </c>
      <c r="CU215" s="228">
        <v>-91</v>
      </c>
      <c r="CV215" s="229">
        <v>-0.55430000000000001</v>
      </c>
      <c r="CW215" s="228">
        <v>726</v>
      </c>
      <c r="CX215" s="230">
        <v>1051</v>
      </c>
      <c r="CY215" s="228">
        <v>-325</v>
      </c>
      <c r="CZ215" s="229">
        <v>-0.30940000000000001</v>
      </c>
      <c r="DA215" s="228">
        <v>40.51</v>
      </c>
      <c r="DB215" s="228">
        <v>44.28</v>
      </c>
      <c r="DC215" s="228">
        <v>-3.77</v>
      </c>
      <c r="DD215" s="228">
        <v>-3.77</v>
      </c>
      <c r="DE215" s="228">
        <v>59.65</v>
      </c>
      <c r="DF215" s="228">
        <v>59.78</v>
      </c>
      <c r="DG215" s="228">
        <v>-19.14</v>
      </c>
      <c r="DH215" s="228">
        <v>-0.13</v>
      </c>
      <c r="DI215" s="228">
        <v>40.82</v>
      </c>
      <c r="DJ215" s="228">
        <v>44.16</v>
      </c>
      <c r="DK215" s="228">
        <v>-3.34</v>
      </c>
      <c r="DL215" s="228">
        <v>-3.34</v>
      </c>
      <c r="DM215" s="228">
        <v>40.01</v>
      </c>
      <c r="DN215" s="228">
        <v>45.02</v>
      </c>
      <c r="DO215" s="228">
        <v>-5.01</v>
      </c>
      <c r="DP215" s="228">
        <v>-5.01</v>
      </c>
      <c r="DQ215" s="228">
        <v>1.33</v>
      </c>
      <c r="DR215" s="228">
        <v>0.67</v>
      </c>
      <c r="DS215" s="228">
        <v>0.66</v>
      </c>
      <c r="DT215" s="229">
        <v>0.98509999999999998</v>
      </c>
      <c r="DU215" s="228">
        <v>960</v>
      </c>
      <c r="DV215" s="228">
        <v>860</v>
      </c>
      <c r="DW215" s="228">
        <v>1.01</v>
      </c>
      <c r="DX215" s="228">
        <v>0.22</v>
      </c>
      <c r="DY215" s="228">
        <v>0.79</v>
      </c>
      <c r="DZ215" s="229">
        <v>3.5909</v>
      </c>
      <c r="EA215" s="229">
        <v>0.93930000000000002</v>
      </c>
      <c r="EB215" s="230">
        <v>5708650</v>
      </c>
      <c r="EC215" s="229">
        <v>4.4000000000000003E-3</v>
      </c>
      <c r="ED215" s="229">
        <v>0.93930000000000002</v>
      </c>
      <c r="EE215" s="228">
        <v>4.32</v>
      </c>
      <c r="EF215" s="229">
        <v>5.0000000000000001E-3</v>
      </c>
      <c r="EG215" s="230">
        <v>249887</v>
      </c>
      <c r="EH215" s="230">
        <v>188265</v>
      </c>
      <c r="EI215" s="229">
        <v>0.32729999999999998</v>
      </c>
      <c r="EJ215" s="229">
        <v>0.2417</v>
      </c>
      <c r="EK215" s="228">
        <v>223.88</v>
      </c>
      <c r="EL215" s="228">
        <v>210.81</v>
      </c>
      <c r="EM215" s="228">
        <v>393.07</v>
      </c>
      <c r="EN215" s="228">
        <v>0</v>
      </c>
      <c r="EO215" s="228">
        <v>827.77</v>
      </c>
      <c r="EP215" s="228">
        <v>996.96</v>
      </c>
      <c r="EQ215" s="228">
        <v>-169.2</v>
      </c>
      <c r="ER215" s="229">
        <v>-0.16969999999999999</v>
      </c>
      <c r="ES215" s="228">
        <v>59.44</v>
      </c>
      <c r="ET215" s="228">
        <v>72.930000000000007</v>
      </c>
      <c r="EU215" s="228">
        <v>596.74</v>
      </c>
      <c r="EV215" s="231">
        <v>16037381</v>
      </c>
      <c r="EW215" s="228">
        <v>729.11</v>
      </c>
      <c r="EX215" s="231">
        <v>1085.4000000000001</v>
      </c>
      <c r="EY215" s="228">
        <v>-356.29</v>
      </c>
      <c r="EZ215" s="229">
        <v>-0.32829999999999998</v>
      </c>
      <c r="FA215" s="229">
        <v>0.52329999999999999</v>
      </c>
      <c r="FB215" s="227" t="s">
        <v>568</v>
      </c>
      <c r="FC215">
        <f t="shared" si="4"/>
        <v>0</v>
      </c>
    </row>
    <row r="216" spans="1:159" ht="17.25" thickBot="1" x14ac:dyDescent="0.3">
      <c r="A216" s="226">
        <v>45869</v>
      </c>
      <c r="B216" s="227" t="s">
        <v>168</v>
      </c>
      <c r="C216" s="227" t="s">
        <v>297</v>
      </c>
      <c r="D216" s="228">
        <v>175</v>
      </c>
      <c r="E216" s="228">
        <v>0</v>
      </c>
      <c r="F216" s="231">
        <v>3359.1</v>
      </c>
      <c r="G216" s="231">
        <v>3396.5</v>
      </c>
      <c r="H216" s="228">
        <v>-37.4</v>
      </c>
      <c r="I216" s="229">
        <v>-1.0999999999999999E-2</v>
      </c>
      <c r="J216" s="231">
        <v>3347.3</v>
      </c>
      <c r="K216" s="231">
        <v>3376.5</v>
      </c>
      <c r="L216" s="228">
        <v>-29.2</v>
      </c>
      <c r="M216" s="229">
        <v>-8.6E-3</v>
      </c>
      <c r="N216" s="231">
        <v>3341.8</v>
      </c>
      <c r="O216" s="231">
        <v>3377.4</v>
      </c>
      <c r="P216" s="228">
        <v>-35.6</v>
      </c>
      <c r="Q216" s="229">
        <v>-1.0500000000000001E-2</v>
      </c>
      <c r="R216" s="231">
        <v>3359.1</v>
      </c>
      <c r="S216" s="231">
        <v>3396.5</v>
      </c>
      <c r="T216" s="228">
        <v>-37.4</v>
      </c>
      <c r="U216" s="229">
        <v>-1.0999999999999999E-2</v>
      </c>
      <c r="V216" s="231">
        <v>3378.8</v>
      </c>
      <c r="W216" s="231">
        <v>3416</v>
      </c>
      <c r="X216" s="228">
        <v>-37.200000000000003</v>
      </c>
      <c r="Y216" s="229">
        <v>-1.09E-2</v>
      </c>
      <c r="Z216" s="228">
        <v>11.8</v>
      </c>
      <c r="AA216" s="228">
        <v>0.9</v>
      </c>
      <c r="AB216" s="228">
        <v>10.9</v>
      </c>
      <c r="AC216" s="229">
        <v>3.5000000000000001E-3</v>
      </c>
      <c r="AD216" s="228">
        <v>-5.5</v>
      </c>
      <c r="AE216" s="228">
        <v>0.9</v>
      </c>
      <c r="AF216" s="228">
        <v>-6.4</v>
      </c>
      <c r="AG216" s="229">
        <v>-1.6000000000000001E-3</v>
      </c>
      <c r="AH216" s="228">
        <v>11.8</v>
      </c>
      <c r="AI216" s="228">
        <v>20</v>
      </c>
      <c r="AJ216" s="228">
        <v>-8.1999999999999993</v>
      </c>
      <c r="AK216" s="229">
        <v>3.5000000000000001E-3</v>
      </c>
      <c r="AL216" s="228">
        <v>31.5</v>
      </c>
      <c r="AM216" s="228">
        <v>39.5</v>
      </c>
      <c r="AN216" s="228">
        <v>-8</v>
      </c>
      <c r="AO216" s="229">
        <v>9.4000000000000004E-3</v>
      </c>
      <c r="AP216" s="231">
        <v>3346.7</v>
      </c>
      <c r="AQ216" s="231">
        <v>3361.89</v>
      </c>
      <c r="AR216" s="228">
        <v>0</v>
      </c>
      <c r="AS216" s="230">
        <v>1681</v>
      </c>
      <c r="AT216" s="230">
        <v>2373</v>
      </c>
      <c r="AU216" s="228">
        <v>-692</v>
      </c>
      <c r="AV216" s="229">
        <v>-0.29170000000000001</v>
      </c>
      <c r="AW216" s="228">
        <v>772</v>
      </c>
      <c r="AX216" s="230">
        <v>1158</v>
      </c>
      <c r="AY216" s="228">
        <v>-386</v>
      </c>
      <c r="AZ216" s="229">
        <v>-0.33350000000000002</v>
      </c>
      <c r="BA216" s="228">
        <v>902</v>
      </c>
      <c r="BB216" s="230">
        <v>1207</v>
      </c>
      <c r="BC216" s="228">
        <v>-305</v>
      </c>
      <c r="BD216" s="229">
        <v>-0.25259999999999999</v>
      </c>
      <c r="BE216" s="228">
        <v>7</v>
      </c>
      <c r="BF216" s="228">
        <v>8</v>
      </c>
      <c r="BG216" s="228">
        <v>-1</v>
      </c>
      <c r="BH216" s="229">
        <v>-0.15490000000000001</v>
      </c>
      <c r="BI216" s="230">
        <v>1197</v>
      </c>
      <c r="BJ216" s="230">
        <v>1031</v>
      </c>
      <c r="BK216" s="228">
        <v>166</v>
      </c>
      <c r="BL216" s="229">
        <v>0.16089999999999999</v>
      </c>
      <c r="BM216" s="228">
        <v>872</v>
      </c>
      <c r="BN216" s="228">
        <v>538</v>
      </c>
      <c r="BO216" s="228">
        <v>334</v>
      </c>
      <c r="BP216" s="229">
        <v>0.62039999999999995</v>
      </c>
      <c r="BQ216" s="230">
        <v>3751</v>
      </c>
      <c r="BR216" s="230">
        <v>3943</v>
      </c>
      <c r="BS216" s="228">
        <v>-192</v>
      </c>
      <c r="BT216" s="229">
        <v>-4.8800000000000003E-2</v>
      </c>
      <c r="BU216" s="230">
        <v>569832</v>
      </c>
      <c r="BV216" s="230">
        <v>466106</v>
      </c>
      <c r="BW216" s="230">
        <v>103726</v>
      </c>
      <c r="BX216" s="229">
        <v>0.2225</v>
      </c>
      <c r="BY216" s="230">
        <v>3288</v>
      </c>
      <c r="BZ216" s="230">
        <v>3493</v>
      </c>
      <c r="CA216" s="228">
        <v>-205</v>
      </c>
      <c r="CB216" s="229">
        <v>-5.8700000000000002E-2</v>
      </c>
      <c r="CC216" s="228">
        <v>169</v>
      </c>
      <c r="CD216" s="228">
        <v>523</v>
      </c>
      <c r="CE216" s="228">
        <v>-354</v>
      </c>
      <c r="CF216" s="229">
        <v>-0.67630000000000001</v>
      </c>
      <c r="CG216" s="230">
        <v>3201</v>
      </c>
      <c r="CH216" s="230">
        <v>2886</v>
      </c>
      <c r="CI216" s="228">
        <v>315</v>
      </c>
      <c r="CJ216" s="229">
        <v>0.1091</v>
      </c>
      <c r="CK216" s="228">
        <v>87</v>
      </c>
      <c r="CL216" s="228">
        <v>84</v>
      </c>
      <c r="CM216" s="228">
        <v>3</v>
      </c>
      <c r="CN216" s="229">
        <v>3.7100000000000001E-2</v>
      </c>
      <c r="CO216" s="228">
        <v>417</v>
      </c>
      <c r="CP216" s="230">
        <v>1579</v>
      </c>
      <c r="CQ216" s="230">
        <v>-1162</v>
      </c>
      <c r="CR216" s="229">
        <v>-0.73609999999999998</v>
      </c>
      <c r="CS216" s="228">
        <v>419</v>
      </c>
      <c r="CT216" s="228">
        <v>868</v>
      </c>
      <c r="CU216" s="228">
        <v>-450</v>
      </c>
      <c r="CV216" s="229">
        <v>-0.51770000000000005</v>
      </c>
      <c r="CW216" s="230">
        <v>4124</v>
      </c>
      <c r="CX216" s="230">
        <v>5940</v>
      </c>
      <c r="CY216" s="230">
        <v>-1817</v>
      </c>
      <c r="CZ216" s="229">
        <v>-0.30580000000000002</v>
      </c>
      <c r="DA216" s="228">
        <v>23.85</v>
      </c>
      <c r="DB216" s="228">
        <v>24.18</v>
      </c>
      <c r="DC216" s="228">
        <v>-0.33</v>
      </c>
      <c r="DD216" s="228">
        <v>-0.33</v>
      </c>
      <c r="DE216" s="228">
        <v>27.25</v>
      </c>
      <c r="DF216" s="228">
        <v>27.29</v>
      </c>
      <c r="DG216" s="228">
        <v>-3.4</v>
      </c>
      <c r="DH216" s="228">
        <v>-0.04</v>
      </c>
      <c r="DI216" s="228">
        <v>23.93</v>
      </c>
      <c r="DJ216" s="228">
        <v>23.95</v>
      </c>
      <c r="DK216" s="228">
        <v>-0.02</v>
      </c>
      <c r="DL216" s="228">
        <v>-0.02</v>
      </c>
      <c r="DM216" s="228">
        <v>23.76</v>
      </c>
      <c r="DN216" s="228">
        <v>24.48</v>
      </c>
      <c r="DO216" s="228">
        <v>-0.72</v>
      </c>
      <c r="DP216" s="228">
        <v>-0.72</v>
      </c>
      <c r="DQ216" s="228">
        <v>1.01</v>
      </c>
      <c r="DR216" s="228">
        <v>0.55000000000000004</v>
      </c>
      <c r="DS216" s="228">
        <v>0.46</v>
      </c>
      <c r="DT216" s="229">
        <v>0.83640000000000003</v>
      </c>
      <c r="DU216" s="231">
        <v>4000</v>
      </c>
      <c r="DV216" s="231">
        <v>3500</v>
      </c>
      <c r="DW216" s="228">
        <v>0.73</v>
      </c>
      <c r="DX216" s="228">
        <v>0.52</v>
      </c>
      <c r="DY216" s="228">
        <v>0.21</v>
      </c>
      <c r="DZ216" s="229">
        <v>0.40379999999999999</v>
      </c>
      <c r="EA216" s="229">
        <v>0.95109999999999995</v>
      </c>
      <c r="EB216" s="230">
        <v>8842575</v>
      </c>
      <c r="EC216" s="229">
        <v>5.1999999999999998E-3</v>
      </c>
      <c r="ED216" s="229">
        <v>0.95109999999999995</v>
      </c>
      <c r="EE216" s="228">
        <v>15.19</v>
      </c>
      <c r="EF216" s="229">
        <v>4.4999999999999997E-3</v>
      </c>
      <c r="EG216" s="230">
        <v>299192</v>
      </c>
      <c r="EH216" s="230">
        <v>238592</v>
      </c>
      <c r="EI216" s="229">
        <v>0.254</v>
      </c>
      <c r="EJ216" s="229">
        <v>0.52510000000000001</v>
      </c>
      <c r="EK216" s="231">
        <v>1253.19</v>
      </c>
      <c r="EL216" s="228">
        <v>892.31</v>
      </c>
      <c r="EM216" s="231">
        <v>1679</v>
      </c>
      <c r="EN216" s="228">
        <v>0</v>
      </c>
      <c r="EO216" s="231">
        <v>3824.5</v>
      </c>
      <c r="EP216" s="231">
        <v>4009.27</v>
      </c>
      <c r="EQ216" s="228">
        <v>-184.77</v>
      </c>
      <c r="ER216" s="229">
        <v>-4.6100000000000002E-2</v>
      </c>
      <c r="ES216" s="228">
        <v>441.93</v>
      </c>
      <c r="ET216" s="228">
        <v>418.17</v>
      </c>
      <c r="EU216" s="231">
        <v>3288.73</v>
      </c>
      <c r="EV216" s="231">
        <v>83488668</v>
      </c>
      <c r="EW216" s="231">
        <v>4148.83</v>
      </c>
      <c r="EX216" s="231">
        <v>6125.54</v>
      </c>
      <c r="EY216" s="231">
        <v>-1976.71</v>
      </c>
      <c r="EZ216" s="229">
        <v>-0.32269999999999999</v>
      </c>
      <c r="FA216" s="229">
        <v>0.14699999999999999</v>
      </c>
      <c r="FB216" s="227" t="s">
        <v>568</v>
      </c>
      <c r="FC216">
        <f t="shared" si="4"/>
        <v>0</v>
      </c>
    </row>
    <row r="217" spans="1:159" ht="17.25" thickBot="1" x14ac:dyDescent="0.3">
      <c r="A217" s="226">
        <v>45869</v>
      </c>
      <c r="B217" s="227" t="s">
        <v>170</v>
      </c>
      <c r="C217" s="227" t="s">
        <v>298</v>
      </c>
      <c r="D217" s="228">
        <v>250</v>
      </c>
      <c r="E217" s="228">
        <v>0</v>
      </c>
      <c r="F217" s="231">
        <v>3754.4</v>
      </c>
      <c r="G217" s="231">
        <v>3754.6</v>
      </c>
      <c r="H217" s="228">
        <v>-0.2</v>
      </c>
      <c r="I217" s="229">
        <v>-1E-4</v>
      </c>
      <c r="J217" s="231">
        <v>3741.9</v>
      </c>
      <c r="K217" s="231">
        <v>3730.6</v>
      </c>
      <c r="L217" s="228">
        <v>11.3</v>
      </c>
      <c r="M217" s="229">
        <v>3.0000000000000001E-3</v>
      </c>
      <c r="N217" s="231">
        <v>3748.1</v>
      </c>
      <c r="O217" s="231">
        <v>3734.6</v>
      </c>
      <c r="P217" s="228">
        <v>13.5</v>
      </c>
      <c r="Q217" s="229">
        <v>3.5999999999999999E-3</v>
      </c>
      <c r="R217" s="231">
        <v>3754.4</v>
      </c>
      <c r="S217" s="231">
        <v>3754.6</v>
      </c>
      <c r="T217" s="228">
        <v>-0.2</v>
      </c>
      <c r="U217" s="229">
        <v>-1E-4</v>
      </c>
      <c r="V217" s="231">
        <v>3762.1</v>
      </c>
      <c r="W217" s="231">
        <v>3767</v>
      </c>
      <c r="X217" s="228">
        <v>-4.9000000000000004</v>
      </c>
      <c r="Y217" s="229">
        <v>-1.2999999999999999E-3</v>
      </c>
      <c r="Z217" s="228">
        <v>12.5</v>
      </c>
      <c r="AA217" s="228">
        <v>4</v>
      </c>
      <c r="AB217" s="228">
        <v>8.5</v>
      </c>
      <c r="AC217" s="229">
        <v>3.3E-3</v>
      </c>
      <c r="AD217" s="228">
        <v>6.2</v>
      </c>
      <c r="AE217" s="228">
        <v>4</v>
      </c>
      <c r="AF217" s="228">
        <v>2.2000000000000002</v>
      </c>
      <c r="AG217" s="229">
        <v>1.6999999999999999E-3</v>
      </c>
      <c r="AH217" s="228">
        <v>12.5</v>
      </c>
      <c r="AI217" s="228">
        <v>24</v>
      </c>
      <c r="AJ217" s="228">
        <v>-11.5</v>
      </c>
      <c r="AK217" s="229">
        <v>3.3E-3</v>
      </c>
      <c r="AL217" s="228">
        <v>20.2</v>
      </c>
      <c r="AM217" s="228">
        <v>36.4</v>
      </c>
      <c r="AN217" s="228">
        <v>-16.2</v>
      </c>
      <c r="AO217" s="229">
        <v>5.4000000000000003E-3</v>
      </c>
      <c r="AP217" s="231">
        <v>3716.66</v>
      </c>
      <c r="AQ217" s="231">
        <v>3737.57</v>
      </c>
      <c r="AR217" s="228">
        <v>0</v>
      </c>
      <c r="AS217" s="228">
        <v>482</v>
      </c>
      <c r="AT217" s="228">
        <v>771</v>
      </c>
      <c r="AU217" s="228">
        <v>-289</v>
      </c>
      <c r="AV217" s="229">
        <v>-0.37480000000000002</v>
      </c>
      <c r="AW217" s="228">
        <v>197</v>
      </c>
      <c r="AX217" s="228">
        <v>358</v>
      </c>
      <c r="AY217" s="228">
        <v>-161</v>
      </c>
      <c r="AZ217" s="229">
        <v>-0.44990000000000002</v>
      </c>
      <c r="BA217" s="228">
        <v>283</v>
      </c>
      <c r="BB217" s="228">
        <v>412</v>
      </c>
      <c r="BC217" s="228">
        <v>-128</v>
      </c>
      <c r="BD217" s="229">
        <v>-0.31169999999999998</v>
      </c>
      <c r="BE217" s="228">
        <v>2</v>
      </c>
      <c r="BF217" s="228">
        <v>1</v>
      </c>
      <c r="BG217" s="228">
        <v>1</v>
      </c>
      <c r="BH217" s="229">
        <v>0.54549999999999998</v>
      </c>
      <c r="BI217" s="228">
        <v>516</v>
      </c>
      <c r="BJ217" s="228">
        <v>660</v>
      </c>
      <c r="BK217" s="228">
        <v>-145</v>
      </c>
      <c r="BL217" s="229">
        <v>-0.21890000000000001</v>
      </c>
      <c r="BM217" s="228">
        <v>382</v>
      </c>
      <c r="BN217" s="228">
        <v>470</v>
      </c>
      <c r="BO217" s="228">
        <v>-88</v>
      </c>
      <c r="BP217" s="229">
        <v>-0.18809999999999999</v>
      </c>
      <c r="BQ217" s="230">
        <v>1379</v>
      </c>
      <c r="BR217" s="230">
        <v>1901</v>
      </c>
      <c r="BS217" s="228">
        <v>-522</v>
      </c>
      <c r="BT217" s="229">
        <v>-0.27450000000000002</v>
      </c>
      <c r="BU217" s="230">
        <v>273111</v>
      </c>
      <c r="BV217" s="230">
        <v>453458</v>
      </c>
      <c r="BW217" s="230">
        <v>-180347</v>
      </c>
      <c r="BX217" s="229">
        <v>-0.3977</v>
      </c>
      <c r="BY217" s="228">
        <v>869</v>
      </c>
      <c r="BZ217" s="230">
        <v>1006</v>
      </c>
      <c r="CA217" s="228">
        <v>-137</v>
      </c>
      <c r="CB217" s="229">
        <v>-0.1358</v>
      </c>
      <c r="CC217" s="228">
        <v>154</v>
      </c>
      <c r="CD217" s="228">
        <v>197</v>
      </c>
      <c r="CE217" s="228">
        <v>-43</v>
      </c>
      <c r="CF217" s="229">
        <v>-0.21840000000000001</v>
      </c>
      <c r="CG217" s="228">
        <v>860</v>
      </c>
      <c r="CH217" s="228">
        <v>800</v>
      </c>
      <c r="CI217" s="228">
        <v>60</v>
      </c>
      <c r="CJ217" s="229">
        <v>7.4899999999999994E-2</v>
      </c>
      <c r="CK217" s="228">
        <v>9</v>
      </c>
      <c r="CL217" s="228">
        <v>9</v>
      </c>
      <c r="CM217" s="228">
        <v>0</v>
      </c>
      <c r="CN217" s="229">
        <v>3.3000000000000002E-2</v>
      </c>
      <c r="CO217" s="228">
        <v>148</v>
      </c>
      <c r="CP217" s="228">
        <v>533</v>
      </c>
      <c r="CQ217" s="228">
        <v>-384</v>
      </c>
      <c r="CR217" s="229">
        <v>-0.72119999999999995</v>
      </c>
      <c r="CS217" s="228">
        <v>85</v>
      </c>
      <c r="CT217" s="228">
        <v>397</v>
      </c>
      <c r="CU217" s="228">
        <v>-312</v>
      </c>
      <c r="CV217" s="229">
        <v>-0.78559999999999997</v>
      </c>
      <c r="CW217" s="230">
        <v>1103</v>
      </c>
      <c r="CX217" s="230">
        <v>1936</v>
      </c>
      <c r="CY217" s="228">
        <v>-833</v>
      </c>
      <c r="CZ217" s="229">
        <v>-0.43030000000000002</v>
      </c>
      <c r="DA217" s="228">
        <v>23.23</v>
      </c>
      <c r="DB217" s="228">
        <v>26.91</v>
      </c>
      <c r="DC217" s="228">
        <v>-3.68</v>
      </c>
      <c r="DD217" s="228">
        <v>-3.68</v>
      </c>
      <c r="DE217" s="228">
        <v>27.68</v>
      </c>
      <c r="DF217" s="228">
        <v>27.75</v>
      </c>
      <c r="DG217" s="228">
        <v>-4.45</v>
      </c>
      <c r="DH217" s="228">
        <v>-7.0000000000000007E-2</v>
      </c>
      <c r="DI217" s="228">
        <v>22.33</v>
      </c>
      <c r="DJ217" s="228">
        <v>26.71</v>
      </c>
      <c r="DK217" s="228">
        <v>-4.38</v>
      </c>
      <c r="DL217" s="228">
        <v>-4.38</v>
      </c>
      <c r="DM217" s="228">
        <v>25.11</v>
      </c>
      <c r="DN217" s="228">
        <v>27.49</v>
      </c>
      <c r="DO217" s="228">
        <v>-2.38</v>
      </c>
      <c r="DP217" s="228">
        <v>-2.38</v>
      </c>
      <c r="DQ217" s="228">
        <v>0.56999999999999995</v>
      </c>
      <c r="DR217" s="228">
        <v>0.75</v>
      </c>
      <c r="DS217" s="228">
        <v>-0.18</v>
      </c>
      <c r="DT217" s="229">
        <v>-0.24</v>
      </c>
      <c r="DU217" s="231">
        <v>3350</v>
      </c>
      <c r="DV217" s="231">
        <v>3400</v>
      </c>
      <c r="DW217" s="228">
        <v>0.74</v>
      </c>
      <c r="DX217" s="228">
        <v>0.71</v>
      </c>
      <c r="DY217" s="228">
        <v>0.03</v>
      </c>
      <c r="DZ217" s="229">
        <v>4.2299999999999997E-2</v>
      </c>
      <c r="EA217" s="229">
        <v>0.84960000000000002</v>
      </c>
      <c r="EB217" s="230">
        <v>2154750</v>
      </c>
      <c r="EC217" s="229">
        <v>1.6999999999999999E-3</v>
      </c>
      <c r="ED217" s="229">
        <v>0.84960000000000002</v>
      </c>
      <c r="EE217" s="228">
        <v>20.91</v>
      </c>
      <c r="EF217" s="229">
        <v>5.5999999999999999E-3</v>
      </c>
      <c r="EG217" s="230">
        <v>137596</v>
      </c>
      <c r="EH217" s="230">
        <v>246403</v>
      </c>
      <c r="EI217" s="229">
        <v>-0.44159999999999999</v>
      </c>
      <c r="EJ217" s="229">
        <v>0.50380000000000003</v>
      </c>
      <c r="EK217" s="228">
        <v>530.87</v>
      </c>
      <c r="EL217" s="228">
        <v>364.03</v>
      </c>
      <c r="EM217" s="228">
        <v>478.63</v>
      </c>
      <c r="EN217" s="228">
        <v>0</v>
      </c>
      <c r="EO217" s="231">
        <v>1373.52</v>
      </c>
      <c r="EP217" s="231">
        <v>1906.34</v>
      </c>
      <c r="EQ217" s="228">
        <v>-532.80999999999995</v>
      </c>
      <c r="ER217" s="229">
        <v>-0.27950000000000003</v>
      </c>
      <c r="ES217" s="228">
        <v>150</v>
      </c>
      <c r="ET217" s="228">
        <v>80.97</v>
      </c>
      <c r="EU217" s="228">
        <v>869.26</v>
      </c>
      <c r="EV217" s="231">
        <v>21452008</v>
      </c>
      <c r="EW217" s="231">
        <v>1100.23</v>
      </c>
      <c r="EX217" s="231">
        <v>1884.91</v>
      </c>
      <c r="EY217" s="228">
        <v>-784.68</v>
      </c>
      <c r="EZ217" s="229">
        <v>-0.4163</v>
      </c>
      <c r="FA217" s="229">
        <v>0.13689999999999999</v>
      </c>
      <c r="FB217" s="227" t="s">
        <v>568</v>
      </c>
      <c r="FC217">
        <f t="shared" si="4"/>
        <v>0</v>
      </c>
    </row>
    <row r="218" spans="1:159" ht="17.25" thickBot="1" x14ac:dyDescent="0.3">
      <c r="A218" s="226">
        <v>45869</v>
      </c>
      <c r="B218" s="227" t="s">
        <v>161</v>
      </c>
      <c r="C218" s="227" t="s">
        <v>299</v>
      </c>
      <c r="D218" s="228">
        <v>375</v>
      </c>
      <c r="E218" s="228">
        <v>0</v>
      </c>
      <c r="F218" s="231">
        <v>1317.8</v>
      </c>
      <c r="G218" s="231">
        <v>1344.5</v>
      </c>
      <c r="H218" s="228">
        <v>-26.7</v>
      </c>
      <c r="I218" s="229">
        <v>-1.9900000000000001E-2</v>
      </c>
      <c r="J218" s="231">
        <v>1310</v>
      </c>
      <c r="K218" s="231">
        <v>1336.5</v>
      </c>
      <c r="L218" s="228">
        <v>-26.5</v>
      </c>
      <c r="M218" s="229">
        <v>-1.9800000000000002E-2</v>
      </c>
      <c r="N218" s="231">
        <v>1310.5</v>
      </c>
      <c r="O218" s="231">
        <v>1337.4</v>
      </c>
      <c r="P218" s="228">
        <v>-26.9</v>
      </c>
      <c r="Q218" s="229">
        <v>-2.01E-2</v>
      </c>
      <c r="R218" s="231">
        <v>1317.8</v>
      </c>
      <c r="S218" s="231">
        <v>1344.5</v>
      </c>
      <c r="T218" s="228">
        <v>-26.7</v>
      </c>
      <c r="U218" s="229">
        <v>-1.9900000000000001E-2</v>
      </c>
      <c r="V218" s="231">
        <v>1325.7</v>
      </c>
      <c r="W218" s="231">
        <v>1353</v>
      </c>
      <c r="X218" s="228">
        <v>-27.3</v>
      </c>
      <c r="Y218" s="229">
        <v>-2.0199999999999999E-2</v>
      </c>
      <c r="Z218" s="228">
        <v>7.8</v>
      </c>
      <c r="AA218" s="228">
        <v>0.9</v>
      </c>
      <c r="AB218" s="228">
        <v>6.9</v>
      </c>
      <c r="AC218" s="229">
        <v>6.0000000000000001E-3</v>
      </c>
      <c r="AD218" s="228">
        <v>0.5</v>
      </c>
      <c r="AE218" s="228">
        <v>0.9</v>
      </c>
      <c r="AF218" s="228">
        <v>-0.4</v>
      </c>
      <c r="AG218" s="229">
        <v>4.0000000000000002E-4</v>
      </c>
      <c r="AH218" s="228">
        <v>7.8</v>
      </c>
      <c r="AI218" s="228">
        <v>8</v>
      </c>
      <c r="AJ218" s="228">
        <v>-0.2</v>
      </c>
      <c r="AK218" s="229">
        <v>6.0000000000000001E-3</v>
      </c>
      <c r="AL218" s="228">
        <v>15.7</v>
      </c>
      <c r="AM218" s="228">
        <v>16.5</v>
      </c>
      <c r="AN218" s="228">
        <v>-0.8</v>
      </c>
      <c r="AO218" s="229">
        <v>1.2E-2</v>
      </c>
      <c r="AP218" s="231">
        <v>1317.21</v>
      </c>
      <c r="AQ218" s="231">
        <v>1324.45</v>
      </c>
      <c r="AR218" s="228">
        <v>0</v>
      </c>
      <c r="AS218" s="228">
        <v>178</v>
      </c>
      <c r="AT218" s="228">
        <v>264</v>
      </c>
      <c r="AU218" s="228">
        <v>-86</v>
      </c>
      <c r="AV218" s="229">
        <v>-0.32679999999999998</v>
      </c>
      <c r="AW218" s="228">
        <v>76</v>
      </c>
      <c r="AX218" s="228">
        <v>124</v>
      </c>
      <c r="AY218" s="228">
        <v>-48</v>
      </c>
      <c r="AZ218" s="229">
        <v>-0.38829999999999998</v>
      </c>
      <c r="BA218" s="228">
        <v>100</v>
      </c>
      <c r="BB218" s="228">
        <v>139</v>
      </c>
      <c r="BC218" s="228">
        <v>-39</v>
      </c>
      <c r="BD218" s="229">
        <v>-0.28299999999999997</v>
      </c>
      <c r="BE218" s="228">
        <v>2</v>
      </c>
      <c r="BF218" s="228">
        <v>1</v>
      </c>
      <c r="BG218" s="228">
        <v>1</v>
      </c>
      <c r="BH218" s="229">
        <v>1.3889</v>
      </c>
      <c r="BI218" s="228">
        <v>176</v>
      </c>
      <c r="BJ218" s="228">
        <v>340</v>
      </c>
      <c r="BK218" s="228">
        <v>-165</v>
      </c>
      <c r="BL218" s="229">
        <v>-0.48430000000000001</v>
      </c>
      <c r="BM218" s="228">
        <v>51</v>
      </c>
      <c r="BN218" s="228">
        <v>113</v>
      </c>
      <c r="BO218" s="228">
        <v>-62</v>
      </c>
      <c r="BP218" s="229">
        <v>-0.54720000000000002</v>
      </c>
      <c r="BQ218" s="228">
        <v>404</v>
      </c>
      <c r="BR218" s="228">
        <v>717</v>
      </c>
      <c r="BS218" s="228">
        <v>-313</v>
      </c>
      <c r="BT218" s="229">
        <v>-0.43630000000000002</v>
      </c>
      <c r="BU218" s="230">
        <v>363972</v>
      </c>
      <c r="BV218" s="230">
        <v>460236</v>
      </c>
      <c r="BW218" s="230">
        <v>-96264</v>
      </c>
      <c r="BX218" s="229">
        <v>-0.2092</v>
      </c>
      <c r="BY218" s="228">
        <v>331</v>
      </c>
      <c r="BZ218" s="228">
        <v>351</v>
      </c>
      <c r="CA218" s="228">
        <v>-20</v>
      </c>
      <c r="CB218" s="229">
        <v>-5.67E-2</v>
      </c>
      <c r="CC218" s="228">
        <v>20</v>
      </c>
      <c r="CD218" s="228">
        <v>48</v>
      </c>
      <c r="CE218" s="228">
        <v>-28</v>
      </c>
      <c r="CF218" s="229">
        <v>-0.59160000000000001</v>
      </c>
      <c r="CG218" s="228">
        <v>328</v>
      </c>
      <c r="CH218" s="228">
        <v>301</v>
      </c>
      <c r="CI218" s="228">
        <v>27</v>
      </c>
      <c r="CJ218" s="229">
        <v>8.8300000000000003E-2</v>
      </c>
      <c r="CK218" s="228">
        <v>4</v>
      </c>
      <c r="CL218" s="228">
        <v>2</v>
      </c>
      <c r="CM218" s="228">
        <v>2</v>
      </c>
      <c r="CN218" s="229">
        <v>0.72089999999999999</v>
      </c>
      <c r="CO218" s="228">
        <v>37</v>
      </c>
      <c r="CP218" s="228">
        <v>128</v>
      </c>
      <c r="CQ218" s="228">
        <v>-91</v>
      </c>
      <c r="CR218" s="229">
        <v>-0.71299999999999997</v>
      </c>
      <c r="CS218" s="228">
        <v>27</v>
      </c>
      <c r="CT218" s="228">
        <v>70</v>
      </c>
      <c r="CU218" s="228">
        <v>-43</v>
      </c>
      <c r="CV218" s="229">
        <v>-0.6169</v>
      </c>
      <c r="CW218" s="228">
        <v>395</v>
      </c>
      <c r="CX218" s="228">
        <v>549</v>
      </c>
      <c r="CY218" s="228">
        <v>-154</v>
      </c>
      <c r="CZ218" s="229">
        <v>-0.28089999999999998</v>
      </c>
      <c r="DA218" s="228">
        <v>39.18</v>
      </c>
      <c r="DB218" s="228">
        <v>37.659999999999997</v>
      </c>
      <c r="DC218" s="228">
        <v>1.52</v>
      </c>
      <c r="DD218" s="228">
        <v>1.52</v>
      </c>
      <c r="DE218" s="228">
        <v>45.47</v>
      </c>
      <c r="DF218" s="228">
        <v>45.5</v>
      </c>
      <c r="DG218" s="228">
        <v>-6.29</v>
      </c>
      <c r="DH218" s="228">
        <v>-0.03</v>
      </c>
      <c r="DI218" s="228">
        <v>39.64</v>
      </c>
      <c r="DJ218" s="228">
        <v>37.78</v>
      </c>
      <c r="DK218" s="228">
        <v>1.86</v>
      </c>
      <c r="DL218" s="228">
        <v>1.86</v>
      </c>
      <c r="DM218" s="228">
        <v>36.340000000000003</v>
      </c>
      <c r="DN218" s="228">
        <v>36.82</v>
      </c>
      <c r="DO218" s="228">
        <v>-0.48</v>
      </c>
      <c r="DP218" s="228">
        <v>-0.48</v>
      </c>
      <c r="DQ218" s="228">
        <v>0.73</v>
      </c>
      <c r="DR218" s="228">
        <v>0.55000000000000004</v>
      </c>
      <c r="DS218" s="228">
        <v>0.18</v>
      </c>
      <c r="DT218" s="229">
        <v>0.32729999999999998</v>
      </c>
      <c r="DU218" s="231">
        <v>1500</v>
      </c>
      <c r="DV218" s="231">
        <v>1300</v>
      </c>
      <c r="DW218" s="228">
        <v>0.28999999999999998</v>
      </c>
      <c r="DX218" s="228">
        <v>0.33</v>
      </c>
      <c r="DY218" s="228">
        <v>-0.04</v>
      </c>
      <c r="DZ218" s="229">
        <v>-0.1212</v>
      </c>
      <c r="EA218" s="229">
        <v>0.94410000000000005</v>
      </c>
      <c r="EB218" s="230">
        <v>2300625</v>
      </c>
      <c r="EC218" s="229">
        <v>5.5999999999999999E-3</v>
      </c>
      <c r="ED218" s="229">
        <v>0.94410000000000005</v>
      </c>
      <c r="EE218" s="228">
        <v>7.24</v>
      </c>
      <c r="EF218" s="229">
        <v>5.4999999999999997E-3</v>
      </c>
      <c r="EG218" s="230">
        <v>210965</v>
      </c>
      <c r="EH218" s="230">
        <v>105539</v>
      </c>
      <c r="EI218" s="229">
        <v>0.99890000000000001</v>
      </c>
      <c r="EJ218" s="229">
        <v>0.5796</v>
      </c>
      <c r="EK218" s="228">
        <v>193.3</v>
      </c>
      <c r="EL218" s="228">
        <v>52.64</v>
      </c>
      <c r="EM218" s="228">
        <v>178.05</v>
      </c>
      <c r="EN218" s="228">
        <v>0</v>
      </c>
      <c r="EO218" s="228">
        <v>423.99</v>
      </c>
      <c r="EP218" s="228">
        <v>752.71</v>
      </c>
      <c r="EQ218" s="228">
        <v>-328.72</v>
      </c>
      <c r="ER218" s="229">
        <v>-0.43669999999999998</v>
      </c>
      <c r="ES218" s="228">
        <v>39.31</v>
      </c>
      <c r="ET218" s="228">
        <v>27.11</v>
      </c>
      <c r="EU218" s="228">
        <v>331.32</v>
      </c>
      <c r="EV218" s="231">
        <v>49292045</v>
      </c>
      <c r="EW218" s="228">
        <v>397.74</v>
      </c>
      <c r="EX218" s="228">
        <v>569.33000000000004</v>
      </c>
      <c r="EY218" s="228">
        <v>-171.59</v>
      </c>
      <c r="EZ218" s="229">
        <v>-0.3014</v>
      </c>
      <c r="FA218" s="229">
        <v>6.08E-2</v>
      </c>
      <c r="FB218" s="227" t="s">
        <v>568</v>
      </c>
      <c r="FC218">
        <f t="shared" si="4"/>
        <v>0</v>
      </c>
    </row>
    <row r="219" spans="1:159" ht="17.25" thickBot="1" x14ac:dyDescent="0.3">
      <c r="A219" s="226">
        <v>45869</v>
      </c>
      <c r="B219" s="227" t="s">
        <v>197</v>
      </c>
      <c r="C219" s="227" t="s">
        <v>482</v>
      </c>
      <c r="D219" s="228">
        <v>100</v>
      </c>
      <c r="E219" s="228">
        <v>0</v>
      </c>
      <c r="F219" s="231">
        <v>5040.5</v>
      </c>
      <c r="G219" s="231">
        <v>5065.5</v>
      </c>
      <c r="H219" s="228">
        <v>-25</v>
      </c>
      <c r="I219" s="229">
        <v>-4.8999999999999998E-3</v>
      </c>
      <c r="J219" s="231">
        <v>5018</v>
      </c>
      <c r="K219" s="231">
        <v>5043.5</v>
      </c>
      <c r="L219" s="228">
        <v>-25.5</v>
      </c>
      <c r="M219" s="229">
        <v>-5.1000000000000004E-3</v>
      </c>
      <c r="N219" s="231">
        <v>5018</v>
      </c>
      <c r="O219" s="231">
        <v>5041</v>
      </c>
      <c r="P219" s="228">
        <v>-23</v>
      </c>
      <c r="Q219" s="229">
        <v>-4.5999999999999999E-3</v>
      </c>
      <c r="R219" s="231">
        <v>5040.5</v>
      </c>
      <c r="S219" s="231">
        <v>5065.5</v>
      </c>
      <c r="T219" s="228">
        <v>-25</v>
      </c>
      <c r="U219" s="229">
        <v>-4.8999999999999998E-3</v>
      </c>
      <c r="V219" s="231">
        <v>5070.5</v>
      </c>
      <c r="W219" s="231">
        <v>5095.5</v>
      </c>
      <c r="X219" s="228">
        <v>-25</v>
      </c>
      <c r="Y219" s="229">
        <v>-4.8999999999999998E-3</v>
      </c>
      <c r="Z219" s="228">
        <v>22.5</v>
      </c>
      <c r="AA219" s="228">
        <v>-2.5</v>
      </c>
      <c r="AB219" s="228">
        <v>25</v>
      </c>
      <c r="AC219" s="229">
        <v>4.4999999999999997E-3</v>
      </c>
      <c r="AD219" s="228">
        <v>0</v>
      </c>
      <c r="AE219" s="228">
        <v>-2.5</v>
      </c>
      <c r="AF219" s="228">
        <v>2.5</v>
      </c>
      <c r="AG219" s="229">
        <v>0</v>
      </c>
      <c r="AH219" s="228">
        <v>22.5</v>
      </c>
      <c r="AI219" s="228">
        <v>22</v>
      </c>
      <c r="AJ219" s="228">
        <v>0.5</v>
      </c>
      <c r="AK219" s="229">
        <v>4.4999999999999997E-3</v>
      </c>
      <c r="AL219" s="228">
        <v>52.5</v>
      </c>
      <c r="AM219" s="228">
        <v>52</v>
      </c>
      <c r="AN219" s="228">
        <v>0.5</v>
      </c>
      <c r="AO219" s="229">
        <v>1.0500000000000001E-2</v>
      </c>
      <c r="AP219" s="231">
        <v>5030.26</v>
      </c>
      <c r="AQ219" s="231">
        <v>5052.99</v>
      </c>
      <c r="AR219" s="228">
        <v>0</v>
      </c>
      <c r="AS219" s="230">
        <v>1485</v>
      </c>
      <c r="AT219" s="230">
        <v>1882</v>
      </c>
      <c r="AU219" s="228">
        <v>-397</v>
      </c>
      <c r="AV219" s="229">
        <v>-0.21110000000000001</v>
      </c>
      <c r="AW219" s="228">
        <v>675</v>
      </c>
      <c r="AX219" s="228">
        <v>932</v>
      </c>
      <c r="AY219" s="228">
        <v>-256</v>
      </c>
      <c r="AZ219" s="229">
        <v>-0.2752</v>
      </c>
      <c r="BA219" s="228">
        <v>787</v>
      </c>
      <c r="BB219" s="228">
        <v>925</v>
      </c>
      <c r="BC219" s="228">
        <v>-138</v>
      </c>
      <c r="BD219" s="229">
        <v>-0.1492</v>
      </c>
      <c r="BE219" s="228">
        <v>22</v>
      </c>
      <c r="BF219" s="228">
        <v>25</v>
      </c>
      <c r="BG219" s="228">
        <v>-3</v>
      </c>
      <c r="BH219" s="229">
        <v>-0.1133</v>
      </c>
      <c r="BI219" s="230">
        <v>2765</v>
      </c>
      <c r="BJ219" s="230">
        <v>3565</v>
      </c>
      <c r="BK219" s="228">
        <v>-799</v>
      </c>
      <c r="BL219" s="229">
        <v>-0.2243</v>
      </c>
      <c r="BM219" s="230">
        <v>1158</v>
      </c>
      <c r="BN219" s="230">
        <v>1370</v>
      </c>
      <c r="BO219" s="228">
        <v>-212</v>
      </c>
      <c r="BP219" s="229">
        <v>-0.1547</v>
      </c>
      <c r="BQ219" s="230">
        <v>5408</v>
      </c>
      <c r="BR219" s="230">
        <v>6817</v>
      </c>
      <c r="BS219" s="230">
        <v>-1409</v>
      </c>
      <c r="BT219" s="229">
        <v>-0.20669999999999999</v>
      </c>
      <c r="BU219" s="230">
        <v>789068</v>
      </c>
      <c r="BV219" s="230">
        <v>659756</v>
      </c>
      <c r="BW219" s="230">
        <v>129312</v>
      </c>
      <c r="BX219" s="229">
        <v>0.19600000000000001</v>
      </c>
      <c r="BY219" s="230">
        <v>3581</v>
      </c>
      <c r="BZ219" s="230">
        <v>4115</v>
      </c>
      <c r="CA219" s="228">
        <v>-534</v>
      </c>
      <c r="CB219" s="229">
        <v>-0.12989999999999999</v>
      </c>
      <c r="CC219" s="228">
        <v>448</v>
      </c>
      <c r="CD219" s="228">
        <v>944</v>
      </c>
      <c r="CE219" s="228">
        <v>-496</v>
      </c>
      <c r="CF219" s="229">
        <v>-0.52529999999999999</v>
      </c>
      <c r="CG219" s="230">
        <v>3479</v>
      </c>
      <c r="CH219" s="230">
        <v>3079</v>
      </c>
      <c r="CI219" s="228">
        <v>400</v>
      </c>
      <c r="CJ219" s="229">
        <v>0.12989999999999999</v>
      </c>
      <c r="CK219" s="228">
        <v>102</v>
      </c>
      <c r="CL219" s="228">
        <v>92</v>
      </c>
      <c r="CM219" s="228">
        <v>9</v>
      </c>
      <c r="CN219" s="229">
        <v>0.1016</v>
      </c>
      <c r="CO219" s="228">
        <v>845</v>
      </c>
      <c r="CP219" s="230">
        <v>3199</v>
      </c>
      <c r="CQ219" s="230">
        <v>-2354</v>
      </c>
      <c r="CR219" s="229">
        <v>-0.73599999999999999</v>
      </c>
      <c r="CS219" s="228">
        <v>655</v>
      </c>
      <c r="CT219" s="230">
        <v>1540</v>
      </c>
      <c r="CU219" s="228">
        <v>-884</v>
      </c>
      <c r="CV219" s="229">
        <v>-0.57440000000000002</v>
      </c>
      <c r="CW219" s="230">
        <v>5081</v>
      </c>
      <c r="CX219" s="230">
        <v>8854</v>
      </c>
      <c r="CY219" s="230">
        <v>-3773</v>
      </c>
      <c r="CZ219" s="229">
        <v>-0.42620000000000002</v>
      </c>
      <c r="DA219" s="228">
        <v>36.83</v>
      </c>
      <c r="DB219" s="228">
        <v>37.21</v>
      </c>
      <c r="DC219" s="228">
        <v>-0.38</v>
      </c>
      <c r="DD219" s="228">
        <v>-0.38</v>
      </c>
      <c r="DE219" s="228">
        <v>48.84</v>
      </c>
      <c r="DF219" s="228">
        <v>48.96</v>
      </c>
      <c r="DG219" s="228">
        <v>-12.01</v>
      </c>
      <c r="DH219" s="228">
        <v>-0.12</v>
      </c>
      <c r="DI219" s="228">
        <v>37.020000000000003</v>
      </c>
      <c r="DJ219" s="228">
        <v>37.119999999999997</v>
      </c>
      <c r="DK219" s="228">
        <v>-0.1</v>
      </c>
      <c r="DL219" s="228">
        <v>-0.1</v>
      </c>
      <c r="DM219" s="228">
        <v>36.46</v>
      </c>
      <c r="DN219" s="228">
        <v>37.44</v>
      </c>
      <c r="DO219" s="228">
        <v>-0.98</v>
      </c>
      <c r="DP219" s="228">
        <v>-0.98</v>
      </c>
      <c r="DQ219" s="228">
        <v>0.78</v>
      </c>
      <c r="DR219" s="228">
        <v>0.48</v>
      </c>
      <c r="DS219" s="228">
        <v>0.3</v>
      </c>
      <c r="DT219" s="229">
        <v>0.625</v>
      </c>
      <c r="DU219" s="231">
        <v>6000</v>
      </c>
      <c r="DV219" s="231">
        <v>5000</v>
      </c>
      <c r="DW219" s="228">
        <v>0.42</v>
      </c>
      <c r="DX219" s="228">
        <v>0.38</v>
      </c>
      <c r="DY219" s="228">
        <v>0.04</v>
      </c>
      <c r="DZ219" s="229">
        <v>0.1053</v>
      </c>
      <c r="EA219" s="229">
        <v>0.88880000000000003</v>
      </c>
      <c r="EB219" s="230">
        <v>6291700</v>
      </c>
      <c r="EC219" s="229">
        <v>4.4999999999999997E-3</v>
      </c>
      <c r="ED219" s="229">
        <v>0.88880000000000003</v>
      </c>
      <c r="EE219" s="228">
        <v>22.73</v>
      </c>
      <c r="EF219" s="229">
        <v>4.4999999999999997E-3</v>
      </c>
      <c r="EG219" s="230">
        <v>438301</v>
      </c>
      <c r="EH219" s="230">
        <v>357548</v>
      </c>
      <c r="EI219" s="229">
        <v>0.22589999999999999</v>
      </c>
      <c r="EJ219" s="229">
        <v>0.55549999999999999</v>
      </c>
      <c r="EK219" s="231">
        <v>3043.99</v>
      </c>
      <c r="EL219" s="231">
        <v>1188.46</v>
      </c>
      <c r="EM219" s="231">
        <v>1485.8</v>
      </c>
      <c r="EN219" s="228">
        <v>0</v>
      </c>
      <c r="EO219" s="231">
        <v>5718.24</v>
      </c>
      <c r="EP219" s="231">
        <v>7109.18</v>
      </c>
      <c r="EQ219" s="231">
        <v>-1390.94</v>
      </c>
      <c r="ER219" s="229">
        <v>-0.19570000000000001</v>
      </c>
      <c r="ES219" s="228">
        <v>924</v>
      </c>
      <c r="ET219" s="228">
        <v>670.32</v>
      </c>
      <c r="EU219" s="231">
        <v>3581.43</v>
      </c>
      <c r="EV219" s="231">
        <v>44787316</v>
      </c>
      <c r="EW219" s="231">
        <v>5175.75</v>
      </c>
      <c r="EX219" s="231">
        <v>9438.67</v>
      </c>
      <c r="EY219" s="231">
        <v>-4262.92</v>
      </c>
      <c r="EZ219" s="229">
        <v>-0.4516</v>
      </c>
      <c r="FA219" s="229">
        <v>0.22509999999999999</v>
      </c>
      <c r="FB219" s="227" t="s">
        <v>568</v>
      </c>
      <c r="FC219">
        <f t="shared" si="4"/>
        <v>0</v>
      </c>
    </row>
    <row r="220" spans="1:159" ht="17.25" thickBot="1" x14ac:dyDescent="0.3">
      <c r="A220" s="226">
        <v>45869</v>
      </c>
      <c r="B220" s="227" t="s">
        <v>162</v>
      </c>
      <c r="C220" s="227" t="s">
        <v>300</v>
      </c>
      <c r="D220" s="228">
        <v>350</v>
      </c>
      <c r="E220" s="228">
        <v>0</v>
      </c>
      <c r="F220" s="231">
        <v>2806.1</v>
      </c>
      <c r="G220" s="231">
        <v>2803.2</v>
      </c>
      <c r="H220" s="228">
        <v>2.9</v>
      </c>
      <c r="I220" s="229">
        <v>1E-3</v>
      </c>
      <c r="J220" s="231">
        <v>2801.8</v>
      </c>
      <c r="K220" s="231">
        <v>2793.6</v>
      </c>
      <c r="L220" s="228">
        <v>8.1999999999999993</v>
      </c>
      <c r="M220" s="229">
        <v>2.8999999999999998E-3</v>
      </c>
      <c r="N220" s="231">
        <v>2799.9</v>
      </c>
      <c r="O220" s="231">
        <v>2793</v>
      </c>
      <c r="P220" s="228">
        <v>6.9</v>
      </c>
      <c r="Q220" s="229">
        <v>2.5000000000000001E-3</v>
      </c>
      <c r="R220" s="231">
        <v>2806.1</v>
      </c>
      <c r="S220" s="231">
        <v>2803.2</v>
      </c>
      <c r="T220" s="228">
        <v>2.9</v>
      </c>
      <c r="U220" s="229">
        <v>1E-3</v>
      </c>
      <c r="V220" s="231">
        <v>2810.5</v>
      </c>
      <c r="W220" s="231">
        <v>2802.5</v>
      </c>
      <c r="X220" s="228">
        <v>8</v>
      </c>
      <c r="Y220" s="229">
        <v>2.8999999999999998E-3</v>
      </c>
      <c r="Z220" s="228">
        <v>4.3</v>
      </c>
      <c r="AA220" s="228">
        <v>-0.6</v>
      </c>
      <c r="AB220" s="228">
        <v>4.9000000000000004</v>
      </c>
      <c r="AC220" s="229">
        <v>1.5E-3</v>
      </c>
      <c r="AD220" s="228">
        <v>-1.9</v>
      </c>
      <c r="AE220" s="228">
        <v>-0.6</v>
      </c>
      <c r="AF220" s="228">
        <v>-1.3</v>
      </c>
      <c r="AG220" s="229">
        <v>-6.9999999999999999E-4</v>
      </c>
      <c r="AH220" s="228">
        <v>4.3</v>
      </c>
      <c r="AI220" s="228">
        <v>9.6</v>
      </c>
      <c r="AJ220" s="228">
        <v>-5.3</v>
      </c>
      <c r="AK220" s="229">
        <v>1.5E-3</v>
      </c>
      <c r="AL220" s="228">
        <v>8.6999999999999993</v>
      </c>
      <c r="AM220" s="228">
        <v>8.9</v>
      </c>
      <c r="AN220" s="228">
        <v>-0.2</v>
      </c>
      <c r="AO220" s="229">
        <v>3.0999999999999999E-3</v>
      </c>
      <c r="AP220" s="231">
        <v>2799.06</v>
      </c>
      <c r="AQ220" s="231">
        <v>2809.38</v>
      </c>
      <c r="AR220" s="228">
        <v>0</v>
      </c>
      <c r="AS220" s="230">
        <v>1986</v>
      </c>
      <c r="AT220" s="230">
        <v>1629</v>
      </c>
      <c r="AU220" s="228">
        <v>357</v>
      </c>
      <c r="AV220" s="229">
        <v>0.2195</v>
      </c>
      <c r="AW220" s="228">
        <v>694</v>
      </c>
      <c r="AX220" s="228">
        <v>693</v>
      </c>
      <c r="AY220" s="228">
        <v>1</v>
      </c>
      <c r="AZ220" s="229">
        <v>1.6000000000000001E-3</v>
      </c>
      <c r="BA220" s="230">
        <v>1274</v>
      </c>
      <c r="BB220" s="228">
        <v>929</v>
      </c>
      <c r="BC220" s="228">
        <v>345</v>
      </c>
      <c r="BD220" s="229">
        <v>0.37130000000000002</v>
      </c>
      <c r="BE220" s="228">
        <v>18</v>
      </c>
      <c r="BF220" s="228">
        <v>6</v>
      </c>
      <c r="BG220" s="228">
        <v>11</v>
      </c>
      <c r="BH220" s="229">
        <v>1.7576000000000001</v>
      </c>
      <c r="BI220" s="230">
        <v>3004</v>
      </c>
      <c r="BJ220" s="228">
        <v>773</v>
      </c>
      <c r="BK220" s="230">
        <v>2231</v>
      </c>
      <c r="BL220" s="229">
        <v>2.8860999999999999</v>
      </c>
      <c r="BM220" s="230">
        <v>1421</v>
      </c>
      <c r="BN220" s="228">
        <v>401</v>
      </c>
      <c r="BO220" s="230">
        <v>1020</v>
      </c>
      <c r="BP220" s="229">
        <v>2.5425</v>
      </c>
      <c r="BQ220" s="230">
        <v>6411</v>
      </c>
      <c r="BR220" s="230">
        <v>2803</v>
      </c>
      <c r="BS220" s="230">
        <v>3608</v>
      </c>
      <c r="BT220" s="229">
        <v>1.2874000000000001</v>
      </c>
      <c r="BU220" s="230">
        <v>1319999</v>
      </c>
      <c r="BV220" s="230">
        <v>704576</v>
      </c>
      <c r="BW220" s="230">
        <v>615423</v>
      </c>
      <c r="BX220" s="229">
        <v>0.87350000000000005</v>
      </c>
      <c r="BY220" s="230">
        <v>2085</v>
      </c>
      <c r="BZ220" s="230">
        <v>2602</v>
      </c>
      <c r="CA220" s="228">
        <v>-517</v>
      </c>
      <c r="CB220" s="229">
        <v>-0.1988</v>
      </c>
      <c r="CC220" s="228">
        <v>412</v>
      </c>
      <c r="CD220" s="228">
        <v>786</v>
      </c>
      <c r="CE220" s="228">
        <v>-373</v>
      </c>
      <c r="CF220" s="229">
        <v>-0.47499999999999998</v>
      </c>
      <c r="CG220" s="230">
        <v>2069</v>
      </c>
      <c r="CH220" s="230">
        <v>1807</v>
      </c>
      <c r="CI220" s="228">
        <v>262</v>
      </c>
      <c r="CJ220" s="229">
        <v>0.14499999999999999</v>
      </c>
      <c r="CK220" s="228">
        <v>16</v>
      </c>
      <c r="CL220" s="228">
        <v>9</v>
      </c>
      <c r="CM220" s="228">
        <v>6</v>
      </c>
      <c r="CN220" s="229">
        <v>0.67369999999999997</v>
      </c>
      <c r="CO220" s="228">
        <v>534</v>
      </c>
      <c r="CP220" s="228">
        <v>668</v>
      </c>
      <c r="CQ220" s="228">
        <v>-134</v>
      </c>
      <c r="CR220" s="229">
        <v>-0.2001</v>
      </c>
      <c r="CS220" s="228">
        <v>220</v>
      </c>
      <c r="CT220" s="228">
        <v>444</v>
      </c>
      <c r="CU220" s="228">
        <v>-225</v>
      </c>
      <c r="CV220" s="229">
        <v>-0.50539999999999996</v>
      </c>
      <c r="CW220" s="230">
        <v>2839</v>
      </c>
      <c r="CX220" s="230">
        <v>3715</v>
      </c>
      <c r="CY220" s="228">
        <v>-876</v>
      </c>
      <c r="CZ220" s="229">
        <v>-0.23569999999999999</v>
      </c>
      <c r="DA220" s="228">
        <v>27.19</v>
      </c>
      <c r="DB220" s="228">
        <v>28.63</v>
      </c>
      <c r="DC220" s="228">
        <v>-1.44</v>
      </c>
      <c r="DD220" s="228">
        <v>-1.44</v>
      </c>
      <c r="DE220" s="228">
        <v>32.19</v>
      </c>
      <c r="DF220" s="228">
        <v>32.270000000000003</v>
      </c>
      <c r="DG220" s="228">
        <v>-5</v>
      </c>
      <c r="DH220" s="228">
        <v>-0.08</v>
      </c>
      <c r="DI220" s="228">
        <v>27.06</v>
      </c>
      <c r="DJ220" s="228">
        <v>28.28</v>
      </c>
      <c r="DK220" s="228">
        <v>-1.22</v>
      </c>
      <c r="DL220" s="228">
        <v>-1.22</v>
      </c>
      <c r="DM220" s="228">
        <v>27.66</v>
      </c>
      <c r="DN220" s="228">
        <v>29.31</v>
      </c>
      <c r="DO220" s="228">
        <v>-1.65</v>
      </c>
      <c r="DP220" s="228">
        <v>-1.65</v>
      </c>
      <c r="DQ220" s="228">
        <v>0.41</v>
      </c>
      <c r="DR220" s="228">
        <v>0.67</v>
      </c>
      <c r="DS220" s="228">
        <v>-0.26</v>
      </c>
      <c r="DT220" s="229">
        <v>-0.3881</v>
      </c>
      <c r="DU220" s="231">
        <v>2900</v>
      </c>
      <c r="DV220" s="231">
        <v>2800</v>
      </c>
      <c r="DW220" s="228">
        <v>0.47</v>
      </c>
      <c r="DX220" s="228">
        <v>0.52</v>
      </c>
      <c r="DY220" s="228">
        <v>-0.05</v>
      </c>
      <c r="DZ220" s="229">
        <v>-9.6199999999999994E-2</v>
      </c>
      <c r="EA220" s="229">
        <v>0.83479999999999999</v>
      </c>
      <c r="EB220" s="230">
        <v>6473600</v>
      </c>
      <c r="EC220" s="229">
        <v>2.2000000000000001E-3</v>
      </c>
      <c r="ED220" s="229">
        <v>0.83479999999999999</v>
      </c>
      <c r="EE220" s="228">
        <v>10.32</v>
      </c>
      <c r="EF220" s="229">
        <v>3.7000000000000002E-3</v>
      </c>
      <c r="EG220" s="230">
        <v>424659</v>
      </c>
      <c r="EH220" s="230">
        <v>409494</v>
      </c>
      <c r="EI220" s="229">
        <v>3.6999999999999998E-2</v>
      </c>
      <c r="EJ220" s="229">
        <v>0.32169999999999999</v>
      </c>
      <c r="EK220" s="231">
        <v>3155.24</v>
      </c>
      <c r="EL220" s="231">
        <v>1396.12</v>
      </c>
      <c r="EM220" s="231">
        <v>1985.98</v>
      </c>
      <c r="EN220" s="228">
        <v>0</v>
      </c>
      <c r="EO220" s="231">
        <v>6537.33</v>
      </c>
      <c r="EP220" s="231">
        <v>2819.32</v>
      </c>
      <c r="EQ220" s="231">
        <v>3718.01</v>
      </c>
      <c r="ER220" s="229">
        <v>1.3188</v>
      </c>
      <c r="ES220" s="228">
        <v>555.95000000000005</v>
      </c>
      <c r="ET220" s="228">
        <v>214.34</v>
      </c>
      <c r="EU220" s="231">
        <v>2084.9</v>
      </c>
      <c r="EV220" s="231">
        <v>47184665</v>
      </c>
      <c r="EW220" s="231">
        <v>2855.19</v>
      </c>
      <c r="EX220" s="231">
        <v>3734.47</v>
      </c>
      <c r="EY220" s="228">
        <v>-879.28</v>
      </c>
      <c r="EZ220" s="229">
        <v>-0.2354</v>
      </c>
      <c r="FA220" s="229">
        <v>0.21440000000000001</v>
      </c>
      <c r="FB220" s="227" t="s">
        <v>556</v>
      </c>
      <c r="FC220">
        <f t="shared" si="4"/>
        <v>0</v>
      </c>
    </row>
    <row r="221" spans="1:159" ht="17.25" thickBot="1" x14ac:dyDescent="0.3">
      <c r="A221" s="226">
        <v>45869</v>
      </c>
      <c r="B221" s="227" t="s">
        <v>157</v>
      </c>
      <c r="C221" s="227" t="s">
        <v>302</v>
      </c>
      <c r="D221" s="228">
        <v>50</v>
      </c>
      <c r="E221" s="228">
        <v>0</v>
      </c>
      <c r="F221" s="231">
        <v>12320</v>
      </c>
      <c r="G221" s="231">
        <v>12332</v>
      </c>
      <c r="H221" s="228">
        <v>-12</v>
      </c>
      <c r="I221" s="229">
        <v>-1E-3</v>
      </c>
      <c r="J221" s="231">
        <v>12249</v>
      </c>
      <c r="K221" s="231">
        <v>12268</v>
      </c>
      <c r="L221" s="228">
        <v>-19</v>
      </c>
      <c r="M221" s="229">
        <v>-1.5E-3</v>
      </c>
      <c r="N221" s="231">
        <v>12283</v>
      </c>
      <c r="O221" s="231">
        <v>12268</v>
      </c>
      <c r="P221" s="228">
        <v>15</v>
      </c>
      <c r="Q221" s="229">
        <v>1.1999999999999999E-3</v>
      </c>
      <c r="R221" s="231">
        <v>12320</v>
      </c>
      <c r="S221" s="231">
        <v>12332</v>
      </c>
      <c r="T221" s="228">
        <v>-12</v>
      </c>
      <c r="U221" s="229">
        <v>-1E-3</v>
      </c>
      <c r="V221" s="231">
        <v>12382</v>
      </c>
      <c r="W221" s="231">
        <v>12388</v>
      </c>
      <c r="X221" s="228">
        <v>-6</v>
      </c>
      <c r="Y221" s="229">
        <v>-5.0000000000000001E-4</v>
      </c>
      <c r="Z221" s="228">
        <v>71</v>
      </c>
      <c r="AA221" s="228">
        <v>0</v>
      </c>
      <c r="AB221" s="228">
        <v>71</v>
      </c>
      <c r="AC221" s="229">
        <v>5.7999999999999996E-3</v>
      </c>
      <c r="AD221" s="228">
        <v>34</v>
      </c>
      <c r="AE221" s="228">
        <v>0</v>
      </c>
      <c r="AF221" s="228">
        <v>34</v>
      </c>
      <c r="AG221" s="229">
        <v>2.8E-3</v>
      </c>
      <c r="AH221" s="228">
        <v>71</v>
      </c>
      <c r="AI221" s="228">
        <v>64</v>
      </c>
      <c r="AJ221" s="228">
        <v>7</v>
      </c>
      <c r="AK221" s="229">
        <v>5.7999999999999996E-3</v>
      </c>
      <c r="AL221" s="228">
        <v>133</v>
      </c>
      <c r="AM221" s="228">
        <v>120</v>
      </c>
      <c r="AN221" s="228">
        <v>13</v>
      </c>
      <c r="AO221" s="229">
        <v>1.09E-2</v>
      </c>
      <c r="AP221" s="231">
        <v>12269.87</v>
      </c>
      <c r="AQ221" s="231">
        <v>12326.2</v>
      </c>
      <c r="AR221" s="228">
        <v>0</v>
      </c>
      <c r="AS221" s="228">
        <v>618</v>
      </c>
      <c r="AT221" s="228">
        <v>905</v>
      </c>
      <c r="AU221" s="228">
        <v>-287</v>
      </c>
      <c r="AV221" s="229">
        <v>-0.31719999999999998</v>
      </c>
      <c r="AW221" s="228">
        <v>260</v>
      </c>
      <c r="AX221" s="228">
        <v>452</v>
      </c>
      <c r="AY221" s="228">
        <v>-192</v>
      </c>
      <c r="AZ221" s="229">
        <v>-0.4249</v>
      </c>
      <c r="BA221" s="228">
        <v>352</v>
      </c>
      <c r="BB221" s="228">
        <v>448</v>
      </c>
      <c r="BC221" s="228">
        <v>-95</v>
      </c>
      <c r="BD221" s="229">
        <v>-0.21279999999999999</v>
      </c>
      <c r="BE221" s="228">
        <v>5</v>
      </c>
      <c r="BF221" s="228">
        <v>5</v>
      </c>
      <c r="BG221" s="228">
        <v>0</v>
      </c>
      <c r="BH221" s="229">
        <v>0.1026</v>
      </c>
      <c r="BI221" s="230">
        <v>1210</v>
      </c>
      <c r="BJ221" s="230">
        <v>2278</v>
      </c>
      <c r="BK221" s="230">
        <v>-1068</v>
      </c>
      <c r="BL221" s="229">
        <v>-0.46889999999999998</v>
      </c>
      <c r="BM221" s="228">
        <v>515</v>
      </c>
      <c r="BN221" s="228">
        <v>629</v>
      </c>
      <c r="BO221" s="228">
        <v>-114</v>
      </c>
      <c r="BP221" s="229">
        <v>-0.1812</v>
      </c>
      <c r="BQ221" s="230">
        <v>2343</v>
      </c>
      <c r="BR221" s="230">
        <v>3812</v>
      </c>
      <c r="BS221" s="230">
        <v>-1469</v>
      </c>
      <c r="BT221" s="229">
        <v>-0.38540000000000002</v>
      </c>
      <c r="BU221" s="230">
        <v>153925</v>
      </c>
      <c r="BV221" s="230">
        <v>209738</v>
      </c>
      <c r="BW221" s="230">
        <v>-55813</v>
      </c>
      <c r="BX221" s="229">
        <v>-0.2661</v>
      </c>
      <c r="BY221" s="230">
        <v>3102</v>
      </c>
      <c r="BZ221" s="230">
        <v>3163</v>
      </c>
      <c r="CA221" s="228">
        <v>-61</v>
      </c>
      <c r="CB221" s="229">
        <v>-1.9199999999999998E-2</v>
      </c>
      <c r="CC221" s="228">
        <v>57</v>
      </c>
      <c r="CD221" s="228">
        <v>181</v>
      </c>
      <c r="CE221" s="228">
        <v>-123</v>
      </c>
      <c r="CF221" s="229">
        <v>-0.68220000000000003</v>
      </c>
      <c r="CG221" s="230">
        <v>3091</v>
      </c>
      <c r="CH221" s="230">
        <v>2973</v>
      </c>
      <c r="CI221" s="228">
        <v>118</v>
      </c>
      <c r="CJ221" s="229">
        <v>3.9800000000000002E-2</v>
      </c>
      <c r="CK221" s="228">
        <v>11</v>
      </c>
      <c r="CL221" s="228">
        <v>9</v>
      </c>
      <c r="CM221" s="228">
        <v>2</v>
      </c>
      <c r="CN221" s="229">
        <v>0.16880000000000001</v>
      </c>
      <c r="CO221" s="228">
        <v>313</v>
      </c>
      <c r="CP221" s="230">
        <v>1509</v>
      </c>
      <c r="CQ221" s="230">
        <v>-1196</v>
      </c>
      <c r="CR221" s="229">
        <v>-0.7923</v>
      </c>
      <c r="CS221" s="228">
        <v>164</v>
      </c>
      <c r="CT221" s="228">
        <v>691</v>
      </c>
      <c r="CU221" s="228">
        <v>-527</v>
      </c>
      <c r="CV221" s="229">
        <v>-0.76290000000000002</v>
      </c>
      <c r="CW221" s="230">
        <v>3580</v>
      </c>
      <c r="CX221" s="230">
        <v>5364</v>
      </c>
      <c r="CY221" s="230">
        <v>-1784</v>
      </c>
      <c r="CZ221" s="229">
        <v>-0.33260000000000001</v>
      </c>
      <c r="DA221" s="228">
        <v>20.54</v>
      </c>
      <c r="DB221" s="228">
        <v>20.52</v>
      </c>
      <c r="DC221" s="228">
        <v>0.02</v>
      </c>
      <c r="DD221" s="228">
        <v>0.02</v>
      </c>
      <c r="DE221" s="228">
        <v>26.62</v>
      </c>
      <c r="DF221" s="228">
        <v>26.68</v>
      </c>
      <c r="DG221" s="228">
        <v>-6.08</v>
      </c>
      <c r="DH221" s="228">
        <v>-0.06</v>
      </c>
      <c r="DI221" s="228">
        <v>20.350000000000001</v>
      </c>
      <c r="DJ221" s="228">
        <v>20.57</v>
      </c>
      <c r="DK221" s="228">
        <v>-0.22</v>
      </c>
      <c r="DL221" s="228">
        <v>-0.22</v>
      </c>
      <c r="DM221" s="228">
        <v>20.86</v>
      </c>
      <c r="DN221" s="228">
        <v>20.41</v>
      </c>
      <c r="DO221" s="228">
        <v>0.45</v>
      </c>
      <c r="DP221" s="228">
        <v>0.45</v>
      </c>
      <c r="DQ221" s="228">
        <v>0.52</v>
      </c>
      <c r="DR221" s="228">
        <v>0.46</v>
      </c>
      <c r="DS221" s="228">
        <v>0.06</v>
      </c>
      <c r="DT221" s="229">
        <v>0.13039999999999999</v>
      </c>
      <c r="DU221" s="231">
        <v>13800</v>
      </c>
      <c r="DV221" s="231">
        <v>11000</v>
      </c>
      <c r="DW221" s="228">
        <v>0.43</v>
      </c>
      <c r="DX221" s="228">
        <v>0.28000000000000003</v>
      </c>
      <c r="DY221" s="228">
        <v>0.15</v>
      </c>
      <c r="DZ221" s="229">
        <v>0.53569999999999995</v>
      </c>
      <c r="EA221" s="229">
        <v>0.98180000000000001</v>
      </c>
      <c r="EB221" s="230">
        <v>2420550</v>
      </c>
      <c r="EC221" s="229">
        <v>3.0000000000000001E-3</v>
      </c>
      <c r="ED221" s="229">
        <v>0.98180000000000001</v>
      </c>
      <c r="EE221" s="228">
        <v>56.33</v>
      </c>
      <c r="EF221" s="229">
        <v>4.5999999999999999E-3</v>
      </c>
      <c r="EG221" s="230">
        <v>79587</v>
      </c>
      <c r="EH221" s="230">
        <v>133142</v>
      </c>
      <c r="EI221" s="229">
        <v>-0.4022</v>
      </c>
      <c r="EJ221" s="229">
        <v>0.5171</v>
      </c>
      <c r="EK221" s="231">
        <v>1246</v>
      </c>
      <c r="EL221" s="228">
        <v>503.77</v>
      </c>
      <c r="EM221" s="228">
        <v>616.92999999999995</v>
      </c>
      <c r="EN221" s="228">
        <v>0</v>
      </c>
      <c r="EO221" s="231">
        <v>2366.6999999999998</v>
      </c>
      <c r="EP221" s="231">
        <v>3861.24</v>
      </c>
      <c r="EQ221" s="231">
        <v>-1494.54</v>
      </c>
      <c r="ER221" s="229">
        <v>-0.3871</v>
      </c>
      <c r="ES221" s="228">
        <v>325.60000000000002</v>
      </c>
      <c r="ET221" s="228">
        <v>157.76</v>
      </c>
      <c r="EU221" s="231">
        <v>3102.23</v>
      </c>
      <c r="EV221" s="231">
        <v>23922935</v>
      </c>
      <c r="EW221" s="231">
        <v>3585.6</v>
      </c>
      <c r="EX221" s="231">
        <v>5392.3</v>
      </c>
      <c r="EY221" s="231">
        <v>-1806.7</v>
      </c>
      <c r="EZ221" s="229">
        <v>-0.33510000000000001</v>
      </c>
      <c r="FA221" s="229">
        <v>0.1215</v>
      </c>
      <c r="FB221" s="227" t="s">
        <v>568</v>
      </c>
      <c r="FC221">
        <f t="shared" si="4"/>
        <v>0</v>
      </c>
    </row>
    <row r="222" spans="1:159" ht="17.25" thickBot="1" x14ac:dyDescent="0.3">
      <c r="A222" s="226">
        <v>45869</v>
      </c>
      <c r="B222" s="227" t="s">
        <v>172</v>
      </c>
      <c r="C222" s="227" t="s">
        <v>594</v>
      </c>
      <c r="D222" s="228">
        <v>4425</v>
      </c>
      <c r="E222" s="228">
        <v>0</v>
      </c>
      <c r="F222" s="228">
        <v>131.63</v>
      </c>
      <c r="G222" s="228">
        <v>131.54</v>
      </c>
      <c r="H222" s="228">
        <v>0.09</v>
      </c>
      <c r="I222" s="229">
        <v>6.9999999999999999E-4</v>
      </c>
      <c r="J222" s="228">
        <v>130.96</v>
      </c>
      <c r="K222" s="228">
        <v>130.76</v>
      </c>
      <c r="L222" s="228">
        <v>0.2</v>
      </c>
      <c r="M222" s="229">
        <v>1.5E-3</v>
      </c>
      <c r="N222" s="228">
        <v>130.85</v>
      </c>
      <c r="O222" s="228">
        <v>131.13</v>
      </c>
      <c r="P222" s="228">
        <v>-0.28000000000000003</v>
      </c>
      <c r="Q222" s="229">
        <v>-2.0999999999999999E-3</v>
      </c>
      <c r="R222" s="228">
        <v>131.63</v>
      </c>
      <c r="S222" s="228">
        <v>131.54</v>
      </c>
      <c r="T222" s="228">
        <v>0.09</v>
      </c>
      <c r="U222" s="229">
        <v>6.9999999999999999E-4</v>
      </c>
      <c r="V222" s="228">
        <v>132.18</v>
      </c>
      <c r="W222" s="228">
        <v>132</v>
      </c>
      <c r="X222" s="228">
        <v>0.18</v>
      </c>
      <c r="Y222" s="229">
        <v>1.4E-3</v>
      </c>
      <c r="Z222" s="228">
        <v>0.67</v>
      </c>
      <c r="AA222" s="228">
        <v>0.37</v>
      </c>
      <c r="AB222" s="228">
        <v>0.3</v>
      </c>
      <c r="AC222" s="229">
        <v>5.1000000000000004E-3</v>
      </c>
      <c r="AD222" s="228">
        <v>-0.11</v>
      </c>
      <c r="AE222" s="228">
        <v>0.37</v>
      </c>
      <c r="AF222" s="228">
        <v>-0.48</v>
      </c>
      <c r="AG222" s="229">
        <v>-8.0000000000000004E-4</v>
      </c>
      <c r="AH222" s="228">
        <v>0.67</v>
      </c>
      <c r="AI222" s="228">
        <v>0.78</v>
      </c>
      <c r="AJ222" s="228">
        <v>-0.11</v>
      </c>
      <c r="AK222" s="229">
        <v>5.1000000000000004E-3</v>
      </c>
      <c r="AL222" s="228">
        <v>1.22</v>
      </c>
      <c r="AM222" s="228">
        <v>1.24</v>
      </c>
      <c r="AN222" s="228">
        <v>-0.02</v>
      </c>
      <c r="AO222" s="229">
        <v>9.2999999999999992E-3</v>
      </c>
      <c r="AP222" s="228">
        <v>130.83000000000001</v>
      </c>
      <c r="AQ222" s="228">
        <v>131.52000000000001</v>
      </c>
      <c r="AR222" s="228">
        <v>0</v>
      </c>
      <c r="AS222" s="228">
        <v>746</v>
      </c>
      <c r="AT222" s="228">
        <v>738</v>
      </c>
      <c r="AU222" s="228">
        <v>8</v>
      </c>
      <c r="AV222" s="229">
        <v>1.0800000000000001E-2</v>
      </c>
      <c r="AW222" s="228">
        <v>277</v>
      </c>
      <c r="AX222" s="228">
        <v>342</v>
      </c>
      <c r="AY222" s="228">
        <v>-65</v>
      </c>
      <c r="AZ222" s="229">
        <v>-0.19040000000000001</v>
      </c>
      <c r="BA222" s="228">
        <v>461</v>
      </c>
      <c r="BB222" s="228">
        <v>388</v>
      </c>
      <c r="BC222" s="228">
        <v>72</v>
      </c>
      <c r="BD222" s="229">
        <v>0.18659999999999999</v>
      </c>
      <c r="BE222" s="228">
        <v>9</v>
      </c>
      <c r="BF222" s="228">
        <v>8</v>
      </c>
      <c r="BG222" s="228">
        <v>1</v>
      </c>
      <c r="BH222" s="229">
        <v>6.9900000000000004E-2</v>
      </c>
      <c r="BI222" s="228">
        <v>324</v>
      </c>
      <c r="BJ222" s="228">
        <v>213</v>
      </c>
      <c r="BK222" s="228">
        <v>112</v>
      </c>
      <c r="BL222" s="229">
        <v>0.52480000000000004</v>
      </c>
      <c r="BM222" s="228">
        <v>268</v>
      </c>
      <c r="BN222" s="228">
        <v>107</v>
      </c>
      <c r="BO222" s="228">
        <v>161</v>
      </c>
      <c r="BP222" s="229">
        <v>1.5139</v>
      </c>
      <c r="BQ222" s="230">
        <v>1339</v>
      </c>
      <c r="BR222" s="230">
        <v>1058</v>
      </c>
      <c r="BS222" s="228">
        <v>281</v>
      </c>
      <c r="BT222" s="229">
        <v>0.26569999999999999</v>
      </c>
      <c r="BU222" s="230">
        <v>13591705</v>
      </c>
      <c r="BV222" s="230">
        <v>11198548</v>
      </c>
      <c r="BW222" s="230">
        <v>2393157</v>
      </c>
      <c r="BX222" s="229">
        <v>0.2137</v>
      </c>
      <c r="BY222" s="230">
        <v>1024</v>
      </c>
      <c r="BZ222" s="230">
        <v>1203</v>
      </c>
      <c r="CA222" s="228">
        <v>-179</v>
      </c>
      <c r="CB222" s="229">
        <v>-0.1487</v>
      </c>
      <c r="CC222" s="228">
        <v>239</v>
      </c>
      <c r="CD222" s="228">
        <v>269</v>
      </c>
      <c r="CE222" s="228">
        <v>-30</v>
      </c>
      <c r="CF222" s="229">
        <v>-0.112</v>
      </c>
      <c r="CG222" s="228">
        <v>999</v>
      </c>
      <c r="CH222" s="228">
        <v>914</v>
      </c>
      <c r="CI222" s="228">
        <v>85</v>
      </c>
      <c r="CJ222" s="229">
        <v>9.2899999999999996E-2</v>
      </c>
      <c r="CK222" s="228">
        <v>26</v>
      </c>
      <c r="CL222" s="228">
        <v>20</v>
      </c>
      <c r="CM222" s="228">
        <v>6</v>
      </c>
      <c r="CN222" s="229">
        <v>0.27460000000000001</v>
      </c>
      <c r="CO222" s="228">
        <v>251</v>
      </c>
      <c r="CP222" s="228">
        <v>620</v>
      </c>
      <c r="CQ222" s="228">
        <v>-368</v>
      </c>
      <c r="CR222" s="229">
        <v>-0.59450000000000003</v>
      </c>
      <c r="CS222" s="228">
        <v>187</v>
      </c>
      <c r="CT222" s="228">
        <v>318</v>
      </c>
      <c r="CU222" s="228">
        <v>-130</v>
      </c>
      <c r="CV222" s="229">
        <v>-0.41</v>
      </c>
      <c r="CW222" s="230">
        <v>1463</v>
      </c>
      <c r="CX222" s="230">
        <v>2141</v>
      </c>
      <c r="CY222" s="228">
        <v>-678</v>
      </c>
      <c r="CZ222" s="229">
        <v>-0.3165</v>
      </c>
      <c r="DA222" s="228">
        <v>27.07</v>
      </c>
      <c r="DB222" s="228">
        <v>27.24</v>
      </c>
      <c r="DC222" s="228">
        <v>-0.17</v>
      </c>
      <c r="DD222" s="228">
        <v>-0.17</v>
      </c>
      <c r="DE222" s="228">
        <v>45.82</v>
      </c>
      <c r="DF222" s="228">
        <v>45.93</v>
      </c>
      <c r="DG222" s="228">
        <v>-18.75</v>
      </c>
      <c r="DH222" s="228">
        <v>-0.11</v>
      </c>
      <c r="DI222" s="228">
        <v>27.67</v>
      </c>
      <c r="DJ222" s="228">
        <v>27.83</v>
      </c>
      <c r="DK222" s="228">
        <v>-0.16</v>
      </c>
      <c r="DL222" s="228">
        <v>-0.16</v>
      </c>
      <c r="DM222" s="228">
        <v>26.26</v>
      </c>
      <c r="DN222" s="228">
        <v>26.08</v>
      </c>
      <c r="DO222" s="228">
        <v>0.18</v>
      </c>
      <c r="DP222" s="228">
        <v>0.18</v>
      </c>
      <c r="DQ222" s="228">
        <v>0.75</v>
      </c>
      <c r="DR222" s="228">
        <v>0.51</v>
      </c>
      <c r="DS222" s="228">
        <v>0.24</v>
      </c>
      <c r="DT222" s="229">
        <v>0.47060000000000002</v>
      </c>
      <c r="DU222" s="228">
        <v>155.25</v>
      </c>
      <c r="DV222" s="228">
        <v>135.25</v>
      </c>
      <c r="DW222" s="228">
        <v>0.83</v>
      </c>
      <c r="DX222" s="228">
        <v>0.5</v>
      </c>
      <c r="DY222" s="228">
        <v>0.33</v>
      </c>
      <c r="DZ222" s="229">
        <v>0.66</v>
      </c>
      <c r="EA222" s="229">
        <v>0.81069999999999998</v>
      </c>
      <c r="EB222" s="230">
        <v>70946025</v>
      </c>
      <c r="EC222" s="229">
        <v>6.0000000000000001E-3</v>
      </c>
      <c r="ED222" s="229">
        <v>0.81069999999999998</v>
      </c>
      <c r="EE222" s="228">
        <v>0.69</v>
      </c>
      <c r="EF222" s="229">
        <v>5.3E-3</v>
      </c>
      <c r="EG222" s="230">
        <v>5620874</v>
      </c>
      <c r="EH222" s="230">
        <v>6160107</v>
      </c>
      <c r="EI222" s="229">
        <v>-8.7499999999999994E-2</v>
      </c>
      <c r="EJ222" s="229">
        <v>0.41360000000000002</v>
      </c>
      <c r="EK222" s="228">
        <v>339.24</v>
      </c>
      <c r="EL222" s="228">
        <v>274.37</v>
      </c>
      <c r="EM222" s="228">
        <v>744.32</v>
      </c>
      <c r="EN222" s="228">
        <v>0</v>
      </c>
      <c r="EO222" s="231">
        <v>1357.93</v>
      </c>
      <c r="EP222" s="231">
        <v>1077.81</v>
      </c>
      <c r="EQ222" s="228">
        <v>280.11</v>
      </c>
      <c r="ER222" s="229">
        <v>0.25990000000000002</v>
      </c>
      <c r="ES222" s="228">
        <v>265</v>
      </c>
      <c r="ET222" s="228">
        <v>190.53</v>
      </c>
      <c r="EU222" s="231">
        <v>1024.3699999999999</v>
      </c>
      <c r="EV222" s="231">
        <v>385388951</v>
      </c>
      <c r="EW222" s="231">
        <v>1479.89</v>
      </c>
      <c r="EX222" s="231">
        <v>2213.9699999999998</v>
      </c>
      <c r="EY222" s="228">
        <v>-734.08</v>
      </c>
      <c r="EZ222" s="229">
        <v>-0.33160000000000001</v>
      </c>
      <c r="FA222" s="229">
        <v>0.28839999999999999</v>
      </c>
      <c r="FB222" s="227" t="s">
        <v>556</v>
      </c>
      <c r="FC222">
        <f t="shared" si="4"/>
        <v>0</v>
      </c>
    </row>
    <row r="223" spans="1:159" ht="17.25" thickBot="1" x14ac:dyDescent="0.3">
      <c r="A223" s="226">
        <v>45869</v>
      </c>
      <c r="B223" s="227" t="s">
        <v>168</v>
      </c>
      <c r="C223" s="227" t="s">
        <v>569</v>
      </c>
      <c r="D223" s="228">
        <v>400</v>
      </c>
      <c r="E223" s="228">
        <v>0</v>
      </c>
      <c r="F223" s="231">
        <v>1338</v>
      </c>
      <c r="G223" s="231">
        <v>1314.7</v>
      </c>
      <c r="H223" s="228">
        <v>23.3</v>
      </c>
      <c r="I223" s="229">
        <v>1.77E-2</v>
      </c>
      <c r="J223" s="231">
        <v>1340.2</v>
      </c>
      <c r="K223" s="231">
        <v>1315.8</v>
      </c>
      <c r="L223" s="228">
        <v>24.4</v>
      </c>
      <c r="M223" s="229">
        <v>1.8499999999999999E-2</v>
      </c>
      <c r="N223" s="231">
        <v>1337.9</v>
      </c>
      <c r="O223" s="231">
        <v>1315.7</v>
      </c>
      <c r="P223" s="228">
        <v>22.2</v>
      </c>
      <c r="Q223" s="229">
        <v>1.6899999999999998E-2</v>
      </c>
      <c r="R223" s="231">
        <v>1338</v>
      </c>
      <c r="S223" s="231">
        <v>1314.7</v>
      </c>
      <c r="T223" s="228">
        <v>23.3</v>
      </c>
      <c r="U223" s="229">
        <v>1.77E-2</v>
      </c>
      <c r="V223" s="231">
        <v>1346</v>
      </c>
      <c r="W223" s="231">
        <v>1322.7</v>
      </c>
      <c r="X223" s="228">
        <v>23.3</v>
      </c>
      <c r="Y223" s="229">
        <v>1.7600000000000001E-2</v>
      </c>
      <c r="Z223" s="228">
        <v>-2.2000000000000002</v>
      </c>
      <c r="AA223" s="228">
        <v>-0.1</v>
      </c>
      <c r="AB223" s="228">
        <v>-2.1</v>
      </c>
      <c r="AC223" s="229">
        <v>-1.6000000000000001E-3</v>
      </c>
      <c r="AD223" s="228">
        <v>-2.2999999999999998</v>
      </c>
      <c r="AE223" s="228">
        <v>-0.1</v>
      </c>
      <c r="AF223" s="228">
        <v>-2.2000000000000002</v>
      </c>
      <c r="AG223" s="229">
        <v>-1.6999999999999999E-3</v>
      </c>
      <c r="AH223" s="228">
        <v>-2.2000000000000002</v>
      </c>
      <c r="AI223" s="228">
        <v>-1.1000000000000001</v>
      </c>
      <c r="AJ223" s="228">
        <v>-1.1000000000000001</v>
      </c>
      <c r="AK223" s="229">
        <v>-1.6000000000000001E-3</v>
      </c>
      <c r="AL223" s="228">
        <v>5.8</v>
      </c>
      <c r="AM223" s="228">
        <v>6.9</v>
      </c>
      <c r="AN223" s="228">
        <v>-1.1000000000000001</v>
      </c>
      <c r="AO223" s="229">
        <v>4.3E-3</v>
      </c>
      <c r="AP223" s="231">
        <v>1332.53</v>
      </c>
      <c r="AQ223" s="231">
        <v>1331.35</v>
      </c>
      <c r="AR223" s="228">
        <v>0</v>
      </c>
      <c r="AS223" s="230">
        <v>1091</v>
      </c>
      <c r="AT223" s="228">
        <v>850</v>
      </c>
      <c r="AU223" s="228">
        <v>241</v>
      </c>
      <c r="AV223" s="229">
        <v>0.28410000000000002</v>
      </c>
      <c r="AW223" s="228">
        <v>481</v>
      </c>
      <c r="AX223" s="228">
        <v>420</v>
      </c>
      <c r="AY223" s="228">
        <v>61</v>
      </c>
      <c r="AZ223" s="229">
        <v>0.14410000000000001</v>
      </c>
      <c r="BA223" s="228">
        <v>596</v>
      </c>
      <c r="BB223" s="228">
        <v>426</v>
      </c>
      <c r="BC223" s="228">
        <v>171</v>
      </c>
      <c r="BD223" s="229">
        <v>0.40050000000000002</v>
      </c>
      <c r="BE223" s="228">
        <v>15</v>
      </c>
      <c r="BF223" s="228">
        <v>4</v>
      </c>
      <c r="BG223" s="228">
        <v>10</v>
      </c>
      <c r="BH223" s="229">
        <v>2.5</v>
      </c>
      <c r="BI223" s="228">
        <v>888</v>
      </c>
      <c r="BJ223" s="228">
        <v>408</v>
      </c>
      <c r="BK223" s="228">
        <v>480</v>
      </c>
      <c r="BL223" s="229">
        <v>1.1767000000000001</v>
      </c>
      <c r="BM223" s="228">
        <v>483</v>
      </c>
      <c r="BN223" s="228">
        <v>231</v>
      </c>
      <c r="BO223" s="228">
        <v>251</v>
      </c>
      <c r="BP223" s="229">
        <v>1.0849</v>
      </c>
      <c r="BQ223" s="230">
        <v>2462</v>
      </c>
      <c r="BR223" s="230">
        <v>1490</v>
      </c>
      <c r="BS223" s="228">
        <v>973</v>
      </c>
      <c r="BT223" s="229">
        <v>0.65310000000000001</v>
      </c>
      <c r="BU223" s="230">
        <v>1518382</v>
      </c>
      <c r="BV223" s="230">
        <v>557355</v>
      </c>
      <c r="BW223" s="230">
        <v>961027</v>
      </c>
      <c r="BX223" s="229">
        <v>1.7242999999999999</v>
      </c>
      <c r="BY223" s="230">
        <v>2155</v>
      </c>
      <c r="BZ223" s="230">
        <v>2326</v>
      </c>
      <c r="CA223" s="228">
        <v>-171</v>
      </c>
      <c r="CB223" s="229">
        <v>-7.3400000000000007E-2</v>
      </c>
      <c r="CC223" s="228">
        <v>117</v>
      </c>
      <c r="CD223" s="228">
        <v>366</v>
      </c>
      <c r="CE223" s="228">
        <v>-249</v>
      </c>
      <c r="CF223" s="229">
        <v>-0.68100000000000005</v>
      </c>
      <c r="CG223" s="230">
        <v>2122</v>
      </c>
      <c r="CH223" s="230">
        <v>1935</v>
      </c>
      <c r="CI223" s="228">
        <v>187</v>
      </c>
      <c r="CJ223" s="229">
        <v>9.6500000000000002E-2</v>
      </c>
      <c r="CK223" s="228">
        <v>34</v>
      </c>
      <c r="CL223" s="228">
        <v>26</v>
      </c>
      <c r="CM223" s="228">
        <v>8</v>
      </c>
      <c r="CN223" s="229">
        <v>0.31879999999999997</v>
      </c>
      <c r="CO223" s="228">
        <v>307</v>
      </c>
      <c r="CP223" s="228">
        <v>658</v>
      </c>
      <c r="CQ223" s="228">
        <v>-352</v>
      </c>
      <c r="CR223" s="229">
        <v>-0.53410000000000002</v>
      </c>
      <c r="CS223" s="228">
        <v>347</v>
      </c>
      <c r="CT223" s="228">
        <v>582</v>
      </c>
      <c r="CU223" s="228">
        <v>-235</v>
      </c>
      <c r="CV223" s="229">
        <v>-0.4037</v>
      </c>
      <c r="CW223" s="230">
        <v>2809</v>
      </c>
      <c r="CX223" s="230">
        <v>3566</v>
      </c>
      <c r="CY223" s="228">
        <v>-757</v>
      </c>
      <c r="CZ223" s="229">
        <v>-0.21229999999999999</v>
      </c>
      <c r="DA223" s="228">
        <v>24.09</v>
      </c>
      <c r="DB223" s="228">
        <v>25.08</v>
      </c>
      <c r="DC223" s="228">
        <v>-0.99</v>
      </c>
      <c r="DD223" s="228">
        <v>-0.99</v>
      </c>
      <c r="DE223" s="228">
        <v>29.93</v>
      </c>
      <c r="DF223" s="228">
        <v>29.9</v>
      </c>
      <c r="DG223" s="228">
        <v>-5.84</v>
      </c>
      <c r="DH223" s="228">
        <v>0.03</v>
      </c>
      <c r="DI223" s="228">
        <v>23.96</v>
      </c>
      <c r="DJ223" s="228">
        <v>25.31</v>
      </c>
      <c r="DK223" s="228">
        <v>-1.35</v>
      </c>
      <c r="DL223" s="228">
        <v>-1.35</v>
      </c>
      <c r="DM223" s="228">
        <v>24.35</v>
      </c>
      <c r="DN223" s="228">
        <v>24.8</v>
      </c>
      <c r="DO223" s="228">
        <v>-0.45</v>
      </c>
      <c r="DP223" s="228">
        <v>-0.45</v>
      </c>
      <c r="DQ223" s="228">
        <v>1.1299999999999999</v>
      </c>
      <c r="DR223" s="228">
        <v>0.88</v>
      </c>
      <c r="DS223" s="228">
        <v>0.25</v>
      </c>
      <c r="DT223" s="229">
        <v>0.28410000000000002</v>
      </c>
      <c r="DU223" s="231">
        <v>1400</v>
      </c>
      <c r="DV223" s="231">
        <v>1320</v>
      </c>
      <c r="DW223" s="228">
        <v>0.54</v>
      </c>
      <c r="DX223" s="228">
        <v>0.56999999999999995</v>
      </c>
      <c r="DY223" s="228">
        <v>-0.03</v>
      </c>
      <c r="DZ223" s="229">
        <v>-5.2600000000000001E-2</v>
      </c>
      <c r="EA223" s="229">
        <v>0.94869999999999999</v>
      </c>
      <c r="EB223" s="230">
        <v>14653200</v>
      </c>
      <c r="EC223" s="229">
        <v>1E-4</v>
      </c>
      <c r="ED223" s="229">
        <v>0.94869999999999999</v>
      </c>
      <c r="EE223" s="228">
        <v>-1.18</v>
      </c>
      <c r="EF223" s="229">
        <v>-8.9999999999999998E-4</v>
      </c>
      <c r="EG223" s="230">
        <v>883250</v>
      </c>
      <c r="EH223" s="230">
        <v>295639</v>
      </c>
      <c r="EI223" s="229">
        <v>1.9876</v>
      </c>
      <c r="EJ223" s="229">
        <v>0.58169999999999999</v>
      </c>
      <c r="EK223" s="228">
        <v>925.7</v>
      </c>
      <c r="EL223" s="228">
        <v>492.75</v>
      </c>
      <c r="EM223" s="231">
        <v>1086.58</v>
      </c>
      <c r="EN223" s="228">
        <v>0</v>
      </c>
      <c r="EO223" s="231">
        <v>2505.04</v>
      </c>
      <c r="EP223" s="231">
        <v>1498.09</v>
      </c>
      <c r="EQ223" s="231">
        <v>1006.95</v>
      </c>
      <c r="ER223" s="229">
        <v>0.67220000000000002</v>
      </c>
      <c r="ES223" s="228">
        <v>319.05</v>
      </c>
      <c r="ET223" s="228">
        <v>352.75</v>
      </c>
      <c r="EU223" s="231">
        <v>2155.67</v>
      </c>
      <c r="EV223" s="231">
        <v>63025888</v>
      </c>
      <c r="EW223" s="231">
        <v>2827.46</v>
      </c>
      <c r="EX223" s="231">
        <v>3590.46</v>
      </c>
      <c r="EY223" s="228">
        <v>-763</v>
      </c>
      <c r="EZ223" s="229">
        <v>-0.21249999999999999</v>
      </c>
      <c r="FA223" s="229">
        <v>0.33310000000000001</v>
      </c>
      <c r="FB223" s="227" t="s">
        <v>556</v>
      </c>
      <c r="FC223">
        <f t="shared" si="4"/>
        <v>0</v>
      </c>
    </row>
    <row r="224" spans="1:159" ht="17.25" thickBot="1" x14ac:dyDescent="0.3">
      <c r="A224" s="226">
        <v>45869</v>
      </c>
      <c r="B224" s="227" t="s">
        <v>162</v>
      </c>
      <c r="C224" s="227" t="s">
        <v>676</v>
      </c>
      <c r="D224" s="228">
        <v>550</v>
      </c>
      <c r="E224" s="228">
        <v>0</v>
      </c>
      <c r="F224" s="231">
        <v>1047.7</v>
      </c>
      <c r="G224" s="231">
        <v>1076.5</v>
      </c>
      <c r="H224" s="228">
        <v>-28.8</v>
      </c>
      <c r="I224" s="229">
        <v>-2.6800000000000001E-2</v>
      </c>
      <c r="J224" s="231">
        <v>1041.4000000000001</v>
      </c>
      <c r="K224" s="231">
        <v>1069.8</v>
      </c>
      <c r="L224" s="228">
        <v>-28.4</v>
      </c>
      <c r="M224" s="229">
        <v>-2.6499999999999999E-2</v>
      </c>
      <c r="N224" s="231">
        <v>1043.3</v>
      </c>
      <c r="O224" s="231">
        <v>1071.0999999999999</v>
      </c>
      <c r="P224" s="228">
        <v>-27.8</v>
      </c>
      <c r="Q224" s="229">
        <v>-2.5999999999999999E-2</v>
      </c>
      <c r="R224" s="231">
        <v>1047.7</v>
      </c>
      <c r="S224" s="231">
        <v>1076.5</v>
      </c>
      <c r="T224" s="228">
        <v>-28.8</v>
      </c>
      <c r="U224" s="229">
        <v>-2.6800000000000001E-2</v>
      </c>
      <c r="V224" s="231">
        <v>1053.3</v>
      </c>
      <c r="W224" s="231">
        <v>1081.3</v>
      </c>
      <c r="X224" s="228">
        <v>-28</v>
      </c>
      <c r="Y224" s="229">
        <v>-2.5899999999999999E-2</v>
      </c>
      <c r="Z224" s="228">
        <v>6.3</v>
      </c>
      <c r="AA224" s="228">
        <v>1.3</v>
      </c>
      <c r="AB224" s="228">
        <v>5</v>
      </c>
      <c r="AC224" s="229">
        <v>6.0000000000000001E-3</v>
      </c>
      <c r="AD224" s="228">
        <v>1.9</v>
      </c>
      <c r="AE224" s="228">
        <v>1.3</v>
      </c>
      <c r="AF224" s="228">
        <v>0.6</v>
      </c>
      <c r="AG224" s="229">
        <v>1.8E-3</v>
      </c>
      <c r="AH224" s="228">
        <v>6.3</v>
      </c>
      <c r="AI224" s="228">
        <v>6.7</v>
      </c>
      <c r="AJ224" s="228">
        <v>-0.4</v>
      </c>
      <c r="AK224" s="229">
        <v>6.0000000000000001E-3</v>
      </c>
      <c r="AL224" s="228">
        <v>11.9</v>
      </c>
      <c r="AM224" s="228">
        <v>11.5</v>
      </c>
      <c r="AN224" s="228">
        <v>0.4</v>
      </c>
      <c r="AO224" s="229">
        <v>1.14E-2</v>
      </c>
      <c r="AP224" s="231">
        <v>1050.8399999999999</v>
      </c>
      <c r="AQ224" s="231">
        <v>1056.3800000000001</v>
      </c>
      <c r="AR224" s="228">
        <v>0</v>
      </c>
      <c r="AS224" s="228">
        <v>140</v>
      </c>
      <c r="AT224" s="228">
        <v>220</v>
      </c>
      <c r="AU224" s="228">
        <v>-80</v>
      </c>
      <c r="AV224" s="229">
        <v>-0.3644</v>
      </c>
      <c r="AW224" s="228">
        <v>51</v>
      </c>
      <c r="AX224" s="228">
        <v>102</v>
      </c>
      <c r="AY224" s="228">
        <v>-51</v>
      </c>
      <c r="AZ224" s="229">
        <v>-0.49830000000000002</v>
      </c>
      <c r="BA224" s="228">
        <v>88</v>
      </c>
      <c r="BB224" s="228">
        <v>117</v>
      </c>
      <c r="BC224" s="228">
        <v>-29</v>
      </c>
      <c r="BD224" s="229">
        <v>-0.24990000000000001</v>
      </c>
      <c r="BE224" s="228">
        <v>1</v>
      </c>
      <c r="BF224" s="228">
        <v>0</v>
      </c>
      <c r="BG224" s="228">
        <v>0</v>
      </c>
      <c r="BH224" s="229">
        <v>0.5</v>
      </c>
      <c r="BI224" s="228">
        <v>136</v>
      </c>
      <c r="BJ224" s="228">
        <v>63</v>
      </c>
      <c r="BK224" s="228">
        <v>72</v>
      </c>
      <c r="BL224" s="229">
        <v>1.1489</v>
      </c>
      <c r="BM224" s="228">
        <v>73</v>
      </c>
      <c r="BN224" s="228">
        <v>75</v>
      </c>
      <c r="BO224" s="228">
        <v>-2</v>
      </c>
      <c r="BP224" s="229">
        <v>-2.47E-2</v>
      </c>
      <c r="BQ224" s="228">
        <v>348</v>
      </c>
      <c r="BR224" s="228">
        <v>357</v>
      </c>
      <c r="BS224" s="228">
        <v>-9</v>
      </c>
      <c r="BT224" s="229">
        <v>-2.64E-2</v>
      </c>
      <c r="BU224" s="230">
        <v>430744</v>
      </c>
      <c r="BV224" s="230">
        <v>281214</v>
      </c>
      <c r="BW224" s="230">
        <v>149530</v>
      </c>
      <c r="BX224" s="229">
        <v>0.53169999999999995</v>
      </c>
      <c r="BY224" s="228">
        <v>204</v>
      </c>
      <c r="BZ224" s="228">
        <v>247</v>
      </c>
      <c r="CA224" s="228">
        <v>-43</v>
      </c>
      <c r="CB224" s="229">
        <v>-0.1744</v>
      </c>
      <c r="CC224" s="228">
        <v>34</v>
      </c>
      <c r="CD224" s="228">
        <v>58</v>
      </c>
      <c r="CE224" s="228">
        <v>-24</v>
      </c>
      <c r="CF224" s="229">
        <v>-0.41770000000000002</v>
      </c>
      <c r="CG224" s="228">
        <v>202</v>
      </c>
      <c r="CH224" s="228">
        <v>187</v>
      </c>
      <c r="CI224" s="228">
        <v>15</v>
      </c>
      <c r="CJ224" s="229">
        <v>8.1000000000000003E-2</v>
      </c>
      <c r="CK224" s="228">
        <v>2</v>
      </c>
      <c r="CL224" s="228">
        <v>2</v>
      </c>
      <c r="CM224" s="228">
        <v>0</v>
      </c>
      <c r="CN224" s="229">
        <v>0.14810000000000001</v>
      </c>
      <c r="CO224" s="228">
        <v>24</v>
      </c>
      <c r="CP224" s="228">
        <v>134</v>
      </c>
      <c r="CQ224" s="228">
        <v>-109</v>
      </c>
      <c r="CR224" s="229">
        <v>-0.81930000000000003</v>
      </c>
      <c r="CS224" s="228">
        <v>31</v>
      </c>
      <c r="CT224" s="228">
        <v>84</v>
      </c>
      <c r="CU224" s="228">
        <v>-52</v>
      </c>
      <c r="CV224" s="229">
        <v>-0.62590000000000001</v>
      </c>
      <c r="CW224" s="228">
        <v>260</v>
      </c>
      <c r="CX224" s="228">
        <v>465</v>
      </c>
      <c r="CY224" s="228">
        <v>-205</v>
      </c>
      <c r="CZ224" s="229">
        <v>-0.44130000000000003</v>
      </c>
      <c r="DA224" s="228">
        <v>39.51</v>
      </c>
      <c r="DB224" s="228">
        <v>43.52</v>
      </c>
      <c r="DC224" s="228">
        <v>-4.01</v>
      </c>
      <c r="DD224" s="228">
        <v>-4.01</v>
      </c>
      <c r="DE224" s="228">
        <v>43.19</v>
      </c>
      <c r="DF224" s="228">
        <v>43.14</v>
      </c>
      <c r="DG224" s="228">
        <v>-3.68</v>
      </c>
      <c r="DH224" s="228">
        <v>0.05</v>
      </c>
      <c r="DI224" s="228">
        <v>37.79</v>
      </c>
      <c r="DJ224" s="228">
        <v>39.479999999999997</v>
      </c>
      <c r="DK224" s="228">
        <v>-1.69</v>
      </c>
      <c r="DL224" s="228">
        <v>-1.69</v>
      </c>
      <c r="DM224" s="228">
        <v>40.65</v>
      </c>
      <c r="DN224" s="228">
        <v>44.64</v>
      </c>
      <c r="DO224" s="228">
        <v>-3.99</v>
      </c>
      <c r="DP224" s="228">
        <v>-3.99</v>
      </c>
      <c r="DQ224" s="228">
        <v>1.3</v>
      </c>
      <c r="DR224" s="228">
        <v>0.63</v>
      </c>
      <c r="DS224" s="228">
        <v>0.67</v>
      </c>
      <c r="DT224" s="229">
        <v>1.0634999999999999</v>
      </c>
      <c r="DU224" s="231">
        <v>1200</v>
      </c>
      <c r="DV224" s="231">
        <v>1000</v>
      </c>
      <c r="DW224" s="228">
        <v>0.54</v>
      </c>
      <c r="DX224" s="228">
        <v>1.18</v>
      </c>
      <c r="DY224" s="228">
        <v>-0.64</v>
      </c>
      <c r="DZ224" s="229">
        <v>-0.54239999999999999</v>
      </c>
      <c r="EA224" s="229">
        <v>0.85699999999999998</v>
      </c>
      <c r="EB224" s="230">
        <v>1801250</v>
      </c>
      <c r="EC224" s="229">
        <v>4.1999999999999997E-3</v>
      </c>
      <c r="ED224" s="229">
        <v>0.85699999999999998</v>
      </c>
      <c r="EE224" s="228">
        <v>5.54</v>
      </c>
      <c r="EF224" s="229">
        <v>5.3E-3</v>
      </c>
      <c r="EG224" s="230">
        <v>186531</v>
      </c>
      <c r="EH224" s="230">
        <v>134292</v>
      </c>
      <c r="EI224" s="229">
        <v>0.38900000000000001</v>
      </c>
      <c r="EJ224" s="229">
        <v>0.433</v>
      </c>
      <c r="EK224" s="228">
        <v>148.63</v>
      </c>
      <c r="EL224" s="228">
        <v>72.5</v>
      </c>
      <c r="EM224" s="228">
        <v>140.63</v>
      </c>
      <c r="EN224" s="228">
        <v>0</v>
      </c>
      <c r="EO224" s="228">
        <v>361.75</v>
      </c>
      <c r="EP224" s="228">
        <v>367.19</v>
      </c>
      <c r="EQ224" s="228">
        <v>-5.44</v>
      </c>
      <c r="ER224" s="229">
        <v>-1.4800000000000001E-2</v>
      </c>
      <c r="ES224" s="228">
        <v>26.42</v>
      </c>
      <c r="ET224" s="228">
        <v>30.25</v>
      </c>
      <c r="EU224" s="228">
        <v>204.11</v>
      </c>
      <c r="EV224" s="231">
        <v>35881800</v>
      </c>
      <c r="EW224" s="228">
        <v>260.77999999999997</v>
      </c>
      <c r="EX224" s="228">
        <v>483.08</v>
      </c>
      <c r="EY224" s="228">
        <v>-222.3</v>
      </c>
      <c r="EZ224" s="229">
        <v>-0.4602</v>
      </c>
      <c r="FA224" s="229">
        <v>6.9099999999999995E-2</v>
      </c>
      <c r="FB224" s="227" t="s">
        <v>568</v>
      </c>
      <c r="FC224">
        <f t="shared" si="4"/>
        <v>0</v>
      </c>
    </row>
    <row r="225" spans="1:159" ht="17.25" thickBot="1" x14ac:dyDescent="0.3">
      <c r="A225" s="226">
        <v>45869</v>
      </c>
      <c r="B225" s="227" t="s">
        <v>498</v>
      </c>
      <c r="C225" s="227" t="s">
        <v>303</v>
      </c>
      <c r="D225" s="228">
        <v>1355</v>
      </c>
      <c r="E225" s="228">
        <v>0</v>
      </c>
      <c r="F225" s="228">
        <v>707.55</v>
      </c>
      <c r="G225" s="228">
        <v>724.8</v>
      </c>
      <c r="H225" s="228">
        <v>-17.25</v>
      </c>
      <c r="I225" s="229">
        <v>-2.3800000000000002E-2</v>
      </c>
      <c r="J225" s="228">
        <v>703.8</v>
      </c>
      <c r="K225" s="228">
        <v>721.9</v>
      </c>
      <c r="L225" s="228">
        <v>-18.100000000000001</v>
      </c>
      <c r="M225" s="229">
        <v>-2.5100000000000001E-2</v>
      </c>
      <c r="N225" s="228">
        <v>703.7</v>
      </c>
      <c r="O225" s="228">
        <v>721.95</v>
      </c>
      <c r="P225" s="228">
        <v>-18.25</v>
      </c>
      <c r="Q225" s="229">
        <v>-2.53E-2</v>
      </c>
      <c r="R225" s="228">
        <v>707.55</v>
      </c>
      <c r="S225" s="228">
        <v>724.8</v>
      </c>
      <c r="T225" s="228">
        <v>-17.25</v>
      </c>
      <c r="U225" s="229">
        <v>-2.3800000000000002E-2</v>
      </c>
      <c r="V225" s="228">
        <v>705.15</v>
      </c>
      <c r="W225" s="228">
        <v>721.55</v>
      </c>
      <c r="X225" s="228">
        <v>-16.399999999999999</v>
      </c>
      <c r="Y225" s="229">
        <v>-2.2700000000000001E-2</v>
      </c>
      <c r="Z225" s="228">
        <v>3.75</v>
      </c>
      <c r="AA225" s="228">
        <v>0.05</v>
      </c>
      <c r="AB225" s="228">
        <v>3.7</v>
      </c>
      <c r="AC225" s="229">
        <v>5.3E-3</v>
      </c>
      <c r="AD225" s="228">
        <v>-0.1</v>
      </c>
      <c r="AE225" s="228">
        <v>0.05</v>
      </c>
      <c r="AF225" s="228">
        <v>-0.15</v>
      </c>
      <c r="AG225" s="229">
        <v>-1E-4</v>
      </c>
      <c r="AH225" s="228">
        <v>3.75</v>
      </c>
      <c r="AI225" s="228">
        <v>2.9</v>
      </c>
      <c r="AJ225" s="228">
        <v>0.85</v>
      </c>
      <c r="AK225" s="229">
        <v>5.3E-3</v>
      </c>
      <c r="AL225" s="228">
        <v>1.35</v>
      </c>
      <c r="AM225" s="228">
        <v>-0.35</v>
      </c>
      <c r="AN225" s="228">
        <v>1.7</v>
      </c>
      <c r="AO225" s="229">
        <v>1.9E-3</v>
      </c>
      <c r="AP225" s="228">
        <v>714.62</v>
      </c>
      <c r="AQ225" s="228">
        <v>716.37</v>
      </c>
      <c r="AR225" s="228">
        <v>0</v>
      </c>
      <c r="AS225" s="230">
        <v>1380</v>
      </c>
      <c r="AT225" s="230">
        <v>1440</v>
      </c>
      <c r="AU225" s="228">
        <v>-60</v>
      </c>
      <c r="AV225" s="229">
        <v>-4.19E-2</v>
      </c>
      <c r="AW225" s="228">
        <v>461</v>
      </c>
      <c r="AX225" s="228">
        <v>630</v>
      </c>
      <c r="AY225" s="228">
        <v>-169</v>
      </c>
      <c r="AZ225" s="229">
        <v>-0.26850000000000002</v>
      </c>
      <c r="BA225" s="228">
        <v>883</v>
      </c>
      <c r="BB225" s="228">
        <v>761</v>
      </c>
      <c r="BC225" s="228">
        <v>122</v>
      </c>
      <c r="BD225" s="229">
        <v>0.16070000000000001</v>
      </c>
      <c r="BE225" s="228">
        <v>36</v>
      </c>
      <c r="BF225" s="228">
        <v>49</v>
      </c>
      <c r="BG225" s="228">
        <v>-13</v>
      </c>
      <c r="BH225" s="229">
        <v>-0.27100000000000002</v>
      </c>
      <c r="BI225" s="230">
        <v>1322</v>
      </c>
      <c r="BJ225" s="230">
        <v>1159</v>
      </c>
      <c r="BK225" s="228">
        <v>163</v>
      </c>
      <c r="BL225" s="229">
        <v>0.1406</v>
      </c>
      <c r="BM225" s="228">
        <v>846</v>
      </c>
      <c r="BN225" s="228">
        <v>687</v>
      </c>
      <c r="BO225" s="228">
        <v>159</v>
      </c>
      <c r="BP225" s="229">
        <v>0.23119999999999999</v>
      </c>
      <c r="BQ225" s="230">
        <v>3549</v>
      </c>
      <c r="BR225" s="230">
        <v>3287</v>
      </c>
      <c r="BS225" s="228">
        <v>262</v>
      </c>
      <c r="BT225" s="229">
        <v>7.9600000000000004E-2</v>
      </c>
      <c r="BU225" s="230">
        <v>2578376</v>
      </c>
      <c r="BV225" s="230">
        <v>1623437</v>
      </c>
      <c r="BW225" s="230">
        <v>954939</v>
      </c>
      <c r="BX225" s="229">
        <v>0.58819999999999995</v>
      </c>
      <c r="BY225" s="230">
        <v>2344</v>
      </c>
      <c r="BZ225" s="230">
        <v>2557</v>
      </c>
      <c r="CA225" s="228">
        <v>-213</v>
      </c>
      <c r="CB225" s="229">
        <v>-8.3299999999999999E-2</v>
      </c>
      <c r="CC225" s="228">
        <v>212</v>
      </c>
      <c r="CD225" s="228">
        <v>436</v>
      </c>
      <c r="CE225" s="228">
        <v>-224</v>
      </c>
      <c r="CF225" s="229">
        <v>-0.51449999999999996</v>
      </c>
      <c r="CG225" s="230">
        <v>2263</v>
      </c>
      <c r="CH225" s="230">
        <v>2053</v>
      </c>
      <c r="CI225" s="228">
        <v>210</v>
      </c>
      <c r="CJ225" s="229">
        <v>0.10249999999999999</v>
      </c>
      <c r="CK225" s="228">
        <v>81</v>
      </c>
      <c r="CL225" s="228">
        <v>69</v>
      </c>
      <c r="CM225" s="228">
        <v>13</v>
      </c>
      <c r="CN225" s="229">
        <v>0.1832</v>
      </c>
      <c r="CO225" s="228">
        <v>461</v>
      </c>
      <c r="CP225" s="230">
        <v>1014</v>
      </c>
      <c r="CQ225" s="228">
        <v>-553</v>
      </c>
      <c r="CR225" s="229">
        <v>-0.54520000000000002</v>
      </c>
      <c r="CS225" s="228">
        <v>265</v>
      </c>
      <c r="CT225" s="228">
        <v>695</v>
      </c>
      <c r="CU225" s="228">
        <v>-430</v>
      </c>
      <c r="CV225" s="229">
        <v>-0.61809999999999998</v>
      </c>
      <c r="CW225" s="230">
        <v>3071</v>
      </c>
      <c r="CX225" s="230">
        <v>4266</v>
      </c>
      <c r="CY225" s="230">
        <v>-1195</v>
      </c>
      <c r="CZ225" s="229">
        <v>-0.2802</v>
      </c>
      <c r="DA225" s="228">
        <v>31.76</v>
      </c>
      <c r="DB225" s="228">
        <v>31.8</v>
      </c>
      <c r="DC225" s="228">
        <v>-0.04</v>
      </c>
      <c r="DD225" s="228">
        <v>-0.04</v>
      </c>
      <c r="DE225" s="228">
        <v>34.03</v>
      </c>
      <c r="DF225" s="228">
        <v>33.96</v>
      </c>
      <c r="DG225" s="228">
        <v>-2.27</v>
      </c>
      <c r="DH225" s="228">
        <v>7.0000000000000007E-2</v>
      </c>
      <c r="DI225" s="228">
        <v>32.01</v>
      </c>
      <c r="DJ225" s="228">
        <v>31.74</v>
      </c>
      <c r="DK225" s="228">
        <v>0.27</v>
      </c>
      <c r="DL225" s="228">
        <v>0.27</v>
      </c>
      <c r="DM225" s="228">
        <v>31.31</v>
      </c>
      <c r="DN225" s="228">
        <v>31.93</v>
      </c>
      <c r="DO225" s="228">
        <v>-0.62</v>
      </c>
      <c r="DP225" s="228">
        <v>-0.62</v>
      </c>
      <c r="DQ225" s="228">
        <v>0.57999999999999996</v>
      </c>
      <c r="DR225" s="228">
        <v>0.69</v>
      </c>
      <c r="DS225" s="228">
        <v>-0.11</v>
      </c>
      <c r="DT225" s="229">
        <v>-0.15939999999999999</v>
      </c>
      <c r="DU225" s="228">
        <v>800</v>
      </c>
      <c r="DV225" s="228">
        <v>700</v>
      </c>
      <c r="DW225" s="228">
        <v>0.64</v>
      </c>
      <c r="DX225" s="228">
        <v>0.59</v>
      </c>
      <c r="DY225" s="228">
        <v>0.05</v>
      </c>
      <c r="DZ225" s="229">
        <v>8.4699999999999998E-2</v>
      </c>
      <c r="EA225" s="229">
        <v>0.91720000000000002</v>
      </c>
      <c r="EB225" s="230">
        <v>29980730</v>
      </c>
      <c r="EC225" s="229">
        <v>5.4999999999999997E-3</v>
      </c>
      <c r="ED225" s="229">
        <v>0.91720000000000002</v>
      </c>
      <c r="EE225" s="228">
        <v>1.75</v>
      </c>
      <c r="EF225" s="229">
        <v>2.3999999999999998E-3</v>
      </c>
      <c r="EG225" s="230">
        <v>1292144</v>
      </c>
      <c r="EH225" s="230">
        <v>920400</v>
      </c>
      <c r="EI225" s="229">
        <v>0.40389999999999998</v>
      </c>
      <c r="EJ225" s="229">
        <v>0.50109999999999999</v>
      </c>
      <c r="EK225" s="231">
        <v>1411.53</v>
      </c>
      <c r="EL225" s="228">
        <v>854.25</v>
      </c>
      <c r="EM225" s="231">
        <v>1395.66</v>
      </c>
      <c r="EN225" s="228">
        <v>0</v>
      </c>
      <c r="EO225" s="231">
        <v>3661.44</v>
      </c>
      <c r="EP225" s="231">
        <v>3400.62</v>
      </c>
      <c r="EQ225" s="228">
        <v>260.82</v>
      </c>
      <c r="ER225" s="229">
        <v>7.6700000000000004E-2</v>
      </c>
      <c r="ES225" s="228">
        <v>488.39</v>
      </c>
      <c r="ET225" s="228">
        <v>259.14999999999998</v>
      </c>
      <c r="EU225" s="231">
        <v>2343.92</v>
      </c>
      <c r="EV225" s="231">
        <v>112299677</v>
      </c>
      <c r="EW225" s="231">
        <v>3091.47</v>
      </c>
      <c r="EX225" s="231">
        <v>4298.5</v>
      </c>
      <c r="EY225" s="231">
        <v>-1207.03</v>
      </c>
      <c r="EZ225" s="229">
        <v>-0.28079999999999999</v>
      </c>
      <c r="FA225" s="229">
        <v>0.38650000000000001</v>
      </c>
      <c r="FB225" s="227" t="s">
        <v>568</v>
      </c>
      <c r="FC225">
        <f t="shared" si="4"/>
        <v>0</v>
      </c>
    </row>
    <row r="226" spans="1:159" ht="17.25" thickBot="1" x14ac:dyDescent="0.3">
      <c r="A226" s="226">
        <v>45869</v>
      </c>
      <c r="B226" s="227" t="s">
        <v>168</v>
      </c>
      <c r="C226" s="227" t="s">
        <v>587</v>
      </c>
      <c r="D226" s="228">
        <v>1025</v>
      </c>
      <c r="E226" s="228">
        <v>0</v>
      </c>
      <c r="F226" s="228">
        <v>523.9</v>
      </c>
      <c r="G226" s="228">
        <v>523.65</v>
      </c>
      <c r="H226" s="228">
        <v>0.25</v>
      </c>
      <c r="I226" s="229">
        <v>5.0000000000000001E-4</v>
      </c>
      <c r="J226" s="228">
        <v>522.6</v>
      </c>
      <c r="K226" s="228">
        <v>522.1</v>
      </c>
      <c r="L226" s="228">
        <v>0.5</v>
      </c>
      <c r="M226" s="229">
        <v>1E-3</v>
      </c>
      <c r="N226" s="228">
        <v>522.75</v>
      </c>
      <c r="O226" s="228">
        <v>521.65</v>
      </c>
      <c r="P226" s="228">
        <v>1.1000000000000001</v>
      </c>
      <c r="Q226" s="229">
        <v>2.0999999999999999E-3</v>
      </c>
      <c r="R226" s="228">
        <v>523.9</v>
      </c>
      <c r="S226" s="228">
        <v>523.65</v>
      </c>
      <c r="T226" s="228">
        <v>0.25</v>
      </c>
      <c r="U226" s="229">
        <v>5.0000000000000001E-4</v>
      </c>
      <c r="V226" s="228">
        <v>526.45000000000005</v>
      </c>
      <c r="W226" s="228">
        <v>525.29999999999995</v>
      </c>
      <c r="X226" s="228">
        <v>1.1499999999999999</v>
      </c>
      <c r="Y226" s="229">
        <v>2.2000000000000001E-3</v>
      </c>
      <c r="Z226" s="228">
        <v>1.3</v>
      </c>
      <c r="AA226" s="228">
        <v>-0.45</v>
      </c>
      <c r="AB226" s="228">
        <v>1.75</v>
      </c>
      <c r="AC226" s="229">
        <v>2.5000000000000001E-3</v>
      </c>
      <c r="AD226" s="228">
        <v>0.15</v>
      </c>
      <c r="AE226" s="228">
        <v>-0.45</v>
      </c>
      <c r="AF226" s="228">
        <v>0.6</v>
      </c>
      <c r="AG226" s="229">
        <v>2.9999999999999997E-4</v>
      </c>
      <c r="AH226" s="228">
        <v>1.3</v>
      </c>
      <c r="AI226" s="228">
        <v>1.55</v>
      </c>
      <c r="AJ226" s="228">
        <v>-0.25</v>
      </c>
      <c r="AK226" s="229">
        <v>2.5000000000000001E-3</v>
      </c>
      <c r="AL226" s="228">
        <v>3.85</v>
      </c>
      <c r="AM226" s="228">
        <v>3.2</v>
      </c>
      <c r="AN226" s="228">
        <v>0.65</v>
      </c>
      <c r="AO226" s="229">
        <v>7.4000000000000003E-3</v>
      </c>
      <c r="AP226" s="228">
        <v>519.73</v>
      </c>
      <c r="AQ226" s="228">
        <v>521.32000000000005</v>
      </c>
      <c r="AR226" s="228">
        <v>0</v>
      </c>
      <c r="AS226" s="228">
        <v>781</v>
      </c>
      <c r="AT226" s="230">
        <v>1609</v>
      </c>
      <c r="AU226" s="228">
        <v>-828</v>
      </c>
      <c r="AV226" s="229">
        <v>-0.51470000000000005</v>
      </c>
      <c r="AW226" s="228">
        <v>296</v>
      </c>
      <c r="AX226" s="228">
        <v>723</v>
      </c>
      <c r="AY226" s="228">
        <v>-428</v>
      </c>
      <c r="AZ226" s="229">
        <v>-0.59130000000000005</v>
      </c>
      <c r="BA226" s="228">
        <v>478</v>
      </c>
      <c r="BB226" s="228">
        <v>868</v>
      </c>
      <c r="BC226" s="228">
        <v>-390</v>
      </c>
      <c r="BD226" s="229">
        <v>-0.44940000000000002</v>
      </c>
      <c r="BE226" s="228">
        <v>7</v>
      </c>
      <c r="BF226" s="228">
        <v>18</v>
      </c>
      <c r="BG226" s="228">
        <v>-10</v>
      </c>
      <c r="BH226" s="229">
        <v>-0.58479999999999999</v>
      </c>
      <c r="BI226" s="230">
        <v>1062</v>
      </c>
      <c r="BJ226" s="230">
        <v>5382</v>
      </c>
      <c r="BK226" s="230">
        <v>-4320</v>
      </c>
      <c r="BL226" s="229">
        <v>-0.80259999999999998</v>
      </c>
      <c r="BM226" s="228">
        <v>582</v>
      </c>
      <c r="BN226" s="230">
        <v>1850</v>
      </c>
      <c r="BO226" s="230">
        <v>-1268</v>
      </c>
      <c r="BP226" s="229">
        <v>-0.6855</v>
      </c>
      <c r="BQ226" s="230">
        <v>2425</v>
      </c>
      <c r="BR226" s="230">
        <v>8841</v>
      </c>
      <c r="BS226" s="230">
        <v>-6416</v>
      </c>
      <c r="BT226" s="229">
        <v>-0.72570000000000001</v>
      </c>
      <c r="BU226" s="230">
        <v>6813440</v>
      </c>
      <c r="BV226" s="230">
        <v>27371996</v>
      </c>
      <c r="BW226" s="230">
        <v>-20558556</v>
      </c>
      <c r="BX226" s="229">
        <v>-0.75109999999999999</v>
      </c>
      <c r="BY226" s="230">
        <v>1830</v>
      </c>
      <c r="BZ226" s="230">
        <v>2000</v>
      </c>
      <c r="CA226" s="228">
        <v>-169</v>
      </c>
      <c r="CB226" s="229">
        <v>-8.4599999999999995E-2</v>
      </c>
      <c r="CC226" s="228">
        <v>188</v>
      </c>
      <c r="CD226" s="228">
        <v>283</v>
      </c>
      <c r="CE226" s="228">
        <v>-95</v>
      </c>
      <c r="CF226" s="229">
        <v>-0.3362</v>
      </c>
      <c r="CG226" s="230">
        <v>1809</v>
      </c>
      <c r="CH226" s="230">
        <v>1697</v>
      </c>
      <c r="CI226" s="228">
        <v>113</v>
      </c>
      <c r="CJ226" s="229">
        <v>6.6400000000000001E-2</v>
      </c>
      <c r="CK226" s="228">
        <v>21</v>
      </c>
      <c r="CL226" s="228">
        <v>20</v>
      </c>
      <c r="CM226" s="228">
        <v>1</v>
      </c>
      <c r="CN226" s="229">
        <v>6.83E-2</v>
      </c>
      <c r="CO226" s="228">
        <v>656</v>
      </c>
      <c r="CP226" s="230">
        <v>1123</v>
      </c>
      <c r="CQ226" s="228">
        <v>-467</v>
      </c>
      <c r="CR226" s="229">
        <v>-0.41589999999999999</v>
      </c>
      <c r="CS226" s="228">
        <v>258</v>
      </c>
      <c r="CT226" s="228">
        <v>663</v>
      </c>
      <c r="CU226" s="228">
        <v>-405</v>
      </c>
      <c r="CV226" s="229">
        <v>-0.61119999999999997</v>
      </c>
      <c r="CW226" s="230">
        <v>2744</v>
      </c>
      <c r="CX226" s="230">
        <v>3785</v>
      </c>
      <c r="CY226" s="230">
        <v>-1041</v>
      </c>
      <c r="CZ226" s="229">
        <v>-0.27510000000000001</v>
      </c>
      <c r="DA226" s="228">
        <v>27.98</v>
      </c>
      <c r="DB226" s="228">
        <v>28.43</v>
      </c>
      <c r="DC226" s="228">
        <v>-0.45</v>
      </c>
      <c r="DD226" s="228">
        <v>-0.45</v>
      </c>
      <c r="DE226" s="228">
        <v>40.79</v>
      </c>
      <c r="DF226" s="228">
        <v>40.89</v>
      </c>
      <c r="DG226" s="228">
        <v>-12.81</v>
      </c>
      <c r="DH226" s="228">
        <v>-0.1</v>
      </c>
      <c r="DI226" s="228">
        <v>28.22</v>
      </c>
      <c r="DJ226" s="228">
        <v>28.44</v>
      </c>
      <c r="DK226" s="228">
        <v>-0.22</v>
      </c>
      <c r="DL226" s="228">
        <v>-0.22</v>
      </c>
      <c r="DM226" s="228">
        <v>27.47</v>
      </c>
      <c r="DN226" s="228">
        <v>28.38</v>
      </c>
      <c r="DO226" s="228">
        <v>-0.91</v>
      </c>
      <c r="DP226" s="228">
        <v>-0.91</v>
      </c>
      <c r="DQ226" s="228">
        <v>0.39</v>
      </c>
      <c r="DR226" s="228">
        <v>0.59</v>
      </c>
      <c r="DS226" s="228">
        <v>-0.2</v>
      </c>
      <c r="DT226" s="229">
        <v>-0.33900000000000002</v>
      </c>
      <c r="DU226" s="228">
        <v>480</v>
      </c>
      <c r="DV226" s="228">
        <v>490</v>
      </c>
      <c r="DW226" s="228">
        <v>0.55000000000000004</v>
      </c>
      <c r="DX226" s="228">
        <v>0.34</v>
      </c>
      <c r="DY226" s="228">
        <v>0.21</v>
      </c>
      <c r="DZ226" s="229">
        <v>0.61760000000000004</v>
      </c>
      <c r="EA226" s="229">
        <v>0.90690000000000004</v>
      </c>
      <c r="EB226" s="230">
        <v>32761050</v>
      </c>
      <c r="EC226" s="229">
        <v>2.2000000000000001E-3</v>
      </c>
      <c r="ED226" s="229">
        <v>0.90690000000000004</v>
      </c>
      <c r="EE226" s="228">
        <v>1.59</v>
      </c>
      <c r="EF226" s="229">
        <v>3.0999999999999999E-3</v>
      </c>
      <c r="EG226" s="230">
        <v>3613071</v>
      </c>
      <c r="EH226" s="230">
        <v>12353147</v>
      </c>
      <c r="EI226" s="229">
        <v>-0.70750000000000002</v>
      </c>
      <c r="EJ226" s="229">
        <v>0.53029999999999999</v>
      </c>
      <c r="EK226" s="231">
        <v>1096.57</v>
      </c>
      <c r="EL226" s="228">
        <v>560.70000000000005</v>
      </c>
      <c r="EM226" s="228">
        <v>776.14</v>
      </c>
      <c r="EN226" s="228">
        <v>0</v>
      </c>
      <c r="EO226" s="231">
        <v>2433.41</v>
      </c>
      <c r="EP226" s="231">
        <v>8998.1200000000008</v>
      </c>
      <c r="EQ226" s="231">
        <v>-6564.71</v>
      </c>
      <c r="ER226" s="229">
        <v>-0.72960000000000003</v>
      </c>
      <c r="ES226" s="228">
        <v>645.71</v>
      </c>
      <c r="ET226" s="228">
        <v>238.43</v>
      </c>
      <c r="EU226" s="231">
        <v>1830.51</v>
      </c>
      <c r="EV226" s="231">
        <v>268960013</v>
      </c>
      <c r="EW226" s="231">
        <v>2714.65</v>
      </c>
      <c r="EX226" s="231">
        <v>3701.87</v>
      </c>
      <c r="EY226" s="228">
        <v>-987.22</v>
      </c>
      <c r="EZ226" s="229">
        <v>-0.26669999999999999</v>
      </c>
      <c r="FA226" s="229">
        <v>0.19470000000000001</v>
      </c>
      <c r="FB226" s="227" t="s">
        <v>556</v>
      </c>
      <c r="FC226">
        <f t="shared" si="4"/>
        <v>0</v>
      </c>
    </row>
    <row r="227" spans="1:159" ht="17.25" thickBot="1" x14ac:dyDescent="0.3">
      <c r="A227" s="226">
        <v>45869</v>
      </c>
      <c r="B227" s="227" t="s">
        <v>227</v>
      </c>
      <c r="C227" s="227" t="s">
        <v>304</v>
      </c>
      <c r="D227" s="228">
        <v>1150</v>
      </c>
      <c r="E227" s="228">
        <v>0</v>
      </c>
      <c r="F227" s="228">
        <v>426.6</v>
      </c>
      <c r="G227" s="228">
        <v>436.75</v>
      </c>
      <c r="H227" s="228">
        <v>-10.15</v>
      </c>
      <c r="I227" s="229">
        <v>-2.3199999999999998E-2</v>
      </c>
      <c r="J227" s="228">
        <v>425.65</v>
      </c>
      <c r="K227" s="228">
        <v>434.6</v>
      </c>
      <c r="L227" s="228">
        <v>-8.9499999999999993</v>
      </c>
      <c r="M227" s="229">
        <v>-2.06E-2</v>
      </c>
      <c r="N227" s="228">
        <v>424.85</v>
      </c>
      <c r="O227" s="228">
        <v>434.55</v>
      </c>
      <c r="P227" s="228">
        <v>-9.6999999999999993</v>
      </c>
      <c r="Q227" s="229">
        <v>-2.23E-2</v>
      </c>
      <c r="R227" s="228">
        <v>426.6</v>
      </c>
      <c r="S227" s="228">
        <v>436.75</v>
      </c>
      <c r="T227" s="228">
        <v>-10.15</v>
      </c>
      <c r="U227" s="229">
        <v>-2.3199999999999998E-2</v>
      </c>
      <c r="V227" s="228">
        <v>428.45</v>
      </c>
      <c r="W227" s="228">
        <v>439</v>
      </c>
      <c r="X227" s="228">
        <v>-10.55</v>
      </c>
      <c r="Y227" s="229">
        <v>-2.4E-2</v>
      </c>
      <c r="Z227" s="228">
        <v>0.95</v>
      </c>
      <c r="AA227" s="228">
        <v>-0.05</v>
      </c>
      <c r="AB227" s="228">
        <v>1</v>
      </c>
      <c r="AC227" s="229">
        <v>2.2000000000000001E-3</v>
      </c>
      <c r="AD227" s="228">
        <v>-0.8</v>
      </c>
      <c r="AE227" s="228">
        <v>-0.05</v>
      </c>
      <c r="AF227" s="228">
        <v>-0.75</v>
      </c>
      <c r="AG227" s="229">
        <v>-1.9E-3</v>
      </c>
      <c r="AH227" s="228">
        <v>0.95</v>
      </c>
      <c r="AI227" s="228">
        <v>2.15</v>
      </c>
      <c r="AJ227" s="228">
        <v>-1.2</v>
      </c>
      <c r="AK227" s="229">
        <v>2.2000000000000001E-3</v>
      </c>
      <c r="AL227" s="228">
        <v>2.8</v>
      </c>
      <c r="AM227" s="228">
        <v>4.4000000000000004</v>
      </c>
      <c r="AN227" s="228">
        <v>-1.6</v>
      </c>
      <c r="AO227" s="229">
        <v>6.6E-3</v>
      </c>
      <c r="AP227" s="228">
        <v>429</v>
      </c>
      <c r="AQ227" s="228">
        <v>430.85</v>
      </c>
      <c r="AR227" s="228">
        <v>0</v>
      </c>
      <c r="AS227" s="230">
        <v>2081</v>
      </c>
      <c r="AT227" s="230">
        <v>1315</v>
      </c>
      <c r="AU227" s="228">
        <v>766</v>
      </c>
      <c r="AV227" s="229">
        <v>0.5827</v>
      </c>
      <c r="AW227" s="228">
        <v>902</v>
      </c>
      <c r="AX227" s="228">
        <v>669</v>
      </c>
      <c r="AY227" s="228">
        <v>233</v>
      </c>
      <c r="AZ227" s="229">
        <v>0.34860000000000002</v>
      </c>
      <c r="BA227" s="230">
        <v>1157</v>
      </c>
      <c r="BB227" s="228">
        <v>636</v>
      </c>
      <c r="BC227" s="228">
        <v>521</v>
      </c>
      <c r="BD227" s="229">
        <v>0.82020000000000004</v>
      </c>
      <c r="BE227" s="228">
        <v>22</v>
      </c>
      <c r="BF227" s="228">
        <v>11</v>
      </c>
      <c r="BG227" s="228">
        <v>12</v>
      </c>
      <c r="BH227" s="229">
        <v>1.1065</v>
      </c>
      <c r="BI227" s="230">
        <v>1582</v>
      </c>
      <c r="BJ227" s="228">
        <v>906</v>
      </c>
      <c r="BK227" s="228">
        <v>676</v>
      </c>
      <c r="BL227" s="229">
        <v>0.74690000000000001</v>
      </c>
      <c r="BM227" s="230">
        <v>1921</v>
      </c>
      <c r="BN227" s="228">
        <v>785</v>
      </c>
      <c r="BO227" s="230">
        <v>1136</v>
      </c>
      <c r="BP227" s="229">
        <v>1.4474</v>
      </c>
      <c r="BQ227" s="230">
        <v>5584</v>
      </c>
      <c r="BR227" s="230">
        <v>3006</v>
      </c>
      <c r="BS227" s="230">
        <v>2579</v>
      </c>
      <c r="BT227" s="229">
        <v>0.85799999999999998</v>
      </c>
      <c r="BU227" s="230">
        <v>8332348</v>
      </c>
      <c r="BV227" s="230">
        <v>3096642</v>
      </c>
      <c r="BW227" s="230">
        <v>5235706</v>
      </c>
      <c r="BX227" s="229">
        <v>1.6908000000000001</v>
      </c>
      <c r="BY227" s="230">
        <v>3360</v>
      </c>
      <c r="BZ227" s="230">
        <v>3649</v>
      </c>
      <c r="CA227" s="228">
        <v>-290</v>
      </c>
      <c r="CB227" s="229">
        <v>-7.9299999999999995E-2</v>
      </c>
      <c r="CC227" s="228">
        <v>224</v>
      </c>
      <c r="CD227" s="228">
        <v>792</v>
      </c>
      <c r="CE227" s="228">
        <v>-568</v>
      </c>
      <c r="CF227" s="229">
        <v>-0.71679999999999999</v>
      </c>
      <c r="CG227" s="230">
        <v>3310</v>
      </c>
      <c r="CH227" s="230">
        <v>2816</v>
      </c>
      <c r="CI227" s="228">
        <v>494</v>
      </c>
      <c r="CJ227" s="229">
        <v>0.17549999999999999</v>
      </c>
      <c r="CK227" s="228">
        <v>49</v>
      </c>
      <c r="CL227" s="228">
        <v>41</v>
      </c>
      <c r="CM227" s="228">
        <v>8</v>
      </c>
      <c r="CN227" s="229">
        <v>0.1943</v>
      </c>
      <c r="CO227" s="228">
        <v>640</v>
      </c>
      <c r="CP227" s="230">
        <v>1171</v>
      </c>
      <c r="CQ227" s="228">
        <v>-531</v>
      </c>
      <c r="CR227" s="229">
        <v>-0.45319999999999999</v>
      </c>
      <c r="CS227" s="228">
        <v>716</v>
      </c>
      <c r="CT227" s="230">
        <v>1298</v>
      </c>
      <c r="CU227" s="228">
        <v>-582</v>
      </c>
      <c r="CV227" s="229">
        <v>-0.44840000000000002</v>
      </c>
      <c r="CW227" s="230">
        <v>4716</v>
      </c>
      <c r="CX227" s="230">
        <v>6118</v>
      </c>
      <c r="CY227" s="230">
        <v>-1402</v>
      </c>
      <c r="CZ227" s="229">
        <v>-0.22919999999999999</v>
      </c>
      <c r="DA227" s="228">
        <v>28.33</v>
      </c>
      <c r="DB227" s="228">
        <v>31.26</v>
      </c>
      <c r="DC227" s="228">
        <v>-2.93</v>
      </c>
      <c r="DD227" s="228">
        <v>-2.93</v>
      </c>
      <c r="DE227" s="228">
        <v>40.770000000000003</v>
      </c>
      <c r="DF227" s="228">
        <v>40.75</v>
      </c>
      <c r="DG227" s="228">
        <v>-12.44</v>
      </c>
      <c r="DH227" s="228">
        <v>0.02</v>
      </c>
      <c r="DI227" s="228">
        <v>28.04</v>
      </c>
      <c r="DJ227" s="228">
        <v>30.15</v>
      </c>
      <c r="DK227" s="228">
        <v>-2.11</v>
      </c>
      <c r="DL227" s="228">
        <v>-2.11</v>
      </c>
      <c r="DM227" s="228">
        <v>28.62</v>
      </c>
      <c r="DN227" s="228">
        <v>32.33</v>
      </c>
      <c r="DO227" s="228">
        <v>-3.71</v>
      </c>
      <c r="DP227" s="228">
        <v>-3.71</v>
      </c>
      <c r="DQ227" s="228">
        <v>1.1200000000000001</v>
      </c>
      <c r="DR227" s="228">
        <v>1.1100000000000001</v>
      </c>
      <c r="DS227" s="228">
        <v>0.01</v>
      </c>
      <c r="DT227" s="229">
        <v>8.9999999999999993E-3</v>
      </c>
      <c r="DU227" s="228">
        <v>480</v>
      </c>
      <c r="DV227" s="228">
        <v>430</v>
      </c>
      <c r="DW227" s="228">
        <v>1.21</v>
      </c>
      <c r="DX227" s="228">
        <v>0.87</v>
      </c>
      <c r="DY227" s="228">
        <v>0.34</v>
      </c>
      <c r="DZ227" s="229">
        <v>0.39079999999999998</v>
      </c>
      <c r="EA227" s="229">
        <v>0.93740000000000001</v>
      </c>
      <c r="EB227" s="230">
        <v>66985200</v>
      </c>
      <c r="EC227" s="229">
        <v>4.1000000000000003E-3</v>
      </c>
      <c r="ED227" s="229">
        <v>0.93740000000000001</v>
      </c>
      <c r="EE227" s="228">
        <v>1.85</v>
      </c>
      <c r="EF227" s="229">
        <v>4.3E-3</v>
      </c>
      <c r="EG227" s="230">
        <v>4260553</v>
      </c>
      <c r="EH227" s="230">
        <v>1377284</v>
      </c>
      <c r="EI227" s="229">
        <v>2.0933999999999999</v>
      </c>
      <c r="EJ227" s="229">
        <v>0.51129999999999998</v>
      </c>
      <c r="EK227" s="231">
        <v>1700.38</v>
      </c>
      <c r="EL227" s="231">
        <v>1962.76</v>
      </c>
      <c r="EM227" s="231">
        <v>2098.0300000000002</v>
      </c>
      <c r="EN227" s="228">
        <v>0</v>
      </c>
      <c r="EO227" s="231">
        <v>5761.18</v>
      </c>
      <c r="EP227" s="231">
        <v>3137.67</v>
      </c>
      <c r="EQ227" s="231">
        <v>2623.51</v>
      </c>
      <c r="ER227" s="229">
        <v>0.83609999999999995</v>
      </c>
      <c r="ES227" s="228">
        <v>691.34</v>
      </c>
      <c r="ET227" s="228">
        <v>724.19</v>
      </c>
      <c r="EU227" s="231">
        <v>3359.97</v>
      </c>
      <c r="EV227" s="231">
        <v>340087358</v>
      </c>
      <c r="EW227" s="231">
        <v>4775.5</v>
      </c>
      <c r="EX227" s="231">
        <v>6325.48</v>
      </c>
      <c r="EY227" s="231">
        <v>-1549.98</v>
      </c>
      <c r="EZ227" s="229">
        <v>-0.245</v>
      </c>
      <c r="FA227" s="229">
        <v>0.3251</v>
      </c>
      <c r="FB227" s="227" t="s">
        <v>568</v>
      </c>
      <c r="FC227">
        <f t="shared" si="4"/>
        <v>0</v>
      </c>
    </row>
    <row r="228" spans="1:159" ht="17.25" thickBot="1" x14ac:dyDescent="0.3">
      <c r="A228" s="226">
        <v>45869</v>
      </c>
      <c r="B228" s="227" t="s">
        <v>184</v>
      </c>
      <c r="C228" s="227" t="s">
        <v>305</v>
      </c>
      <c r="D228" s="228">
        <v>375</v>
      </c>
      <c r="E228" s="228">
        <v>0</v>
      </c>
      <c r="F228" s="231">
        <v>1314.5</v>
      </c>
      <c r="G228" s="231">
        <v>1330.9</v>
      </c>
      <c r="H228" s="228">
        <v>-16.399999999999999</v>
      </c>
      <c r="I228" s="229">
        <v>-1.23E-2</v>
      </c>
      <c r="J228" s="231">
        <v>1327.7</v>
      </c>
      <c r="K228" s="231">
        <v>1336</v>
      </c>
      <c r="L228" s="228">
        <v>-8.3000000000000007</v>
      </c>
      <c r="M228" s="229">
        <v>-6.1999999999999998E-3</v>
      </c>
      <c r="N228" s="231">
        <v>1329.7</v>
      </c>
      <c r="O228" s="231">
        <v>1340.1</v>
      </c>
      <c r="P228" s="228">
        <v>-10.4</v>
      </c>
      <c r="Q228" s="229">
        <v>-7.7999999999999996E-3</v>
      </c>
      <c r="R228" s="231">
        <v>1314.5</v>
      </c>
      <c r="S228" s="231">
        <v>1330.9</v>
      </c>
      <c r="T228" s="228">
        <v>-16.399999999999999</v>
      </c>
      <c r="U228" s="229">
        <v>-1.23E-2</v>
      </c>
      <c r="V228" s="231">
        <v>1311.2</v>
      </c>
      <c r="W228" s="231">
        <v>1332</v>
      </c>
      <c r="X228" s="228">
        <v>-20.8</v>
      </c>
      <c r="Y228" s="229">
        <v>-1.5599999999999999E-2</v>
      </c>
      <c r="Z228" s="228">
        <v>-13.2</v>
      </c>
      <c r="AA228" s="228">
        <v>4.0999999999999996</v>
      </c>
      <c r="AB228" s="228">
        <v>-17.3</v>
      </c>
      <c r="AC228" s="229">
        <v>-9.9000000000000008E-3</v>
      </c>
      <c r="AD228" s="228">
        <v>2</v>
      </c>
      <c r="AE228" s="228">
        <v>4.0999999999999996</v>
      </c>
      <c r="AF228" s="228">
        <v>-2.1</v>
      </c>
      <c r="AG228" s="229">
        <v>1.5E-3</v>
      </c>
      <c r="AH228" s="228">
        <v>-13.2</v>
      </c>
      <c r="AI228" s="228">
        <v>-5.0999999999999996</v>
      </c>
      <c r="AJ228" s="228">
        <v>-8.1</v>
      </c>
      <c r="AK228" s="229">
        <v>-9.9000000000000008E-3</v>
      </c>
      <c r="AL228" s="228">
        <v>-16.5</v>
      </c>
      <c r="AM228" s="228">
        <v>-4</v>
      </c>
      <c r="AN228" s="228">
        <v>-12.5</v>
      </c>
      <c r="AO228" s="229">
        <v>-1.24E-2</v>
      </c>
      <c r="AP228" s="231">
        <v>1340.57</v>
      </c>
      <c r="AQ228" s="231">
        <v>1321.8</v>
      </c>
      <c r="AR228" s="228">
        <v>0</v>
      </c>
      <c r="AS228" s="228">
        <v>759</v>
      </c>
      <c r="AT228" s="228">
        <v>970</v>
      </c>
      <c r="AU228" s="228">
        <v>-211</v>
      </c>
      <c r="AV228" s="229">
        <v>-0.218</v>
      </c>
      <c r="AW228" s="228">
        <v>341</v>
      </c>
      <c r="AX228" s="228">
        <v>474</v>
      </c>
      <c r="AY228" s="228">
        <v>-133</v>
      </c>
      <c r="AZ228" s="229">
        <v>-0.28050000000000003</v>
      </c>
      <c r="BA228" s="228">
        <v>403</v>
      </c>
      <c r="BB228" s="228">
        <v>492</v>
      </c>
      <c r="BC228" s="228">
        <v>-89</v>
      </c>
      <c r="BD228" s="229">
        <v>-0.18140000000000001</v>
      </c>
      <c r="BE228" s="228">
        <v>15</v>
      </c>
      <c r="BF228" s="228">
        <v>4</v>
      </c>
      <c r="BG228" s="228">
        <v>11</v>
      </c>
      <c r="BH228" s="229">
        <v>2.4659</v>
      </c>
      <c r="BI228" s="228">
        <v>307</v>
      </c>
      <c r="BJ228" s="228">
        <v>265</v>
      </c>
      <c r="BK228" s="228">
        <v>43</v>
      </c>
      <c r="BL228" s="229">
        <v>0.16159999999999999</v>
      </c>
      <c r="BM228" s="228">
        <v>190</v>
      </c>
      <c r="BN228" s="228">
        <v>201</v>
      </c>
      <c r="BO228" s="228">
        <v>-10</v>
      </c>
      <c r="BP228" s="229">
        <v>-5.1799999999999999E-2</v>
      </c>
      <c r="BQ228" s="230">
        <v>1256</v>
      </c>
      <c r="BR228" s="230">
        <v>1435</v>
      </c>
      <c r="BS228" s="228">
        <v>-179</v>
      </c>
      <c r="BT228" s="229">
        <v>-0.12479999999999999</v>
      </c>
      <c r="BU228" s="230">
        <v>724612</v>
      </c>
      <c r="BV228" s="230">
        <v>545839</v>
      </c>
      <c r="BW228" s="230">
        <v>178773</v>
      </c>
      <c r="BX228" s="229">
        <v>0.32750000000000001</v>
      </c>
      <c r="BY228" s="230">
        <v>1283</v>
      </c>
      <c r="BZ228" s="230">
        <v>1534</v>
      </c>
      <c r="CA228" s="228">
        <v>-251</v>
      </c>
      <c r="CB228" s="229">
        <v>-0.1633</v>
      </c>
      <c r="CC228" s="228">
        <v>210</v>
      </c>
      <c r="CD228" s="228">
        <v>308</v>
      </c>
      <c r="CE228" s="228">
        <v>-98</v>
      </c>
      <c r="CF228" s="229">
        <v>-0.3175</v>
      </c>
      <c r="CG228" s="230">
        <v>1262</v>
      </c>
      <c r="CH228" s="230">
        <v>1208</v>
      </c>
      <c r="CI228" s="228">
        <v>53</v>
      </c>
      <c r="CJ228" s="229">
        <v>4.41E-2</v>
      </c>
      <c r="CK228" s="228">
        <v>22</v>
      </c>
      <c r="CL228" s="228">
        <v>17</v>
      </c>
      <c r="CM228" s="228">
        <v>4</v>
      </c>
      <c r="CN228" s="229">
        <v>0.25850000000000001</v>
      </c>
      <c r="CO228" s="228">
        <v>151</v>
      </c>
      <c r="CP228" s="228">
        <v>366</v>
      </c>
      <c r="CQ228" s="228">
        <v>-215</v>
      </c>
      <c r="CR228" s="229">
        <v>-0.58809999999999996</v>
      </c>
      <c r="CS228" s="228">
        <v>166</v>
      </c>
      <c r="CT228" s="228">
        <v>344</v>
      </c>
      <c r="CU228" s="228">
        <v>-178</v>
      </c>
      <c r="CV228" s="229">
        <v>-0.51800000000000002</v>
      </c>
      <c r="CW228" s="230">
        <v>1600</v>
      </c>
      <c r="CX228" s="230">
        <v>2244</v>
      </c>
      <c r="CY228" s="228">
        <v>-644</v>
      </c>
      <c r="CZ228" s="229">
        <v>-0.28710000000000002</v>
      </c>
      <c r="DA228" s="228">
        <v>30.99</v>
      </c>
      <c r="DB228" s="228">
        <v>30.69</v>
      </c>
      <c r="DC228" s="228">
        <v>0.3</v>
      </c>
      <c r="DD228" s="228">
        <v>0.3</v>
      </c>
      <c r="DE228" s="228">
        <v>39.549999999999997</v>
      </c>
      <c r="DF228" s="228">
        <v>39.64</v>
      </c>
      <c r="DG228" s="228">
        <v>-8.56</v>
      </c>
      <c r="DH228" s="228">
        <v>-0.09</v>
      </c>
      <c r="DI228" s="228">
        <v>30.87</v>
      </c>
      <c r="DJ228" s="228">
        <v>30.35</v>
      </c>
      <c r="DK228" s="228">
        <v>0.52</v>
      </c>
      <c r="DL228" s="228">
        <v>0.52</v>
      </c>
      <c r="DM228" s="228">
        <v>31.17</v>
      </c>
      <c r="DN228" s="228">
        <v>31.18</v>
      </c>
      <c r="DO228" s="228">
        <v>-0.01</v>
      </c>
      <c r="DP228" s="228">
        <v>-0.01</v>
      </c>
      <c r="DQ228" s="228">
        <v>1.1000000000000001</v>
      </c>
      <c r="DR228" s="228">
        <v>0.94</v>
      </c>
      <c r="DS228" s="228">
        <v>0.16</v>
      </c>
      <c r="DT228" s="229">
        <v>0.17019999999999999</v>
      </c>
      <c r="DU228" s="231">
        <v>1400</v>
      </c>
      <c r="DV228" s="231">
        <v>1280</v>
      </c>
      <c r="DW228" s="228">
        <v>0.62</v>
      </c>
      <c r="DX228" s="228">
        <v>0.76</v>
      </c>
      <c r="DY228" s="228">
        <v>-0.14000000000000001</v>
      </c>
      <c r="DZ228" s="229">
        <v>-0.1842</v>
      </c>
      <c r="EA228" s="229">
        <v>0.85909999999999997</v>
      </c>
      <c r="EB228" s="230">
        <v>9324000</v>
      </c>
      <c r="EC228" s="229">
        <v>-1.14E-2</v>
      </c>
      <c r="ED228" s="229">
        <v>0.85909999999999997</v>
      </c>
      <c r="EE228" s="228">
        <v>-18.77</v>
      </c>
      <c r="EF228" s="229">
        <v>-1.4E-2</v>
      </c>
      <c r="EG228" s="230">
        <v>227304</v>
      </c>
      <c r="EH228" s="230">
        <v>240763</v>
      </c>
      <c r="EI228" s="229">
        <v>-5.5899999999999998E-2</v>
      </c>
      <c r="EJ228" s="229">
        <v>0.31369999999999998</v>
      </c>
      <c r="EK228" s="228">
        <v>324.35000000000002</v>
      </c>
      <c r="EL228" s="228">
        <v>190.85</v>
      </c>
      <c r="EM228" s="228">
        <v>767.65</v>
      </c>
      <c r="EN228" s="228">
        <v>0</v>
      </c>
      <c r="EO228" s="231">
        <v>1282.8499999999999</v>
      </c>
      <c r="EP228" s="231">
        <v>1460.2</v>
      </c>
      <c r="EQ228" s="228">
        <v>-177.35</v>
      </c>
      <c r="ER228" s="229">
        <v>-0.1215</v>
      </c>
      <c r="ES228" s="228">
        <v>159.22</v>
      </c>
      <c r="ET228" s="228">
        <v>163.37</v>
      </c>
      <c r="EU228" s="231">
        <v>1283.3599999999999</v>
      </c>
      <c r="EV228" s="231">
        <v>46126252</v>
      </c>
      <c r="EW228" s="231">
        <v>1605.94</v>
      </c>
      <c r="EX228" s="231">
        <v>2279.27</v>
      </c>
      <c r="EY228" s="228">
        <v>-673.33</v>
      </c>
      <c r="EZ228" s="229">
        <v>-0.2954</v>
      </c>
      <c r="FA228" s="229">
        <v>0.26390000000000002</v>
      </c>
      <c r="FB228" s="227" t="s">
        <v>568</v>
      </c>
      <c r="FC228">
        <f t="shared" si="4"/>
        <v>0</v>
      </c>
    </row>
    <row r="229" spans="1:159" ht="17.25" thickBot="1" x14ac:dyDescent="0.3">
      <c r="A229" s="226">
        <v>45869</v>
      </c>
      <c r="B229" s="227" t="s">
        <v>221</v>
      </c>
      <c r="C229" s="227" t="s">
        <v>306</v>
      </c>
      <c r="D229" s="228">
        <v>3000</v>
      </c>
      <c r="E229" s="228">
        <v>0</v>
      </c>
      <c r="F229" s="228">
        <v>248.25</v>
      </c>
      <c r="G229" s="228">
        <v>249.5</v>
      </c>
      <c r="H229" s="228">
        <v>-1.25</v>
      </c>
      <c r="I229" s="229">
        <v>-5.0000000000000001E-3</v>
      </c>
      <c r="J229" s="228">
        <v>248.3</v>
      </c>
      <c r="K229" s="228">
        <v>250.2</v>
      </c>
      <c r="L229" s="228">
        <v>-1.9</v>
      </c>
      <c r="M229" s="229">
        <v>-7.6E-3</v>
      </c>
      <c r="N229" s="228">
        <v>248.2</v>
      </c>
      <c r="O229" s="228">
        <v>250.4</v>
      </c>
      <c r="P229" s="228">
        <v>-2.2000000000000002</v>
      </c>
      <c r="Q229" s="229">
        <v>-8.8000000000000005E-3</v>
      </c>
      <c r="R229" s="228">
        <v>248.25</v>
      </c>
      <c r="S229" s="228">
        <v>249.5</v>
      </c>
      <c r="T229" s="228">
        <v>-1.25</v>
      </c>
      <c r="U229" s="229">
        <v>-5.0000000000000001E-3</v>
      </c>
      <c r="V229" s="228">
        <v>248.5</v>
      </c>
      <c r="W229" s="228">
        <v>249.55</v>
      </c>
      <c r="X229" s="228">
        <v>-1.05</v>
      </c>
      <c r="Y229" s="229">
        <v>-4.1999999999999997E-3</v>
      </c>
      <c r="Z229" s="228">
        <v>-0.05</v>
      </c>
      <c r="AA229" s="228">
        <v>0.2</v>
      </c>
      <c r="AB229" s="228">
        <v>-0.25</v>
      </c>
      <c r="AC229" s="229">
        <v>-2.0000000000000001E-4</v>
      </c>
      <c r="AD229" s="228">
        <v>-0.1</v>
      </c>
      <c r="AE229" s="228">
        <v>0.2</v>
      </c>
      <c r="AF229" s="228">
        <v>-0.3</v>
      </c>
      <c r="AG229" s="229">
        <v>-4.0000000000000002E-4</v>
      </c>
      <c r="AH229" s="228">
        <v>-0.05</v>
      </c>
      <c r="AI229" s="228">
        <v>-0.7</v>
      </c>
      <c r="AJ229" s="228">
        <v>0.65</v>
      </c>
      <c r="AK229" s="229">
        <v>-2.0000000000000001E-4</v>
      </c>
      <c r="AL229" s="228">
        <v>0.2</v>
      </c>
      <c r="AM229" s="228">
        <v>-0.65</v>
      </c>
      <c r="AN229" s="228">
        <v>0.85</v>
      </c>
      <c r="AO229" s="229">
        <v>8.0000000000000004E-4</v>
      </c>
      <c r="AP229" s="228">
        <v>247.91</v>
      </c>
      <c r="AQ229" s="228">
        <v>247.54</v>
      </c>
      <c r="AR229" s="228">
        <v>0</v>
      </c>
      <c r="AS229" s="228">
        <v>948</v>
      </c>
      <c r="AT229" s="230">
        <v>1816</v>
      </c>
      <c r="AU229" s="228">
        <v>-869</v>
      </c>
      <c r="AV229" s="229">
        <v>-0.47820000000000001</v>
      </c>
      <c r="AW229" s="228">
        <v>394</v>
      </c>
      <c r="AX229" s="228">
        <v>862</v>
      </c>
      <c r="AY229" s="228">
        <v>-468</v>
      </c>
      <c r="AZ229" s="229">
        <v>-0.54300000000000004</v>
      </c>
      <c r="BA229" s="228">
        <v>534</v>
      </c>
      <c r="BB229" s="228">
        <v>939</v>
      </c>
      <c r="BC229" s="228">
        <v>-405</v>
      </c>
      <c r="BD229" s="229">
        <v>-0.43109999999999998</v>
      </c>
      <c r="BE229" s="228">
        <v>20</v>
      </c>
      <c r="BF229" s="228">
        <v>16</v>
      </c>
      <c r="BG229" s="228">
        <v>4</v>
      </c>
      <c r="BH229" s="229">
        <v>0.2329</v>
      </c>
      <c r="BI229" s="228">
        <v>984</v>
      </c>
      <c r="BJ229" s="230">
        <v>1101</v>
      </c>
      <c r="BK229" s="228">
        <v>-117</v>
      </c>
      <c r="BL229" s="229">
        <v>-0.10639999999999999</v>
      </c>
      <c r="BM229" s="228">
        <v>561</v>
      </c>
      <c r="BN229" s="228">
        <v>417</v>
      </c>
      <c r="BO229" s="228">
        <v>144</v>
      </c>
      <c r="BP229" s="229">
        <v>0.34560000000000002</v>
      </c>
      <c r="BQ229" s="230">
        <v>2493</v>
      </c>
      <c r="BR229" s="230">
        <v>3334</v>
      </c>
      <c r="BS229" s="228">
        <v>-842</v>
      </c>
      <c r="BT229" s="229">
        <v>-0.25240000000000001</v>
      </c>
      <c r="BU229" s="230">
        <v>7486940</v>
      </c>
      <c r="BV229" s="230">
        <v>6293643</v>
      </c>
      <c r="BW229" s="230">
        <v>1193297</v>
      </c>
      <c r="BX229" s="229">
        <v>0.18959999999999999</v>
      </c>
      <c r="BY229" s="230">
        <v>2689</v>
      </c>
      <c r="BZ229" s="230">
        <v>2957</v>
      </c>
      <c r="CA229" s="228">
        <v>-268</v>
      </c>
      <c r="CB229" s="229">
        <v>-9.0700000000000003E-2</v>
      </c>
      <c r="CC229" s="228">
        <v>207</v>
      </c>
      <c r="CD229" s="228">
        <v>405</v>
      </c>
      <c r="CE229" s="228">
        <v>-198</v>
      </c>
      <c r="CF229" s="229">
        <v>-0.48799999999999999</v>
      </c>
      <c r="CG229" s="230">
        <v>2622</v>
      </c>
      <c r="CH229" s="230">
        <v>2492</v>
      </c>
      <c r="CI229" s="228">
        <v>130</v>
      </c>
      <c r="CJ229" s="229">
        <v>5.21E-2</v>
      </c>
      <c r="CK229" s="228">
        <v>67</v>
      </c>
      <c r="CL229" s="228">
        <v>60</v>
      </c>
      <c r="CM229" s="228">
        <v>7</v>
      </c>
      <c r="CN229" s="229">
        <v>0.1135</v>
      </c>
      <c r="CO229" s="228">
        <v>711</v>
      </c>
      <c r="CP229" s="230">
        <v>1740</v>
      </c>
      <c r="CQ229" s="230">
        <v>-1029</v>
      </c>
      <c r="CR229" s="229">
        <v>-0.59119999999999995</v>
      </c>
      <c r="CS229" s="228">
        <v>460</v>
      </c>
      <c r="CT229" s="228">
        <v>873</v>
      </c>
      <c r="CU229" s="228">
        <v>-414</v>
      </c>
      <c r="CV229" s="229">
        <v>-0.47370000000000001</v>
      </c>
      <c r="CW229" s="230">
        <v>3860</v>
      </c>
      <c r="CX229" s="230">
        <v>5570</v>
      </c>
      <c r="CY229" s="230">
        <v>-1711</v>
      </c>
      <c r="CZ229" s="229">
        <v>-0.30709999999999998</v>
      </c>
      <c r="DA229" s="228">
        <v>24.17</v>
      </c>
      <c r="DB229" s="228">
        <v>24.86</v>
      </c>
      <c r="DC229" s="228">
        <v>-0.69</v>
      </c>
      <c r="DD229" s="228">
        <v>-0.69</v>
      </c>
      <c r="DE229" s="228">
        <v>32.229999999999997</v>
      </c>
      <c r="DF229" s="228">
        <v>32.29</v>
      </c>
      <c r="DG229" s="228">
        <v>-8.06</v>
      </c>
      <c r="DH229" s="228">
        <v>-0.06</v>
      </c>
      <c r="DI229" s="228">
        <v>24.74</v>
      </c>
      <c r="DJ229" s="228">
        <v>25.41</v>
      </c>
      <c r="DK229" s="228">
        <v>-0.67</v>
      </c>
      <c r="DL229" s="228">
        <v>-0.67</v>
      </c>
      <c r="DM229" s="228">
        <v>23.22</v>
      </c>
      <c r="DN229" s="228">
        <v>23.97</v>
      </c>
      <c r="DO229" s="228">
        <v>-0.75</v>
      </c>
      <c r="DP229" s="228">
        <v>-0.75</v>
      </c>
      <c r="DQ229" s="228">
        <v>0.65</v>
      </c>
      <c r="DR229" s="228">
        <v>0.5</v>
      </c>
      <c r="DS229" s="228">
        <v>0.15</v>
      </c>
      <c r="DT229" s="229">
        <v>0.3</v>
      </c>
      <c r="DU229" s="228">
        <v>270</v>
      </c>
      <c r="DV229" s="228">
        <v>250</v>
      </c>
      <c r="DW229" s="228">
        <v>0.56999999999999995</v>
      </c>
      <c r="DX229" s="228">
        <v>0.38</v>
      </c>
      <c r="DY229" s="228">
        <v>0.19</v>
      </c>
      <c r="DZ229" s="229">
        <v>0.5</v>
      </c>
      <c r="EA229" s="229">
        <v>0.9284</v>
      </c>
      <c r="EB229" s="230">
        <v>102804000</v>
      </c>
      <c r="EC229" s="229">
        <v>2.0000000000000001E-4</v>
      </c>
      <c r="ED229" s="229">
        <v>0.9284</v>
      </c>
      <c r="EE229" s="228">
        <v>-0.37</v>
      </c>
      <c r="EF229" s="229">
        <v>-1.5E-3</v>
      </c>
      <c r="EG229" s="230">
        <v>3977564</v>
      </c>
      <c r="EH229" s="230">
        <v>3648496</v>
      </c>
      <c r="EI229" s="229">
        <v>9.0200000000000002E-2</v>
      </c>
      <c r="EJ229" s="229">
        <v>0.53129999999999999</v>
      </c>
      <c r="EK229" s="231">
        <v>1030.24</v>
      </c>
      <c r="EL229" s="228">
        <v>571.51</v>
      </c>
      <c r="EM229" s="228">
        <v>945.74</v>
      </c>
      <c r="EN229" s="228">
        <v>0</v>
      </c>
      <c r="EO229" s="231">
        <v>2547.48</v>
      </c>
      <c r="EP229" s="231">
        <v>3421.86</v>
      </c>
      <c r="EQ229" s="228">
        <v>-874.38</v>
      </c>
      <c r="ER229" s="229">
        <v>-0.2555</v>
      </c>
      <c r="ES229" s="228">
        <v>766.61</v>
      </c>
      <c r="ET229" s="228">
        <v>461.2</v>
      </c>
      <c r="EU229" s="231">
        <v>2688.91</v>
      </c>
      <c r="EV229" s="231">
        <v>570590784</v>
      </c>
      <c r="EW229" s="231">
        <v>3916.73</v>
      </c>
      <c r="EX229" s="231">
        <v>5760.12</v>
      </c>
      <c r="EY229" s="231">
        <v>-1843.39</v>
      </c>
      <c r="EZ229" s="229">
        <v>-0.32</v>
      </c>
      <c r="FA229" s="229">
        <v>0.27250000000000002</v>
      </c>
      <c r="FB229" s="227" t="s">
        <v>568</v>
      </c>
      <c r="FC229">
        <f t="shared" si="4"/>
        <v>0</v>
      </c>
    </row>
    <row r="230" spans="1:159" ht="17.25" thickBot="1" x14ac:dyDescent="0.3">
      <c r="A230" s="226">
        <v>45869</v>
      </c>
      <c r="B230" s="227" t="s">
        <v>172</v>
      </c>
      <c r="C230" s="227" t="s">
        <v>591</v>
      </c>
      <c r="D230" s="228">
        <v>31100</v>
      </c>
      <c r="E230" s="228">
        <v>0</v>
      </c>
      <c r="F230" s="228">
        <v>19.03</v>
      </c>
      <c r="G230" s="228">
        <v>19.34</v>
      </c>
      <c r="H230" s="228">
        <v>-0.31</v>
      </c>
      <c r="I230" s="229">
        <v>-1.6E-2</v>
      </c>
      <c r="J230" s="228">
        <v>18.920000000000002</v>
      </c>
      <c r="K230" s="228">
        <v>19.22</v>
      </c>
      <c r="L230" s="228">
        <v>-0.3</v>
      </c>
      <c r="M230" s="229">
        <v>-1.5599999999999999E-2</v>
      </c>
      <c r="N230" s="228">
        <v>18.899999999999999</v>
      </c>
      <c r="O230" s="228">
        <v>19.239999999999998</v>
      </c>
      <c r="P230" s="228">
        <v>-0.34</v>
      </c>
      <c r="Q230" s="229">
        <v>-1.77E-2</v>
      </c>
      <c r="R230" s="228">
        <v>19.03</v>
      </c>
      <c r="S230" s="228">
        <v>19.34</v>
      </c>
      <c r="T230" s="228">
        <v>-0.31</v>
      </c>
      <c r="U230" s="229">
        <v>-1.6E-2</v>
      </c>
      <c r="V230" s="228">
        <v>19.149999999999999</v>
      </c>
      <c r="W230" s="228">
        <v>19.46</v>
      </c>
      <c r="X230" s="228">
        <v>-0.31</v>
      </c>
      <c r="Y230" s="229">
        <v>-1.5900000000000001E-2</v>
      </c>
      <c r="Z230" s="228">
        <v>0.11</v>
      </c>
      <c r="AA230" s="228">
        <v>0.02</v>
      </c>
      <c r="AB230" s="228">
        <v>0.09</v>
      </c>
      <c r="AC230" s="229">
        <v>5.7999999999999996E-3</v>
      </c>
      <c r="AD230" s="228">
        <v>-0.02</v>
      </c>
      <c r="AE230" s="228">
        <v>0.02</v>
      </c>
      <c r="AF230" s="228">
        <v>-0.04</v>
      </c>
      <c r="AG230" s="229">
        <v>-1.1000000000000001E-3</v>
      </c>
      <c r="AH230" s="228">
        <v>0.11</v>
      </c>
      <c r="AI230" s="228">
        <v>0.12</v>
      </c>
      <c r="AJ230" s="228">
        <v>-0.01</v>
      </c>
      <c r="AK230" s="229">
        <v>5.7999999999999996E-3</v>
      </c>
      <c r="AL230" s="228">
        <v>0.23</v>
      </c>
      <c r="AM230" s="228">
        <v>0.24</v>
      </c>
      <c r="AN230" s="228">
        <v>-0.01</v>
      </c>
      <c r="AO230" s="229">
        <v>1.2200000000000001E-2</v>
      </c>
      <c r="AP230" s="228">
        <v>18.98</v>
      </c>
      <c r="AQ230" s="228">
        <v>19.09</v>
      </c>
      <c r="AR230" s="228">
        <v>0</v>
      </c>
      <c r="AS230" s="230">
        <v>1593</v>
      </c>
      <c r="AT230" s="228">
        <v>847</v>
      </c>
      <c r="AU230" s="228">
        <v>745</v>
      </c>
      <c r="AV230" s="229">
        <v>0.87949999999999995</v>
      </c>
      <c r="AW230" s="228">
        <v>763</v>
      </c>
      <c r="AX230" s="228">
        <v>411</v>
      </c>
      <c r="AY230" s="228">
        <v>352</v>
      </c>
      <c r="AZ230" s="229">
        <v>0.85440000000000005</v>
      </c>
      <c r="BA230" s="228">
        <v>798</v>
      </c>
      <c r="BB230" s="228">
        <v>418</v>
      </c>
      <c r="BC230" s="228">
        <v>380</v>
      </c>
      <c r="BD230" s="229">
        <v>0.91090000000000004</v>
      </c>
      <c r="BE230" s="228">
        <v>31</v>
      </c>
      <c r="BF230" s="228">
        <v>18</v>
      </c>
      <c r="BG230" s="228">
        <v>13</v>
      </c>
      <c r="BH230" s="229">
        <v>0.72640000000000005</v>
      </c>
      <c r="BI230" s="228">
        <v>336</v>
      </c>
      <c r="BJ230" s="228">
        <v>162</v>
      </c>
      <c r="BK230" s="228">
        <v>174</v>
      </c>
      <c r="BL230" s="229">
        <v>1.0711999999999999</v>
      </c>
      <c r="BM230" s="228">
        <v>392</v>
      </c>
      <c r="BN230" s="228">
        <v>193</v>
      </c>
      <c r="BO230" s="228">
        <v>200</v>
      </c>
      <c r="BP230" s="229">
        <v>1.0362</v>
      </c>
      <c r="BQ230" s="230">
        <v>2321</v>
      </c>
      <c r="BR230" s="230">
        <v>1202</v>
      </c>
      <c r="BS230" s="230">
        <v>1119</v>
      </c>
      <c r="BT230" s="229">
        <v>0.93049999999999999</v>
      </c>
      <c r="BU230" s="230">
        <v>106609391</v>
      </c>
      <c r="BV230" s="230">
        <v>60000698</v>
      </c>
      <c r="BW230" s="230">
        <v>46608693</v>
      </c>
      <c r="BX230" s="229">
        <v>0.77680000000000005</v>
      </c>
      <c r="BY230" s="230">
        <v>1857</v>
      </c>
      <c r="BZ230" s="230">
        <v>1982</v>
      </c>
      <c r="CA230" s="228">
        <v>-126</v>
      </c>
      <c r="CB230" s="229">
        <v>-6.3399999999999998E-2</v>
      </c>
      <c r="CC230" s="228">
        <v>254</v>
      </c>
      <c r="CD230" s="228">
        <v>662</v>
      </c>
      <c r="CE230" s="228">
        <v>-407</v>
      </c>
      <c r="CF230" s="229">
        <v>-0.61570000000000003</v>
      </c>
      <c r="CG230" s="230">
        <v>1763</v>
      </c>
      <c r="CH230" s="230">
        <v>1247</v>
      </c>
      <c r="CI230" s="228">
        <v>516</v>
      </c>
      <c r="CJ230" s="229">
        <v>0.4138</v>
      </c>
      <c r="CK230" s="228">
        <v>94</v>
      </c>
      <c r="CL230" s="228">
        <v>73</v>
      </c>
      <c r="CM230" s="228">
        <v>20</v>
      </c>
      <c r="CN230" s="229">
        <v>0.27560000000000001</v>
      </c>
      <c r="CO230" s="228">
        <v>369</v>
      </c>
      <c r="CP230" s="228">
        <v>873</v>
      </c>
      <c r="CQ230" s="228">
        <v>-505</v>
      </c>
      <c r="CR230" s="229">
        <v>-0.5776</v>
      </c>
      <c r="CS230" s="228">
        <v>314</v>
      </c>
      <c r="CT230" s="228">
        <v>524</v>
      </c>
      <c r="CU230" s="228">
        <v>-210</v>
      </c>
      <c r="CV230" s="229">
        <v>-0.40089999999999998</v>
      </c>
      <c r="CW230" s="230">
        <v>2539</v>
      </c>
      <c r="CX230" s="230">
        <v>3380</v>
      </c>
      <c r="CY230" s="228">
        <v>-840</v>
      </c>
      <c r="CZ230" s="229">
        <v>-0.24859999999999999</v>
      </c>
      <c r="DA230" s="228">
        <v>30.78</v>
      </c>
      <c r="DB230" s="228">
        <v>31.75</v>
      </c>
      <c r="DC230" s="228">
        <v>-0.97</v>
      </c>
      <c r="DD230" s="228">
        <v>-0.97</v>
      </c>
      <c r="DE230" s="228">
        <v>44.42</v>
      </c>
      <c r="DF230" s="228">
        <v>44.48</v>
      </c>
      <c r="DG230" s="228">
        <v>-13.64</v>
      </c>
      <c r="DH230" s="228">
        <v>-0.06</v>
      </c>
      <c r="DI230" s="228">
        <v>32.36</v>
      </c>
      <c r="DJ230" s="228">
        <v>33.51</v>
      </c>
      <c r="DK230" s="228">
        <v>-1.1499999999999999</v>
      </c>
      <c r="DL230" s="228">
        <v>-1.1499999999999999</v>
      </c>
      <c r="DM230" s="228">
        <v>28.65</v>
      </c>
      <c r="DN230" s="228">
        <v>30.11</v>
      </c>
      <c r="DO230" s="228">
        <v>-1.46</v>
      </c>
      <c r="DP230" s="228">
        <v>-1.46</v>
      </c>
      <c r="DQ230" s="228">
        <v>0.85</v>
      </c>
      <c r="DR230" s="228">
        <v>0.6</v>
      </c>
      <c r="DS230" s="228">
        <v>0.25</v>
      </c>
      <c r="DT230" s="229">
        <v>0.41670000000000001</v>
      </c>
      <c r="DU230" s="228">
        <v>21</v>
      </c>
      <c r="DV230" s="228">
        <v>20</v>
      </c>
      <c r="DW230" s="228">
        <v>1.17</v>
      </c>
      <c r="DX230" s="228">
        <v>1.19</v>
      </c>
      <c r="DY230" s="228">
        <v>-0.02</v>
      </c>
      <c r="DZ230" s="229">
        <v>-1.6799999999999999E-2</v>
      </c>
      <c r="EA230" s="229">
        <v>0.87949999999999995</v>
      </c>
      <c r="EB230" s="230">
        <v>693841000</v>
      </c>
      <c r="EC230" s="229">
        <v>6.8999999999999999E-3</v>
      </c>
      <c r="ED230" s="229">
        <v>0.87949999999999995</v>
      </c>
      <c r="EE230" s="228">
        <v>0.11</v>
      </c>
      <c r="EF230" s="229">
        <v>5.7999999999999996E-3</v>
      </c>
      <c r="EG230" s="230">
        <v>50333758</v>
      </c>
      <c r="EH230" s="230">
        <v>30325558</v>
      </c>
      <c r="EI230" s="229">
        <v>0.65980000000000005</v>
      </c>
      <c r="EJ230" s="229">
        <v>0.47210000000000002</v>
      </c>
      <c r="EK230" s="228">
        <v>360.99</v>
      </c>
      <c r="EL230" s="228">
        <v>417.3</v>
      </c>
      <c r="EM230" s="231">
        <v>1593.1</v>
      </c>
      <c r="EN230" s="228">
        <v>0</v>
      </c>
      <c r="EO230" s="231">
        <v>2371.39</v>
      </c>
      <c r="EP230" s="231">
        <v>1246.81</v>
      </c>
      <c r="EQ230" s="231">
        <v>1124.58</v>
      </c>
      <c r="ER230" s="229">
        <v>0.90200000000000002</v>
      </c>
      <c r="ES230" s="228">
        <v>411.14</v>
      </c>
      <c r="ET230" s="228">
        <v>322.62</v>
      </c>
      <c r="EU230" s="231">
        <v>1857.17</v>
      </c>
      <c r="EV230" s="231">
        <v>6270823064</v>
      </c>
      <c r="EW230" s="231">
        <v>2590.9299999999998</v>
      </c>
      <c r="EX230" s="231">
        <v>3559.38</v>
      </c>
      <c r="EY230" s="228">
        <v>-968.45</v>
      </c>
      <c r="EZ230" s="229">
        <v>-0.27210000000000001</v>
      </c>
      <c r="FA230" s="229">
        <v>0.21279999999999999</v>
      </c>
      <c r="FB230" s="227" t="s">
        <v>568</v>
      </c>
      <c r="FC230">
        <f t="shared" si="4"/>
        <v>0</v>
      </c>
    </row>
    <row r="231" spans="1:159" ht="17.25" thickBot="1" x14ac:dyDescent="0.3">
      <c r="A231" s="226">
        <v>45869</v>
      </c>
      <c r="B231" s="227" t="s">
        <v>170</v>
      </c>
      <c r="C231" s="227" t="s">
        <v>557</v>
      </c>
      <c r="D231" s="228">
        <v>900</v>
      </c>
      <c r="E231" s="228">
        <v>0</v>
      </c>
      <c r="F231" s="228">
        <v>972.8</v>
      </c>
      <c r="G231" s="228">
        <v>999.85</v>
      </c>
      <c r="H231" s="228">
        <v>-27.05</v>
      </c>
      <c r="I231" s="229">
        <v>-2.7099999999999999E-2</v>
      </c>
      <c r="J231" s="228">
        <v>969.8</v>
      </c>
      <c r="K231" s="228">
        <v>995.15</v>
      </c>
      <c r="L231" s="228">
        <v>-25.35</v>
      </c>
      <c r="M231" s="229">
        <v>-2.5499999999999998E-2</v>
      </c>
      <c r="N231" s="228">
        <v>967.85</v>
      </c>
      <c r="O231" s="228">
        <v>994.9</v>
      </c>
      <c r="P231" s="228">
        <v>-27.05</v>
      </c>
      <c r="Q231" s="229">
        <v>-2.7199999999999998E-2</v>
      </c>
      <c r="R231" s="228">
        <v>972.8</v>
      </c>
      <c r="S231" s="228">
        <v>999.85</v>
      </c>
      <c r="T231" s="228">
        <v>-27.05</v>
      </c>
      <c r="U231" s="229">
        <v>-2.7099999999999999E-2</v>
      </c>
      <c r="V231" s="228">
        <v>977.1</v>
      </c>
      <c r="W231" s="231">
        <v>1003.55</v>
      </c>
      <c r="X231" s="228">
        <v>-26.45</v>
      </c>
      <c r="Y231" s="229">
        <v>-2.64E-2</v>
      </c>
      <c r="Z231" s="228">
        <v>3</v>
      </c>
      <c r="AA231" s="228">
        <v>-0.25</v>
      </c>
      <c r="AB231" s="228">
        <v>3.25</v>
      </c>
      <c r="AC231" s="229">
        <v>3.0999999999999999E-3</v>
      </c>
      <c r="AD231" s="228">
        <v>-1.95</v>
      </c>
      <c r="AE231" s="228">
        <v>-0.25</v>
      </c>
      <c r="AF231" s="228">
        <v>-1.7</v>
      </c>
      <c r="AG231" s="229">
        <v>-2E-3</v>
      </c>
      <c r="AH231" s="228">
        <v>3</v>
      </c>
      <c r="AI231" s="228">
        <v>4.7</v>
      </c>
      <c r="AJ231" s="228">
        <v>-1.7</v>
      </c>
      <c r="AK231" s="229">
        <v>3.0999999999999999E-3</v>
      </c>
      <c r="AL231" s="228">
        <v>7.3</v>
      </c>
      <c r="AM231" s="228">
        <v>8.4</v>
      </c>
      <c r="AN231" s="228">
        <v>-1.1000000000000001</v>
      </c>
      <c r="AO231" s="229">
        <v>7.4999999999999997E-3</v>
      </c>
      <c r="AP231" s="228">
        <v>972.05</v>
      </c>
      <c r="AQ231" s="228">
        <v>977.4</v>
      </c>
      <c r="AR231" s="228">
        <v>0</v>
      </c>
      <c r="AS231" s="228">
        <v>621</v>
      </c>
      <c r="AT231" s="228">
        <v>447</v>
      </c>
      <c r="AU231" s="228">
        <v>174</v>
      </c>
      <c r="AV231" s="229">
        <v>0.3891</v>
      </c>
      <c r="AW231" s="228">
        <v>259</v>
      </c>
      <c r="AX231" s="228">
        <v>210</v>
      </c>
      <c r="AY231" s="228">
        <v>49</v>
      </c>
      <c r="AZ231" s="229">
        <v>0.23069999999999999</v>
      </c>
      <c r="BA231" s="228">
        <v>354</v>
      </c>
      <c r="BB231" s="228">
        <v>233</v>
      </c>
      <c r="BC231" s="228">
        <v>121</v>
      </c>
      <c r="BD231" s="229">
        <v>0.51859999999999995</v>
      </c>
      <c r="BE231" s="228">
        <v>8</v>
      </c>
      <c r="BF231" s="228">
        <v>4</v>
      </c>
      <c r="BG231" s="228">
        <v>5</v>
      </c>
      <c r="BH231" s="229">
        <v>1.2093</v>
      </c>
      <c r="BI231" s="228">
        <v>281</v>
      </c>
      <c r="BJ231" s="228">
        <v>280</v>
      </c>
      <c r="BK231" s="228">
        <v>1</v>
      </c>
      <c r="BL231" s="229">
        <v>2.5000000000000001E-3</v>
      </c>
      <c r="BM231" s="228">
        <v>348</v>
      </c>
      <c r="BN231" s="228">
        <v>124</v>
      </c>
      <c r="BO231" s="228">
        <v>224</v>
      </c>
      <c r="BP231" s="229">
        <v>1.7999000000000001</v>
      </c>
      <c r="BQ231" s="230">
        <v>1250</v>
      </c>
      <c r="BR231" s="228">
        <v>851</v>
      </c>
      <c r="BS231" s="228">
        <v>398</v>
      </c>
      <c r="BT231" s="229">
        <v>0.46789999999999998</v>
      </c>
      <c r="BU231" s="230">
        <v>1212408</v>
      </c>
      <c r="BV231" s="230">
        <v>794890</v>
      </c>
      <c r="BW231" s="230">
        <v>417518</v>
      </c>
      <c r="BX231" s="229">
        <v>0.52529999999999999</v>
      </c>
      <c r="BY231" s="228">
        <v>837</v>
      </c>
      <c r="BZ231" s="228">
        <v>949</v>
      </c>
      <c r="CA231" s="228">
        <v>-111</v>
      </c>
      <c r="CB231" s="229">
        <v>-0.1174</v>
      </c>
      <c r="CC231" s="228">
        <v>44</v>
      </c>
      <c r="CD231" s="228">
        <v>183</v>
      </c>
      <c r="CE231" s="228">
        <v>-139</v>
      </c>
      <c r="CF231" s="229">
        <v>-0.75800000000000001</v>
      </c>
      <c r="CG231" s="228">
        <v>822</v>
      </c>
      <c r="CH231" s="228">
        <v>754</v>
      </c>
      <c r="CI231" s="228">
        <v>68</v>
      </c>
      <c r="CJ231" s="229">
        <v>9.0700000000000003E-2</v>
      </c>
      <c r="CK231" s="228">
        <v>15</v>
      </c>
      <c r="CL231" s="228">
        <v>12</v>
      </c>
      <c r="CM231" s="228">
        <v>3</v>
      </c>
      <c r="CN231" s="229">
        <v>0.24640000000000001</v>
      </c>
      <c r="CO231" s="228">
        <v>123</v>
      </c>
      <c r="CP231" s="228">
        <v>298</v>
      </c>
      <c r="CQ231" s="228">
        <v>-175</v>
      </c>
      <c r="CR231" s="229">
        <v>-0.5877</v>
      </c>
      <c r="CS231" s="228">
        <v>95</v>
      </c>
      <c r="CT231" s="228">
        <v>230</v>
      </c>
      <c r="CU231" s="228">
        <v>-135</v>
      </c>
      <c r="CV231" s="229">
        <v>-0.58550000000000002</v>
      </c>
      <c r="CW231" s="230">
        <v>1055</v>
      </c>
      <c r="CX231" s="230">
        <v>1476</v>
      </c>
      <c r="CY231" s="228">
        <v>-421</v>
      </c>
      <c r="CZ231" s="229">
        <v>-0.28520000000000001</v>
      </c>
      <c r="DA231" s="228">
        <v>27.64</v>
      </c>
      <c r="DB231" s="228">
        <v>26.45</v>
      </c>
      <c r="DC231" s="228">
        <v>1.19</v>
      </c>
      <c r="DD231" s="228">
        <v>1.19</v>
      </c>
      <c r="DE231" s="228">
        <v>30.55</v>
      </c>
      <c r="DF231" s="228">
        <v>30.4</v>
      </c>
      <c r="DG231" s="228">
        <v>-2.91</v>
      </c>
      <c r="DH231" s="228">
        <v>0.15</v>
      </c>
      <c r="DI231" s="228">
        <v>27.66</v>
      </c>
      <c r="DJ231" s="228">
        <v>26.44</v>
      </c>
      <c r="DK231" s="228">
        <v>1.22</v>
      </c>
      <c r="DL231" s="228">
        <v>1.22</v>
      </c>
      <c r="DM231" s="228">
        <v>27.62</v>
      </c>
      <c r="DN231" s="228">
        <v>26.52</v>
      </c>
      <c r="DO231" s="228">
        <v>1.1000000000000001</v>
      </c>
      <c r="DP231" s="228">
        <v>1.1000000000000001</v>
      </c>
      <c r="DQ231" s="228">
        <v>0.78</v>
      </c>
      <c r="DR231" s="228">
        <v>0.77</v>
      </c>
      <c r="DS231" s="228">
        <v>0.01</v>
      </c>
      <c r="DT231" s="229">
        <v>1.2999999999999999E-2</v>
      </c>
      <c r="DU231" s="231">
        <v>1000</v>
      </c>
      <c r="DV231" s="228">
        <v>900</v>
      </c>
      <c r="DW231" s="228">
        <v>1.24</v>
      </c>
      <c r="DX231" s="228">
        <v>0.44</v>
      </c>
      <c r="DY231" s="228">
        <v>0.8</v>
      </c>
      <c r="DZ231" s="229">
        <v>1.8182</v>
      </c>
      <c r="EA231" s="229">
        <v>0.94979999999999998</v>
      </c>
      <c r="EB231" s="230">
        <v>7872300</v>
      </c>
      <c r="EC231" s="229">
        <v>5.1000000000000004E-3</v>
      </c>
      <c r="ED231" s="229">
        <v>0.94979999999999998</v>
      </c>
      <c r="EE231" s="228">
        <v>5.35</v>
      </c>
      <c r="EF231" s="229">
        <v>5.4999999999999997E-3</v>
      </c>
      <c r="EG231" s="230">
        <v>543658</v>
      </c>
      <c r="EH231" s="230">
        <v>437005</v>
      </c>
      <c r="EI231" s="229">
        <v>0.24410000000000001</v>
      </c>
      <c r="EJ231" s="229">
        <v>0.44840000000000002</v>
      </c>
      <c r="EK231" s="228">
        <v>293.02999999999997</v>
      </c>
      <c r="EL231" s="228">
        <v>347.59</v>
      </c>
      <c r="EM231" s="228">
        <v>622.91999999999996</v>
      </c>
      <c r="EN231" s="228">
        <v>0</v>
      </c>
      <c r="EO231" s="231">
        <v>1263.54</v>
      </c>
      <c r="EP231" s="228">
        <v>879.69</v>
      </c>
      <c r="EQ231" s="228">
        <v>383.85</v>
      </c>
      <c r="ER231" s="229">
        <v>0.43630000000000002</v>
      </c>
      <c r="ES231" s="228">
        <v>130.30000000000001</v>
      </c>
      <c r="ET231" s="228">
        <v>95.57</v>
      </c>
      <c r="EU231" s="228">
        <v>837.24</v>
      </c>
      <c r="EV231" s="231">
        <v>50321935</v>
      </c>
      <c r="EW231" s="231">
        <v>1063.0999999999999</v>
      </c>
      <c r="EX231" s="231">
        <v>1512.89</v>
      </c>
      <c r="EY231" s="228">
        <v>-449.79</v>
      </c>
      <c r="EZ231" s="229">
        <v>-0.29730000000000001</v>
      </c>
      <c r="FA231" s="229">
        <v>0.21560000000000001</v>
      </c>
      <c r="FB231" s="227" t="s">
        <v>568</v>
      </c>
      <c r="FC231">
        <f t="shared" si="4"/>
        <v>0</v>
      </c>
    </row>
    <row r="232" spans="1:159" x14ac:dyDescent="0.25">
      <c r="FC232">
        <f t="shared" si="4"/>
        <v>0</v>
      </c>
    </row>
    <row r="233" spans="1:159" x14ac:dyDescent="0.25">
      <c r="FC233">
        <f t="shared" si="4"/>
        <v>0</v>
      </c>
    </row>
    <row r="234" spans="1:159" x14ac:dyDescent="0.25">
      <c r="FC234">
        <f t="shared" si="4"/>
        <v>0</v>
      </c>
    </row>
    <row r="235" spans="1:159" x14ac:dyDescent="0.25">
      <c r="FC235">
        <f t="shared" si="4"/>
        <v>0</v>
      </c>
    </row>
    <row r="236" spans="1:159" x14ac:dyDescent="0.25">
      <c r="FC236">
        <f t="shared" si="4"/>
        <v>0</v>
      </c>
    </row>
    <row r="237" spans="1:159" x14ac:dyDescent="0.25">
      <c r="FC237">
        <f t="shared" si="4"/>
        <v>0</v>
      </c>
    </row>
    <row r="238" spans="1:159" x14ac:dyDescent="0.25">
      <c r="FC238">
        <f t="shared" si="4"/>
        <v>0</v>
      </c>
    </row>
    <row r="239" spans="1:159" x14ac:dyDescent="0.25">
      <c r="FC239">
        <f t="shared" si="4"/>
        <v>0</v>
      </c>
    </row>
    <row r="240" spans="1: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BY341-CC341</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BY405-CC405</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BY7" sqref="BY7"/>
    </sheetView>
  </sheetViews>
  <sheetFormatPr defaultRowHeight="15" x14ac:dyDescent="0.25"/>
  <cols>
    <col min="1" max="1" width="11"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4.85546875" customWidth="1"/>
    <col min="79" max="79" width="11" customWidth="1"/>
    <col min="80" max="80" width="14" customWidth="1"/>
    <col min="81" max="81" width="14.42578125" customWidth="1"/>
    <col min="82" max="82" width="14.85546875" customWidth="1"/>
    <col min="83" max="83" width="11.42578125" customWidth="1"/>
    <col min="84" max="85" width="15.5703125" customWidth="1"/>
    <col min="86" max="86" width="14" customWidth="1"/>
    <col min="87" max="87" width="11.42578125" customWidth="1"/>
    <col min="88" max="89" width="14" customWidth="1"/>
    <col min="90" max="90" width="12.7109375" customWidth="1"/>
    <col min="91" max="91" width="10.140625" customWidth="1"/>
    <col min="92" max="92" width="14" customWidth="1"/>
    <col min="93" max="93" width="15.5703125" customWidth="1"/>
    <col min="94" max="94" width="16.42578125" customWidth="1"/>
    <col min="95" max="95" width="11" customWidth="1"/>
    <col min="96" max="97" width="14" customWidth="1"/>
    <col min="98" max="98" width="14.85546875" customWidth="1"/>
    <col min="99" max="99" width="10.28515625" customWidth="1"/>
    <col min="100" max="101" width="15.5703125" customWidth="1"/>
    <col min="102" max="102" width="16.42578125" customWidth="1"/>
    <col min="103" max="103" width="11.7109375" customWidth="1"/>
    <col min="104" max="104" width="8" style="195" customWidth="1"/>
    <col min="105" max="105" width="8.7109375" customWidth="1"/>
    <col min="106" max="107" width="8.855468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1"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5703125" customWidth="1"/>
    <col min="132" max="132" width="15" customWidth="1"/>
    <col min="133" max="133" width="12.42578125" customWidth="1"/>
    <col min="134" max="134" width="11.42578125" customWidth="1"/>
    <col min="135" max="135" width="13.5703125" customWidth="1"/>
    <col min="136" max="136" width="12.7109375"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2" width="15.85546875" customWidth="1"/>
    <col min="153" max="153" width="16.7109375" customWidth="1"/>
    <col min="154" max="154" width="16.42578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thickBot="1" x14ac:dyDescent="0.3">
      <c r="A2" s="226">
        <v>45869</v>
      </c>
      <c r="B2" s="227" t="s">
        <v>175</v>
      </c>
      <c r="C2" s="227" t="s">
        <v>684</v>
      </c>
      <c r="D2" s="228">
        <v>500</v>
      </c>
      <c r="E2" s="231">
        <v>1057.5999999999999</v>
      </c>
      <c r="F2" s="231">
        <v>1066.9000000000001</v>
      </c>
      <c r="G2" s="228">
        <v>-9.3000000000000007</v>
      </c>
      <c r="H2" s="229">
        <v>-8.6999999999999994E-3</v>
      </c>
      <c r="I2" s="231">
        <v>1052.7</v>
      </c>
      <c r="J2" s="231">
        <v>1060.2</v>
      </c>
      <c r="K2" s="228">
        <v>-7.5</v>
      </c>
      <c r="L2" s="229">
        <v>-7.1000000000000004E-3</v>
      </c>
      <c r="M2" s="231">
        <v>1051</v>
      </c>
      <c r="N2" s="231">
        <v>1060.2</v>
      </c>
      <c r="O2" s="228">
        <v>-9.1999999999999993</v>
      </c>
      <c r="P2" s="229">
        <v>-8.6999999999999994E-3</v>
      </c>
      <c r="Q2" s="231">
        <v>1057.5999999999999</v>
      </c>
      <c r="R2" s="231">
        <v>1066.9000000000001</v>
      </c>
      <c r="S2" s="228">
        <v>-9.3000000000000007</v>
      </c>
      <c r="T2" s="229">
        <v>-8.6999999999999994E-3</v>
      </c>
      <c r="U2" s="231">
        <v>1062.3</v>
      </c>
      <c r="V2" s="231">
        <v>1070</v>
      </c>
      <c r="W2" s="228">
        <v>-7.7</v>
      </c>
      <c r="X2" s="229">
        <v>-7.1999999999999998E-3</v>
      </c>
      <c r="Y2" s="228">
        <v>4.9000000000000004</v>
      </c>
      <c r="Z2" s="228">
        <v>0</v>
      </c>
      <c r="AA2" s="228">
        <v>4.9000000000000004</v>
      </c>
      <c r="AB2" s="229">
        <v>4.7000000000000002E-3</v>
      </c>
      <c r="AC2" s="228">
        <v>-1.7</v>
      </c>
      <c r="AD2" s="228">
        <v>0</v>
      </c>
      <c r="AE2" s="228">
        <v>-1.7</v>
      </c>
      <c r="AF2" s="229">
        <v>-1.6000000000000001E-3</v>
      </c>
      <c r="AG2" s="228">
        <v>4.9000000000000004</v>
      </c>
      <c r="AH2" s="228">
        <v>6.7</v>
      </c>
      <c r="AI2" s="228">
        <v>-1.8</v>
      </c>
      <c r="AJ2" s="229">
        <v>4.7000000000000002E-3</v>
      </c>
      <c r="AK2" s="228">
        <v>9.6</v>
      </c>
      <c r="AL2" s="228">
        <v>9.8000000000000007</v>
      </c>
      <c r="AM2" s="228">
        <v>-0.2</v>
      </c>
      <c r="AN2" s="229">
        <v>9.1000000000000004E-3</v>
      </c>
      <c r="AO2" s="231">
        <v>1049.4000000000001</v>
      </c>
      <c r="AP2" s="231">
        <v>1055.18</v>
      </c>
      <c r="AQ2" s="228">
        <v>0</v>
      </c>
      <c r="AR2" s="230">
        <v>4464000</v>
      </c>
      <c r="AS2" s="230">
        <v>2191500</v>
      </c>
      <c r="AT2" s="230">
        <v>2272500</v>
      </c>
      <c r="AU2" s="229">
        <v>1.0369999999999999</v>
      </c>
      <c r="AV2" s="230">
        <v>1875000</v>
      </c>
      <c r="AW2" s="230">
        <v>885500</v>
      </c>
      <c r="AX2" s="230">
        <v>989500</v>
      </c>
      <c r="AY2" s="229">
        <v>1.1173999999999999</v>
      </c>
      <c r="AZ2" s="230">
        <v>2586000</v>
      </c>
      <c r="BA2" s="230">
        <v>1303500</v>
      </c>
      <c r="BB2" s="230">
        <v>1282500</v>
      </c>
      <c r="BC2" s="229">
        <v>0.9839</v>
      </c>
      <c r="BD2" s="230">
        <v>3000</v>
      </c>
      <c r="BE2" s="230">
        <v>2500</v>
      </c>
      <c r="BF2" s="228">
        <v>500</v>
      </c>
      <c r="BG2" s="229">
        <v>0.2</v>
      </c>
      <c r="BH2" s="230">
        <v>1108000</v>
      </c>
      <c r="BI2" s="230">
        <v>2386500</v>
      </c>
      <c r="BJ2" s="230">
        <v>-1278500</v>
      </c>
      <c r="BK2" s="229">
        <v>-0.53569999999999995</v>
      </c>
      <c r="BL2" s="230">
        <v>443000</v>
      </c>
      <c r="BM2" s="230">
        <v>466000</v>
      </c>
      <c r="BN2" s="230">
        <v>-23000</v>
      </c>
      <c r="BO2" s="229">
        <v>-4.9399999999999999E-2</v>
      </c>
      <c r="BP2" s="230">
        <v>6015000</v>
      </c>
      <c r="BQ2" s="230">
        <v>5044000</v>
      </c>
      <c r="BR2" s="230">
        <v>971000</v>
      </c>
      <c r="BS2" s="229">
        <v>0.1925</v>
      </c>
      <c r="BT2" s="230">
        <v>1272584</v>
      </c>
      <c r="BU2" s="230">
        <v>1007666</v>
      </c>
      <c r="BV2" s="230">
        <v>264918</v>
      </c>
      <c r="BW2" s="229">
        <v>0.26290000000000002</v>
      </c>
      <c r="BX2" s="230">
        <v>4766000</v>
      </c>
      <c r="BY2" s="230">
        <v>6219000</v>
      </c>
      <c r="BZ2" s="230">
        <v>-1453000</v>
      </c>
      <c r="CA2" s="229">
        <v>-0.2336</v>
      </c>
      <c r="CB2" s="230">
        <v>1809000</v>
      </c>
      <c r="CC2" s="230">
        <v>2146000</v>
      </c>
      <c r="CD2" s="230">
        <v>-337000</v>
      </c>
      <c r="CE2" s="229">
        <v>-0.157</v>
      </c>
      <c r="CF2" s="230">
        <v>4756500</v>
      </c>
      <c r="CG2" s="230">
        <v>4064500</v>
      </c>
      <c r="CH2" s="230">
        <v>692000</v>
      </c>
      <c r="CI2" s="229">
        <v>0.17030000000000001</v>
      </c>
      <c r="CJ2" s="230">
        <v>9500</v>
      </c>
      <c r="CK2" s="230">
        <v>8500</v>
      </c>
      <c r="CL2" s="230">
        <v>1000</v>
      </c>
      <c r="CM2" s="229">
        <v>0.1176</v>
      </c>
      <c r="CN2" s="230">
        <v>828500</v>
      </c>
      <c r="CO2" s="230">
        <v>2255000</v>
      </c>
      <c r="CP2" s="230">
        <v>-1426500</v>
      </c>
      <c r="CQ2" s="229">
        <v>-0.63260000000000005</v>
      </c>
      <c r="CR2" s="230">
        <v>619500</v>
      </c>
      <c r="CS2" s="230">
        <v>1306000</v>
      </c>
      <c r="CT2" s="230">
        <v>-686500</v>
      </c>
      <c r="CU2" s="229">
        <v>-0.52569999999999995</v>
      </c>
      <c r="CV2" s="230">
        <v>6214000</v>
      </c>
      <c r="CW2" s="230">
        <v>9780000</v>
      </c>
      <c r="CX2" s="230">
        <v>-3566000</v>
      </c>
      <c r="CY2" s="229">
        <v>-0.36459999999999998</v>
      </c>
      <c r="CZ2" s="228">
        <v>29.04</v>
      </c>
      <c r="DA2" s="228">
        <v>29.92</v>
      </c>
      <c r="DB2" s="228">
        <v>-0.88</v>
      </c>
      <c r="DC2" s="228">
        <v>-0.88</v>
      </c>
      <c r="DD2" s="228">
        <v>49.62</v>
      </c>
      <c r="DE2" s="228">
        <v>49.73</v>
      </c>
      <c r="DF2" s="228">
        <v>-20.58</v>
      </c>
      <c r="DG2" s="228">
        <v>-0.11</v>
      </c>
      <c r="DH2" s="228">
        <v>29.95</v>
      </c>
      <c r="DI2" s="228">
        <v>30.7</v>
      </c>
      <c r="DJ2" s="228">
        <v>-0.75</v>
      </c>
      <c r="DK2" s="228">
        <v>-0.75</v>
      </c>
      <c r="DL2" s="228">
        <v>27.09</v>
      </c>
      <c r="DM2" s="228">
        <v>26.11</v>
      </c>
      <c r="DN2" s="228">
        <v>0.98</v>
      </c>
      <c r="DO2" s="228">
        <v>0.98</v>
      </c>
      <c r="DP2" s="228">
        <v>0.75</v>
      </c>
      <c r="DQ2" s="228">
        <v>0.57999999999999996</v>
      </c>
      <c r="DR2" s="228">
        <v>0.17</v>
      </c>
      <c r="DS2" s="229">
        <v>0.29310000000000003</v>
      </c>
      <c r="DT2" s="231">
        <v>1200</v>
      </c>
      <c r="DU2" s="231">
        <v>1140</v>
      </c>
      <c r="DV2" s="228">
        <v>0.4</v>
      </c>
      <c r="DW2" s="228">
        <v>0.2</v>
      </c>
      <c r="DX2" s="228">
        <v>0.2</v>
      </c>
      <c r="DY2" s="229">
        <v>1</v>
      </c>
      <c r="DZ2" s="229">
        <v>0.72489999999999999</v>
      </c>
      <c r="EA2" s="230">
        <v>4073000</v>
      </c>
      <c r="EB2" s="229">
        <v>6.3E-3</v>
      </c>
      <c r="EC2" s="229">
        <v>0.72489999999999999</v>
      </c>
      <c r="ED2" s="228">
        <v>5.78</v>
      </c>
      <c r="EE2" s="229">
        <v>5.4999999999999997E-3</v>
      </c>
      <c r="EF2" s="230">
        <v>903217</v>
      </c>
      <c r="EG2" s="230">
        <v>649518</v>
      </c>
      <c r="EH2" s="229">
        <v>0.3906</v>
      </c>
      <c r="EI2" s="229">
        <v>0.70979999999999999</v>
      </c>
      <c r="EJ2" s="231">
        <v>12972.34</v>
      </c>
      <c r="EK2" s="231">
        <v>4922</v>
      </c>
      <c r="EL2" s="231">
        <v>46995.19</v>
      </c>
      <c r="EM2" s="228">
        <v>0</v>
      </c>
      <c r="EN2" s="231">
        <v>64889.53</v>
      </c>
      <c r="EO2" s="231">
        <v>56799.71</v>
      </c>
      <c r="EP2" s="231">
        <v>8089.82</v>
      </c>
      <c r="EQ2" s="229">
        <v>0.1424</v>
      </c>
      <c r="ER2" s="231">
        <v>9500</v>
      </c>
      <c r="ES2" s="231">
        <v>6783</v>
      </c>
      <c r="ET2" s="231">
        <v>50406</v>
      </c>
      <c r="EU2" s="231">
        <v>72384900</v>
      </c>
      <c r="EV2" s="231">
        <v>66689</v>
      </c>
      <c r="EW2" s="231">
        <v>107382</v>
      </c>
      <c r="EX2" s="231">
        <v>-40693</v>
      </c>
      <c r="EY2" s="229">
        <v>-0.379</v>
      </c>
      <c r="EZ2" s="229">
        <v>8.5800000000000001E-2</v>
      </c>
      <c r="FA2" s="227" t="s">
        <v>568</v>
      </c>
      <c r="FB2" s="161">
        <f>BX2-CB2</f>
        <v>2957000</v>
      </c>
    </row>
    <row r="3" spans="1:158" ht="17.25" thickBot="1" x14ac:dyDescent="0.3">
      <c r="A3" s="226">
        <v>45869</v>
      </c>
      <c r="B3" s="227" t="s">
        <v>498</v>
      </c>
      <c r="C3" s="227" t="s">
        <v>476</v>
      </c>
      <c r="D3" s="228">
        <v>1325</v>
      </c>
      <c r="E3" s="228">
        <v>0</v>
      </c>
      <c r="F3" s="228">
        <v>0</v>
      </c>
      <c r="G3" s="228">
        <v>0</v>
      </c>
      <c r="H3" s="229">
        <v>0</v>
      </c>
      <c r="I3" s="228">
        <v>420.05</v>
      </c>
      <c r="J3" s="228">
        <v>445.5</v>
      </c>
      <c r="K3" s="228">
        <v>-25.45</v>
      </c>
      <c r="L3" s="229">
        <v>-5.7099999999999998E-2</v>
      </c>
      <c r="M3" s="228">
        <v>418.95</v>
      </c>
      <c r="N3" s="228">
        <v>445.35</v>
      </c>
      <c r="O3" s="228">
        <v>-26.4</v>
      </c>
      <c r="P3" s="229">
        <v>-5.9299999999999999E-2</v>
      </c>
      <c r="Q3" s="228">
        <v>0</v>
      </c>
      <c r="R3" s="228">
        <v>0</v>
      </c>
      <c r="S3" s="228">
        <v>0</v>
      </c>
      <c r="T3" s="229">
        <v>0</v>
      </c>
      <c r="U3" s="228">
        <v>0</v>
      </c>
      <c r="V3" s="228">
        <v>0</v>
      </c>
      <c r="W3" s="228">
        <v>0</v>
      </c>
      <c r="X3" s="229">
        <v>0</v>
      </c>
      <c r="Y3" s="228">
        <v>0</v>
      </c>
      <c r="Z3" s="228">
        <v>-0.15</v>
      </c>
      <c r="AA3" s="228">
        <v>0</v>
      </c>
      <c r="AB3" s="229">
        <v>0</v>
      </c>
      <c r="AC3" s="228">
        <v>-1.1000000000000001</v>
      </c>
      <c r="AD3" s="228">
        <v>-0.15</v>
      </c>
      <c r="AE3" s="228">
        <v>-0.95</v>
      </c>
      <c r="AF3" s="229">
        <v>-2.5999999999999999E-3</v>
      </c>
      <c r="AG3" s="228">
        <v>0</v>
      </c>
      <c r="AH3" s="228">
        <v>0</v>
      </c>
      <c r="AI3" s="228">
        <v>0</v>
      </c>
      <c r="AJ3" s="229">
        <v>0</v>
      </c>
      <c r="AK3" s="228">
        <v>0</v>
      </c>
      <c r="AL3" s="228">
        <v>0</v>
      </c>
      <c r="AM3" s="228">
        <v>0</v>
      </c>
      <c r="AN3" s="229">
        <v>0</v>
      </c>
      <c r="AO3" s="228">
        <v>423.17</v>
      </c>
      <c r="AP3" s="228">
        <v>0</v>
      </c>
      <c r="AQ3" s="228">
        <v>0</v>
      </c>
      <c r="AR3" s="230">
        <v>5790250</v>
      </c>
      <c r="AS3" s="230">
        <v>3085925</v>
      </c>
      <c r="AT3" s="230">
        <v>2704325</v>
      </c>
      <c r="AU3" s="229">
        <v>0.87629999999999997</v>
      </c>
      <c r="AV3" s="230">
        <v>5790250</v>
      </c>
      <c r="AW3" s="230">
        <v>3085925</v>
      </c>
      <c r="AX3" s="230">
        <v>2704325</v>
      </c>
      <c r="AY3" s="229">
        <v>0.87629999999999997</v>
      </c>
      <c r="AZ3" s="228">
        <v>0</v>
      </c>
      <c r="BA3" s="228">
        <v>0</v>
      </c>
      <c r="BB3" s="228">
        <v>0</v>
      </c>
      <c r="BC3" s="229">
        <v>0</v>
      </c>
      <c r="BD3" s="228">
        <v>0</v>
      </c>
      <c r="BE3" s="228">
        <v>0</v>
      </c>
      <c r="BF3" s="228">
        <v>0</v>
      </c>
      <c r="BG3" s="229">
        <v>0</v>
      </c>
      <c r="BH3" s="230">
        <v>5349025</v>
      </c>
      <c r="BI3" s="230">
        <v>5469600</v>
      </c>
      <c r="BJ3" s="230">
        <v>-120575</v>
      </c>
      <c r="BK3" s="229">
        <v>-2.1999999999999999E-2</v>
      </c>
      <c r="BL3" s="230">
        <v>3972350</v>
      </c>
      <c r="BM3" s="230">
        <v>2643375</v>
      </c>
      <c r="BN3" s="230">
        <v>1328975</v>
      </c>
      <c r="BO3" s="229">
        <v>0.50280000000000002</v>
      </c>
      <c r="BP3" s="230">
        <v>15111625</v>
      </c>
      <c r="BQ3" s="230">
        <v>11198900</v>
      </c>
      <c r="BR3" s="230">
        <v>3912725</v>
      </c>
      <c r="BS3" s="229">
        <v>0.34939999999999999</v>
      </c>
      <c r="BT3" s="230">
        <v>7549950</v>
      </c>
      <c r="BU3" s="230">
        <v>1774753</v>
      </c>
      <c r="BV3" s="230">
        <v>5775197</v>
      </c>
      <c r="BW3" s="229">
        <v>3.2541000000000002</v>
      </c>
      <c r="BX3" s="228">
        <v>0</v>
      </c>
      <c r="BY3" s="230">
        <v>5784950</v>
      </c>
      <c r="BZ3" s="230">
        <v>-5784950</v>
      </c>
      <c r="CA3" s="229">
        <v>-1</v>
      </c>
      <c r="CB3" s="230">
        <v>2447275</v>
      </c>
      <c r="CC3" s="230">
        <v>5784950</v>
      </c>
      <c r="CD3" s="230">
        <v>-3337675</v>
      </c>
      <c r="CE3" s="229">
        <v>-0.57699999999999996</v>
      </c>
      <c r="CF3" s="228">
        <v>0</v>
      </c>
      <c r="CG3" s="228">
        <v>0</v>
      </c>
      <c r="CH3" s="228">
        <v>0</v>
      </c>
      <c r="CI3" s="229">
        <v>0</v>
      </c>
      <c r="CJ3" s="228">
        <v>0</v>
      </c>
      <c r="CK3" s="228">
        <v>0</v>
      </c>
      <c r="CL3" s="228">
        <v>0</v>
      </c>
      <c r="CM3" s="229">
        <v>0</v>
      </c>
      <c r="CN3" s="230">
        <v>6145350</v>
      </c>
      <c r="CO3" s="230">
        <v>7013225</v>
      </c>
      <c r="CP3" s="230">
        <v>-867875</v>
      </c>
      <c r="CQ3" s="229">
        <v>-0.1237</v>
      </c>
      <c r="CR3" s="230">
        <v>2261775</v>
      </c>
      <c r="CS3" s="230">
        <v>2986550</v>
      </c>
      <c r="CT3" s="230">
        <v>-724775</v>
      </c>
      <c r="CU3" s="229">
        <v>-0.2427</v>
      </c>
      <c r="CV3" s="230">
        <v>8407125</v>
      </c>
      <c r="CW3" s="230">
        <v>15784725</v>
      </c>
      <c r="CX3" s="230">
        <v>-7377600</v>
      </c>
      <c r="CY3" s="229">
        <v>-0.46739999999999998</v>
      </c>
      <c r="CZ3" s="228">
        <v>43.95</v>
      </c>
      <c r="DA3" s="228">
        <v>43.95</v>
      </c>
      <c r="DB3" s="228">
        <v>0</v>
      </c>
      <c r="DC3" s="228">
        <v>0</v>
      </c>
      <c r="DD3" s="228">
        <v>43.95</v>
      </c>
      <c r="DE3" s="228">
        <v>43.95</v>
      </c>
      <c r="DF3" s="228">
        <v>0</v>
      </c>
      <c r="DG3" s="228">
        <v>0</v>
      </c>
      <c r="DH3" s="228">
        <v>43.95</v>
      </c>
      <c r="DI3" s="228">
        <v>43.95</v>
      </c>
      <c r="DJ3" s="228">
        <v>0</v>
      </c>
      <c r="DK3" s="228">
        <v>0</v>
      </c>
      <c r="DL3" s="228">
        <v>43.95</v>
      </c>
      <c r="DM3" s="228">
        <v>43.95</v>
      </c>
      <c r="DN3" s="228">
        <v>0</v>
      </c>
      <c r="DO3" s="228">
        <v>0</v>
      </c>
      <c r="DP3" s="228">
        <v>0.37</v>
      </c>
      <c r="DQ3" s="228">
        <v>0.43</v>
      </c>
      <c r="DR3" s="228">
        <v>-0.06</v>
      </c>
      <c r="DS3" s="229">
        <v>-0.13950000000000001</v>
      </c>
      <c r="DT3" s="228">
        <v>480</v>
      </c>
      <c r="DU3" s="228">
        <v>450</v>
      </c>
      <c r="DV3" s="228">
        <v>0.74</v>
      </c>
      <c r="DW3" s="228">
        <v>0.48</v>
      </c>
      <c r="DX3" s="228">
        <v>0.26</v>
      </c>
      <c r="DY3" s="229">
        <v>0.54169999999999996</v>
      </c>
      <c r="DZ3" s="229">
        <v>0</v>
      </c>
      <c r="EA3" s="228">
        <v>0</v>
      </c>
      <c r="EB3" s="229">
        <v>0</v>
      </c>
      <c r="EC3" s="229">
        <v>0</v>
      </c>
      <c r="ED3" s="228">
        <v>0</v>
      </c>
      <c r="EE3" s="229">
        <v>0</v>
      </c>
      <c r="EF3" s="230">
        <v>4255661</v>
      </c>
      <c r="EG3" s="230">
        <v>935851</v>
      </c>
      <c r="EH3" s="229">
        <v>3.5474000000000001</v>
      </c>
      <c r="EI3" s="229">
        <v>0.56369999999999998</v>
      </c>
      <c r="EJ3" s="231">
        <v>23879.25</v>
      </c>
      <c r="EK3" s="231">
        <v>17427.560000000001</v>
      </c>
      <c r="EL3" s="231">
        <v>24502.799999999999</v>
      </c>
      <c r="EM3" s="228">
        <v>0</v>
      </c>
      <c r="EN3" s="231">
        <v>65809.61</v>
      </c>
      <c r="EO3" s="231">
        <v>50874.91</v>
      </c>
      <c r="EP3" s="231">
        <v>14934.7</v>
      </c>
      <c r="EQ3" s="229">
        <v>0.29360000000000003</v>
      </c>
      <c r="ER3" s="228">
        <v>0</v>
      </c>
      <c r="ES3" s="228">
        <v>0</v>
      </c>
      <c r="ET3" s="228">
        <v>0</v>
      </c>
      <c r="EU3" s="231">
        <v>41876170</v>
      </c>
      <c r="EV3" s="228">
        <v>0</v>
      </c>
      <c r="EW3" s="231">
        <v>72255</v>
      </c>
      <c r="EX3" s="231">
        <v>-72255</v>
      </c>
      <c r="EY3" s="229">
        <v>-1</v>
      </c>
      <c r="EZ3" s="229">
        <v>0.20080000000000001</v>
      </c>
      <c r="FA3" s="227" t="s">
        <v>237</v>
      </c>
      <c r="FB3" s="161">
        <f t="shared" ref="FB3:FB66" si="0">BX3-CB3</f>
        <v>-2447275</v>
      </c>
    </row>
    <row r="4" spans="1:158" ht="17.25" thickBot="1" x14ac:dyDescent="0.3">
      <c r="A4" s="226">
        <v>45869</v>
      </c>
      <c r="B4" s="227" t="s">
        <v>184</v>
      </c>
      <c r="C4" s="227" t="s">
        <v>553</v>
      </c>
      <c r="D4" s="228">
        <v>125</v>
      </c>
      <c r="E4" s="231">
        <v>5525</v>
      </c>
      <c r="F4" s="231">
        <v>5568.5</v>
      </c>
      <c r="G4" s="228">
        <v>-43.5</v>
      </c>
      <c r="H4" s="229">
        <v>-7.7999999999999996E-3</v>
      </c>
      <c r="I4" s="231">
        <v>5510</v>
      </c>
      <c r="J4" s="231">
        <v>5554</v>
      </c>
      <c r="K4" s="228">
        <v>-44</v>
      </c>
      <c r="L4" s="229">
        <v>-7.9000000000000008E-3</v>
      </c>
      <c r="M4" s="231">
        <v>5505.5</v>
      </c>
      <c r="N4" s="231">
        <v>5547.5</v>
      </c>
      <c r="O4" s="228">
        <v>-42</v>
      </c>
      <c r="P4" s="229">
        <v>-7.6E-3</v>
      </c>
      <c r="Q4" s="231">
        <v>5525</v>
      </c>
      <c r="R4" s="231">
        <v>5568.5</v>
      </c>
      <c r="S4" s="228">
        <v>-43.5</v>
      </c>
      <c r="T4" s="229">
        <v>-7.7999999999999996E-3</v>
      </c>
      <c r="U4" s="231">
        <v>5559.5</v>
      </c>
      <c r="V4" s="231">
        <v>5602</v>
      </c>
      <c r="W4" s="228">
        <v>-42.5</v>
      </c>
      <c r="X4" s="229">
        <v>-7.6E-3</v>
      </c>
      <c r="Y4" s="228">
        <v>15</v>
      </c>
      <c r="Z4" s="228">
        <v>-6.5</v>
      </c>
      <c r="AA4" s="228">
        <v>21.5</v>
      </c>
      <c r="AB4" s="229">
        <v>2.7000000000000001E-3</v>
      </c>
      <c r="AC4" s="228">
        <v>-4.5</v>
      </c>
      <c r="AD4" s="228">
        <v>-6.5</v>
      </c>
      <c r="AE4" s="228">
        <v>2</v>
      </c>
      <c r="AF4" s="229">
        <v>-8.0000000000000004E-4</v>
      </c>
      <c r="AG4" s="228">
        <v>15</v>
      </c>
      <c r="AH4" s="228">
        <v>14.5</v>
      </c>
      <c r="AI4" s="228">
        <v>0.5</v>
      </c>
      <c r="AJ4" s="229">
        <v>2.7000000000000001E-3</v>
      </c>
      <c r="AK4" s="228">
        <v>49.5</v>
      </c>
      <c r="AL4" s="228">
        <v>48</v>
      </c>
      <c r="AM4" s="228">
        <v>1.5</v>
      </c>
      <c r="AN4" s="229">
        <v>8.9999999999999993E-3</v>
      </c>
      <c r="AO4" s="231">
        <v>5519.78</v>
      </c>
      <c r="AP4" s="231">
        <v>5541.01</v>
      </c>
      <c r="AQ4" s="228">
        <v>0</v>
      </c>
      <c r="AR4" s="230">
        <v>1516000</v>
      </c>
      <c r="AS4" s="230">
        <v>2708000</v>
      </c>
      <c r="AT4" s="230">
        <v>-1192000</v>
      </c>
      <c r="AU4" s="229">
        <v>-0.44019999999999998</v>
      </c>
      <c r="AV4" s="230">
        <v>649000</v>
      </c>
      <c r="AW4" s="230">
        <v>1176625</v>
      </c>
      <c r="AX4" s="230">
        <v>-527625</v>
      </c>
      <c r="AY4" s="229">
        <v>-0.44840000000000002</v>
      </c>
      <c r="AZ4" s="230">
        <v>849500</v>
      </c>
      <c r="BA4" s="230">
        <v>1508500</v>
      </c>
      <c r="BB4" s="230">
        <v>-659000</v>
      </c>
      <c r="BC4" s="229">
        <v>-0.43690000000000001</v>
      </c>
      <c r="BD4" s="230">
        <v>17500</v>
      </c>
      <c r="BE4" s="230">
        <v>22875</v>
      </c>
      <c r="BF4" s="230">
        <v>-5375</v>
      </c>
      <c r="BG4" s="229">
        <v>-0.23499999999999999</v>
      </c>
      <c r="BH4" s="230">
        <v>1014125</v>
      </c>
      <c r="BI4" s="230">
        <v>2053875</v>
      </c>
      <c r="BJ4" s="230">
        <v>-1039750</v>
      </c>
      <c r="BK4" s="229">
        <v>-0.50619999999999998</v>
      </c>
      <c r="BL4" s="230">
        <v>575125</v>
      </c>
      <c r="BM4" s="230">
        <v>1428625</v>
      </c>
      <c r="BN4" s="230">
        <v>-853500</v>
      </c>
      <c r="BO4" s="229">
        <v>-0.59740000000000004</v>
      </c>
      <c r="BP4" s="230">
        <v>3105250</v>
      </c>
      <c r="BQ4" s="230">
        <v>6190500</v>
      </c>
      <c r="BR4" s="230">
        <v>-3085250</v>
      </c>
      <c r="BS4" s="229">
        <v>-0.49840000000000001</v>
      </c>
      <c r="BT4" s="230">
        <v>262460</v>
      </c>
      <c r="BU4" s="230">
        <v>344235</v>
      </c>
      <c r="BV4" s="230">
        <v>-81775</v>
      </c>
      <c r="BW4" s="229">
        <v>-0.23760000000000001</v>
      </c>
      <c r="BX4" s="230">
        <v>2730875</v>
      </c>
      <c r="BY4" s="230">
        <v>2873625</v>
      </c>
      <c r="BZ4" s="230">
        <v>-142750</v>
      </c>
      <c r="CA4" s="229">
        <v>-4.9700000000000001E-2</v>
      </c>
      <c r="CB4" s="230">
        <v>168875</v>
      </c>
      <c r="CC4" s="230">
        <v>534750</v>
      </c>
      <c r="CD4" s="230">
        <v>-365875</v>
      </c>
      <c r="CE4" s="229">
        <v>-0.68420000000000003</v>
      </c>
      <c r="CF4" s="230">
        <v>2684625</v>
      </c>
      <c r="CG4" s="230">
        <v>2300000</v>
      </c>
      <c r="CH4" s="230">
        <v>384625</v>
      </c>
      <c r="CI4" s="229">
        <v>0.16719999999999999</v>
      </c>
      <c r="CJ4" s="230">
        <v>46250</v>
      </c>
      <c r="CK4" s="230">
        <v>38875</v>
      </c>
      <c r="CL4" s="230">
        <v>7375</v>
      </c>
      <c r="CM4" s="229">
        <v>0.18970000000000001</v>
      </c>
      <c r="CN4" s="230">
        <v>417375</v>
      </c>
      <c r="CO4" s="230">
        <v>1442750</v>
      </c>
      <c r="CP4" s="230">
        <v>-1025375</v>
      </c>
      <c r="CQ4" s="229">
        <v>-0.7107</v>
      </c>
      <c r="CR4" s="230">
        <v>474375</v>
      </c>
      <c r="CS4" s="230">
        <v>855625</v>
      </c>
      <c r="CT4" s="230">
        <v>-381250</v>
      </c>
      <c r="CU4" s="229">
        <v>-0.4456</v>
      </c>
      <c r="CV4" s="230">
        <v>3622625</v>
      </c>
      <c r="CW4" s="230">
        <v>5172000</v>
      </c>
      <c r="CX4" s="230">
        <v>-1549375</v>
      </c>
      <c r="CY4" s="229">
        <v>-0.29959999999999998</v>
      </c>
      <c r="CZ4" s="228">
        <v>33.22</v>
      </c>
      <c r="DA4" s="228">
        <v>33.71</v>
      </c>
      <c r="DB4" s="228">
        <v>-0.49</v>
      </c>
      <c r="DC4" s="228">
        <v>-0.49</v>
      </c>
      <c r="DD4" s="228">
        <v>39.799999999999997</v>
      </c>
      <c r="DE4" s="228">
        <v>39.89</v>
      </c>
      <c r="DF4" s="228">
        <v>-6.58</v>
      </c>
      <c r="DG4" s="228">
        <v>-0.09</v>
      </c>
      <c r="DH4" s="228">
        <v>32.93</v>
      </c>
      <c r="DI4" s="228">
        <v>33.43</v>
      </c>
      <c r="DJ4" s="228">
        <v>-0.5</v>
      </c>
      <c r="DK4" s="228">
        <v>-0.5</v>
      </c>
      <c r="DL4" s="228">
        <v>33.65</v>
      </c>
      <c r="DM4" s="228">
        <v>34.08</v>
      </c>
      <c r="DN4" s="228">
        <v>-0.43</v>
      </c>
      <c r="DO4" s="228">
        <v>-0.43</v>
      </c>
      <c r="DP4" s="228">
        <v>1.1399999999999999</v>
      </c>
      <c r="DQ4" s="228">
        <v>0.59</v>
      </c>
      <c r="DR4" s="228">
        <v>0.55000000000000004</v>
      </c>
      <c r="DS4" s="229">
        <v>0.93220000000000003</v>
      </c>
      <c r="DT4" s="231">
        <v>6200</v>
      </c>
      <c r="DU4" s="231">
        <v>5500</v>
      </c>
      <c r="DV4" s="228">
        <v>0.56999999999999995</v>
      </c>
      <c r="DW4" s="228">
        <v>0.7</v>
      </c>
      <c r="DX4" s="228">
        <v>-0.13</v>
      </c>
      <c r="DY4" s="229">
        <v>-0.1857</v>
      </c>
      <c r="DZ4" s="229">
        <v>0.94179999999999997</v>
      </c>
      <c r="EA4" s="230">
        <v>2338875</v>
      </c>
      <c r="EB4" s="229">
        <v>3.5000000000000001E-3</v>
      </c>
      <c r="EC4" s="229">
        <v>0.94179999999999997</v>
      </c>
      <c r="ED4" s="228">
        <v>21.23</v>
      </c>
      <c r="EE4" s="229">
        <v>3.8E-3</v>
      </c>
      <c r="EF4" s="230">
        <v>140444</v>
      </c>
      <c r="EG4" s="230">
        <v>149117</v>
      </c>
      <c r="EH4" s="229">
        <v>-5.8200000000000002E-2</v>
      </c>
      <c r="EI4" s="229">
        <v>0.53510000000000002</v>
      </c>
      <c r="EJ4" s="231">
        <v>59975.83</v>
      </c>
      <c r="EK4" s="231">
        <v>32229.32</v>
      </c>
      <c r="EL4" s="231">
        <v>83870.850000000006</v>
      </c>
      <c r="EM4" s="228">
        <v>0</v>
      </c>
      <c r="EN4" s="231">
        <v>176076</v>
      </c>
      <c r="EO4" s="231">
        <v>349514.47</v>
      </c>
      <c r="EP4" s="231">
        <v>-173438.47</v>
      </c>
      <c r="EQ4" s="229">
        <v>-0.49619999999999997</v>
      </c>
      <c r="ER4" s="231">
        <v>24580</v>
      </c>
      <c r="ES4" s="231">
        <v>26307</v>
      </c>
      <c r="ET4" s="231">
        <v>150897</v>
      </c>
      <c r="EU4" s="231">
        <v>10595418</v>
      </c>
      <c r="EV4" s="231">
        <v>201783</v>
      </c>
      <c r="EW4" s="231">
        <v>295546</v>
      </c>
      <c r="EX4" s="231">
        <v>-93763</v>
      </c>
      <c r="EY4" s="229">
        <v>-0.31730000000000003</v>
      </c>
      <c r="EZ4" s="229">
        <v>0.34189999999999998</v>
      </c>
      <c r="FA4" s="227" t="s">
        <v>568</v>
      </c>
      <c r="FB4" s="161">
        <f t="shared" si="0"/>
        <v>2562000</v>
      </c>
    </row>
    <row r="5" spans="1:158" ht="17.25" thickBot="1" x14ac:dyDescent="0.3">
      <c r="A5" s="226">
        <v>45869</v>
      </c>
      <c r="B5" s="227" t="s">
        <v>175</v>
      </c>
      <c r="C5" s="227" t="s">
        <v>544</v>
      </c>
      <c r="D5" s="228">
        <v>3100</v>
      </c>
      <c r="E5" s="228">
        <v>257.3</v>
      </c>
      <c r="F5" s="228">
        <v>250.2</v>
      </c>
      <c r="G5" s="228">
        <v>7.1</v>
      </c>
      <c r="H5" s="229">
        <v>2.8400000000000002E-2</v>
      </c>
      <c r="I5" s="228">
        <v>256.64999999999998</v>
      </c>
      <c r="J5" s="228">
        <v>248.8</v>
      </c>
      <c r="K5" s="228">
        <v>7.85</v>
      </c>
      <c r="L5" s="229">
        <v>3.1600000000000003E-2</v>
      </c>
      <c r="M5" s="228">
        <v>256.25</v>
      </c>
      <c r="N5" s="228">
        <v>248.75</v>
      </c>
      <c r="O5" s="228">
        <v>7.5</v>
      </c>
      <c r="P5" s="229">
        <v>3.0200000000000001E-2</v>
      </c>
      <c r="Q5" s="228">
        <v>257.3</v>
      </c>
      <c r="R5" s="228">
        <v>250.2</v>
      </c>
      <c r="S5" s="228">
        <v>7.1</v>
      </c>
      <c r="T5" s="229">
        <v>2.8400000000000002E-2</v>
      </c>
      <c r="U5" s="228">
        <v>258.7</v>
      </c>
      <c r="V5" s="228">
        <v>251.6</v>
      </c>
      <c r="W5" s="228">
        <v>7.1</v>
      </c>
      <c r="X5" s="229">
        <v>2.8199999999999999E-2</v>
      </c>
      <c r="Y5" s="228">
        <v>0.65</v>
      </c>
      <c r="Z5" s="228">
        <v>-0.05</v>
      </c>
      <c r="AA5" s="228">
        <v>0.7</v>
      </c>
      <c r="AB5" s="229">
        <v>2.5000000000000001E-3</v>
      </c>
      <c r="AC5" s="228">
        <v>-0.4</v>
      </c>
      <c r="AD5" s="228">
        <v>-0.05</v>
      </c>
      <c r="AE5" s="228">
        <v>-0.35</v>
      </c>
      <c r="AF5" s="229">
        <v>-1.6000000000000001E-3</v>
      </c>
      <c r="AG5" s="228">
        <v>0.65</v>
      </c>
      <c r="AH5" s="228">
        <v>1.4</v>
      </c>
      <c r="AI5" s="228">
        <v>-0.75</v>
      </c>
      <c r="AJ5" s="229">
        <v>2.5000000000000001E-3</v>
      </c>
      <c r="AK5" s="228">
        <v>2.0499999999999998</v>
      </c>
      <c r="AL5" s="228">
        <v>2.8</v>
      </c>
      <c r="AM5" s="228">
        <v>-0.75</v>
      </c>
      <c r="AN5" s="229">
        <v>8.0000000000000002E-3</v>
      </c>
      <c r="AO5" s="228">
        <v>253.97</v>
      </c>
      <c r="AP5" s="228">
        <v>255.29</v>
      </c>
      <c r="AQ5" s="228">
        <v>0</v>
      </c>
      <c r="AR5" s="230">
        <v>30597000</v>
      </c>
      <c r="AS5" s="230">
        <v>26908000</v>
      </c>
      <c r="AT5" s="230">
        <v>3689000</v>
      </c>
      <c r="AU5" s="229">
        <v>0.1371</v>
      </c>
      <c r="AV5" s="230">
        <v>9613100</v>
      </c>
      <c r="AW5" s="230">
        <v>11404900</v>
      </c>
      <c r="AX5" s="230">
        <v>-1791800</v>
      </c>
      <c r="AY5" s="229">
        <v>-0.15709999999999999</v>
      </c>
      <c r="AZ5" s="230">
        <v>20649100</v>
      </c>
      <c r="BA5" s="230">
        <v>15397700</v>
      </c>
      <c r="BB5" s="230">
        <v>5251400</v>
      </c>
      <c r="BC5" s="229">
        <v>0.34110000000000001</v>
      </c>
      <c r="BD5" s="230">
        <v>334800</v>
      </c>
      <c r="BE5" s="230">
        <v>105400</v>
      </c>
      <c r="BF5" s="230">
        <v>229400</v>
      </c>
      <c r="BG5" s="229">
        <v>2.1764999999999999</v>
      </c>
      <c r="BH5" s="230">
        <v>27531100</v>
      </c>
      <c r="BI5" s="230">
        <v>16997300</v>
      </c>
      <c r="BJ5" s="230">
        <v>10533800</v>
      </c>
      <c r="BK5" s="229">
        <v>0.61970000000000003</v>
      </c>
      <c r="BL5" s="230">
        <v>13826000</v>
      </c>
      <c r="BM5" s="230">
        <v>9141900</v>
      </c>
      <c r="BN5" s="230">
        <v>4684100</v>
      </c>
      <c r="BO5" s="229">
        <v>0.51239999999999997</v>
      </c>
      <c r="BP5" s="230">
        <v>71954100</v>
      </c>
      <c r="BQ5" s="230">
        <v>53047200</v>
      </c>
      <c r="BR5" s="230">
        <v>18906900</v>
      </c>
      <c r="BS5" s="229">
        <v>0.35639999999999999</v>
      </c>
      <c r="BT5" s="230">
        <v>9010668</v>
      </c>
      <c r="BU5" s="230">
        <v>3567366</v>
      </c>
      <c r="BV5" s="230">
        <v>5443302</v>
      </c>
      <c r="BW5" s="229">
        <v>1.5259</v>
      </c>
      <c r="BX5" s="230">
        <v>51379400</v>
      </c>
      <c r="BY5" s="230">
        <v>56584300</v>
      </c>
      <c r="BZ5" s="230">
        <v>-5204900</v>
      </c>
      <c r="CA5" s="229">
        <v>-9.1999999999999998E-2</v>
      </c>
      <c r="CB5" s="230">
        <v>2077000</v>
      </c>
      <c r="CC5" s="230">
        <v>7514400</v>
      </c>
      <c r="CD5" s="230">
        <v>-5437400</v>
      </c>
      <c r="CE5" s="229">
        <v>-0.72360000000000002</v>
      </c>
      <c r="CF5" s="230">
        <v>50939200</v>
      </c>
      <c r="CG5" s="230">
        <v>48725800</v>
      </c>
      <c r="CH5" s="230">
        <v>2213400</v>
      </c>
      <c r="CI5" s="229">
        <v>4.5400000000000003E-2</v>
      </c>
      <c r="CJ5" s="230">
        <v>440200</v>
      </c>
      <c r="CK5" s="230">
        <v>344100</v>
      </c>
      <c r="CL5" s="230">
        <v>96100</v>
      </c>
      <c r="CM5" s="229">
        <v>0.27929999999999999</v>
      </c>
      <c r="CN5" s="230">
        <v>10766300</v>
      </c>
      <c r="CO5" s="230">
        <v>23116700</v>
      </c>
      <c r="CP5" s="230">
        <v>-12350400</v>
      </c>
      <c r="CQ5" s="229">
        <v>-0.5343</v>
      </c>
      <c r="CR5" s="230">
        <v>6172100</v>
      </c>
      <c r="CS5" s="230">
        <v>11879200</v>
      </c>
      <c r="CT5" s="230">
        <v>-5707100</v>
      </c>
      <c r="CU5" s="229">
        <v>-0.48039999999999999</v>
      </c>
      <c r="CV5" s="230">
        <v>68317800</v>
      </c>
      <c r="CW5" s="230">
        <v>91580200</v>
      </c>
      <c r="CX5" s="230">
        <v>-23262400</v>
      </c>
      <c r="CY5" s="229">
        <v>-0.254</v>
      </c>
      <c r="CZ5" s="228">
        <v>31.46</v>
      </c>
      <c r="DA5" s="228">
        <v>31.29</v>
      </c>
      <c r="DB5" s="228">
        <v>0.17</v>
      </c>
      <c r="DC5" s="228">
        <v>0.17</v>
      </c>
      <c r="DD5" s="228">
        <v>40.35</v>
      </c>
      <c r="DE5" s="228">
        <v>40.270000000000003</v>
      </c>
      <c r="DF5" s="228">
        <v>-8.89</v>
      </c>
      <c r="DG5" s="228">
        <v>0.08</v>
      </c>
      <c r="DH5" s="228">
        <v>31.25</v>
      </c>
      <c r="DI5" s="228">
        <v>31.11</v>
      </c>
      <c r="DJ5" s="228">
        <v>0.14000000000000001</v>
      </c>
      <c r="DK5" s="228">
        <v>0.14000000000000001</v>
      </c>
      <c r="DL5" s="228">
        <v>31.89</v>
      </c>
      <c r="DM5" s="228">
        <v>31.54</v>
      </c>
      <c r="DN5" s="228">
        <v>0.35</v>
      </c>
      <c r="DO5" s="228">
        <v>0.35</v>
      </c>
      <c r="DP5" s="228">
        <v>0.56999999999999995</v>
      </c>
      <c r="DQ5" s="228">
        <v>0.51</v>
      </c>
      <c r="DR5" s="228">
        <v>0.06</v>
      </c>
      <c r="DS5" s="229">
        <v>0.1176</v>
      </c>
      <c r="DT5" s="228">
        <v>270</v>
      </c>
      <c r="DU5" s="228">
        <v>250</v>
      </c>
      <c r="DV5" s="228">
        <v>0.5</v>
      </c>
      <c r="DW5" s="228">
        <v>0.54</v>
      </c>
      <c r="DX5" s="228">
        <v>-0.04</v>
      </c>
      <c r="DY5" s="229">
        <v>-7.4099999999999999E-2</v>
      </c>
      <c r="DZ5" s="229">
        <v>0.96109999999999995</v>
      </c>
      <c r="EA5" s="230">
        <v>49069900</v>
      </c>
      <c r="EB5" s="229">
        <v>4.1000000000000003E-3</v>
      </c>
      <c r="EC5" s="229">
        <v>0.96109999999999995</v>
      </c>
      <c r="ED5" s="228">
        <v>1.32</v>
      </c>
      <c r="EE5" s="229">
        <v>5.1999999999999998E-3</v>
      </c>
      <c r="EF5" s="230">
        <v>3821405</v>
      </c>
      <c r="EG5" s="230">
        <v>1698237</v>
      </c>
      <c r="EH5" s="229">
        <v>1.2502</v>
      </c>
      <c r="EI5" s="229">
        <v>0.42409999999999998</v>
      </c>
      <c r="EJ5" s="231">
        <v>74500.95</v>
      </c>
      <c r="EK5" s="231">
        <v>35414.58</v>
      </c>
      <c r="EL5" s="231">
        <v>77989.05</v>
      </c>
      <c r="EM5" s="228">
        <v>0</v>
      </c>
      <c r="EN5" s="231">
        <v>187904.58</v>
      </c>
      <c r="EO5" s="231">
        <v>135611.4</v>
      </c>
      <c r="EP5" s="231">
        <v>52293.18</v>
      </c>
      <c r="EQ5" s="229">
        <v>0.3856</v>
      </c>
      <c r="ER5" s="231">
        <v>29246</v>
      </c>
      <c r="ES5" s="231">
        <v>15285</v>
      </c>
      <c r="ET5" s="231">
        <v>132205</v>
      </c>
      <c r="EU5" s="231">
        <v>162442174</v>
      </c>
      <c r="EV5" s="231">
        <v>176737</v>
      </c>
      <c r="EW5" s="231">
        <v>234779</v>
      </c>
      <c r="EX5" s="231">
        <v>-58042</v>
      </c>
      <c r="EY5" s="229">
        <v>-0.2472</v>
      </c>
      <c r="EZ5" s="229">
        <v>0.42059999999999997</v>
      </c>
      <c r="FA5" s="227" t="s">
        <v>556</v>
      </c>
      <c r="FB5" s="161">
        <f t="shared" si="0"/>
        <v>49302400</v>
      </c>
    </row>
    <row r="6" spans="1:158" ht="17.25" thickBot="1" x14ac:dyDescent="0.3">
      <c r="A6" s="226">
        <v>45869</v>
      </c>
      <c r="B6" s="227" t="s">
        <v>197</v>
      </c>
      <c r="C6" s="227" t="s">
        <v>499</v>
      </c>
      <c r="D6" s="228">
        <v>2600</v>
      </c>
      <c r="E6" s="228">
        <v>73.22</v>
      </c>
      <c r="F6" s="228">
        <v>75.13</v>
      </c>
      <c r="G6" s="228">
        <v>-1.91</v>
      </c>
      <c r="H6" s="229">
        <v>-2.5399999999999999E-2</v>
      </c>
      <c r="I6" s="228">
        <v>72.87</v>
      </c>
      <c r="J6" s="228">
        <v>74.650000000000006</v>
      </c>
      <c r="K6" s="228">
        <v>-1.78</v>
      </c>
      <c r="L6" s="229">
        <v>-2.3800000000000002E-2</v>
      </c>
      <c r="M6" s="228">
        <v>72.84</v>
      </c>
      <c r="N6" s="228">
        <v>74.77</v>
      </c>
      <c r="O6" s="228">
        <v>-1.93</v>
      </c>
      <c r="P6" s="229">
        <v>-2.58E-2</v>
      </c>
      <c r="Q6" s="228">
        <v>73.22</v>
      </c>
      <c r="R6" s="228">
        <v>75.13</v>
      </c>
      <c r="S6" s="228">
        <v>-1.91</v>
      </c>
      <c r="T6" s="229">
        <v>-2.5399999999999999E-2</v>
      </c>
      <c r="U6" s="228">
        <v>0</v>
      </c>
      <c r="V6" s="228">
        <v>0</v>
      </c>
      <c r="W6" s="228">
        <v>0</v>
      </c>
      <c r="X6" s="229">
        <v>0</v>
      </c>
      <c r="Y6" s="228">
        <v>0.35</v>
      </c>
      <c r="Z6" s="228">
        <v>0.12</v>
      </c>
      <c r="AA6" s="228">
        <v>0.23</v>
      </c>
      <c r="AB6" s="229">
        <v>4.7999999999999996E-3</v>
      </c>
      <c r="AC6" s="228">
        <v>-0.03</v>
      </c>
      <c r="AD6" s="228">
        <v>0.12</v>
      </c>
      <c r="AE6" s="228">
        <v>-0.15</v>
      </c>
      <c r="AF6" s="229">
        <v>-4.0000000000000002E-4</v>
      </c>
      <c r="AG6" s="228">
        <v>0.35</v>
      </c>
      <c r="AH6" s="228">
        <v>0.48</v>
      </c>
      <c r="AI6" s="228">
        <v>-0.13</v>
      </c>
      <c r="AJ6" s="229">
        <v>4.7999999999999996E-3</v>
      </c>
      <c r="AK6" s="228">
        <v>0</v>
      </c>
      <c r="AL6" s="228">
        <v>0</v>
      </c>
      <c r="AM6" s="228">
        <v>0</v>
      </c>
      <c r="AN6" s="229">
        <v>0</v>
      </c>
      <c r="AO6" s="228">
        <v>73.52</v>
      </c>
      <c r="AP6" s="228">
        <v>73.86</v>
      </c>
      <c r="AQ6" s="228">
        <v>0</v>
      </c>
      <c r="AR6" s="230">
        <v>36961600</v>
      </c>
      <c r="AS6" s="230">
        <v>26197600</v>
      </c>
      <c r="AT6" s="230">
        <v>10764000</v>
      </c>
      <c r="AU6" s="229">
        <v>0.41089999999999999</v>
      </c>
      <c r="AV6" s="230">
        <v>18426200</v>
      </c>
      <c r="AW6" s="230">
        <v>13668200</v>
      </c>
      <c r="AX6" s="230">
        <v>4758000</v>
      </c>
      <c r="AY6" s="229">
        <v>0.34810000000000002</v>
      </c>
      <c r="AZ6" s="230">
        <v>18535400</v>
      </c>
      <c r="BA6" s="230">
        <v>12529400</v>
      </c>
      <c r="BB6" s="230">
        <v>6006000</v>
      </c>
      <c r="BC6" s="229">
        <v>0.47939999999999999</v>
      </c>
      <c r="BD6" s="228">
        <v>0</v>
      </c>
      <c r="BE6" s="228">
        <v>0</v>
      </c>
      <c r="BF6" s="228">
        <v>0</v>
      </c>
      <c r="BG6" s="229">
        <v>0</v>
      </c>
      <c r="BH6" s="230">
        <v>8197800</v>
      </c>
      <c r="BI6" s="230">
        <v>7428200</v>
      </c>
      <c r="BJ6" s="230">
        <v>769600</v>
      </c>
      <c r="BK6" s="229">
        <v>0.1036</v>
      </c>
      <c r="BL6" s="230">
        <v>10439000</v>
      </c>
      <c r="BM6" s="230">
        <v>8374600</v>
      </c>
      <c r="BN6" s="230">
        <v>2064400</v>
      </c>
      <c r="BO6" s="229">
        <v>0.2465</v>
      </c>
      <c r="BP6" s="230">
        <v>55598400</v>
      </c>
      <c r="BQ6" s="230">
        <v>42000400</v>
      </c>
      <c r="BR6" s="230">
        <v>13598000</v>
      </c>
      <c r="BS6" s="229">
        <v>0.32379999999999998</v>
      </c>
      <c r="BT6" s="230">
        <v>4695336</v>
      </c>
      <c r="BU6" s="230">
        <v>2040673</v>
      </c>
      <c r="BV6" s="230">
        <v>2654663</v>
      </c>
      <c r="BW6" s="229">
        <v>1.3008999999999999</v>
      </c>
      <c r="BX6" s="230">
        <v>49870600</v>
      </c>
      <c r="BY6" s="230">
        <v>52457600</v>
      </c>
      <c r="BZ6" s="230">
        <v>-2587000</v>
      </c>
      <c r="CA6" s="229">
        <v>-4.9299999999999997E-2</v>
      </c>
      <c r="CB6" s="230">
        <v>3239600</v>
      </c>
      <c r="CC6" s="230">
        <v>14773200</v>
      </c>
      <c r="CD6" s="230">
        <v>-11533600</v>
      </c>
      <c r="CE6" s="229">
        <v>-0.78069999999999995</v>
      </c>
      <c r="CF6" s="230">
        <v>49870600</v>
      </c>
      <c r="CG6" s="230">
        <v>37684400</v>
      </c>
      <c r="CH6" s="230">
        <v>12186200</v>
      </c>
      <c r="CI6" s="229">
        <v>0.32340000000000002</v>
      </c>
      <c r="CJ6" s="228">
        <v>0</v>
      </c>
      <c r="CK6" s="228">
        <v>0</v>
      </c>
      <c r="CL6" s="228">
        <v>0</v>
      </c>
      <c r="CM6" s="229">
        <v>0</v>
      </c>
      <c r="CN6" s="230">
        <v>7256600</v>
      </c>
      <c r="CO6" s="230">
        <v>23959000</v>
      </c>
      <c r="CP6" s="230">
        <v>-16702400</v>
      </c>
      <c r="CQ6" s="229">
        <v>-0.69710000000000005</v>
      </c>
      <c r="CR6" s="230">
        <v>6952400</v>
      </c>
      <c r="CS6" s="230">
        <v>16543800</v>
      </c>
      <c r="CT6" s="230">
        <v>-9591400</v>
      </c>
      <c r="CU6" s="229">
        <v>-0.57979999999999998</v>
      </c>
      <c r="CV6" s="230">
        <v>64079600</v>
      </c>
      <c r="CW6" s="230">
        <v>92960400</v>
      </c>
      <c r="CX6" s="230">
        <v>-28880800</v>
      </c>
      <c r="CY6" s="229">
        <v>-0.31069999999999998</v>
      </c>
      <c r="CZ6" s="228">
        <v>32.5</v>
      </c>
      <c r="DA6" s="228">
        <v>32.35</v>
      </c>
      <c r="DB6" s="228">
        <v>0.15</v>
      </c>
      <c r="DC6" s="228">
        <v>0.15</v>
      </c>
      <c r="DD6" s="228">
        <v>43.47</v>
      </c>
      <c r="DE6" s="228">
        <v>43.44</v>
      </c>
      <c r="DF6" s="228">
        <v>-10.97</v>
      </c>
      <c r="DG6" s="228">
        <v>0.03</v>
      </c>
      <c r="DH6" s="228">
        <v>34.96</v>
      </c>
      <c r="DI6" s="228">
        <v>34.979999999999997</v>
      </c>
      <c r="DJ6" s="228">
        <v>-0.02</v>
      </c>
      <c r="DK6" s="228">
        <v>-0.02</v>
      </c>
      <c r="DL6" s="228">
        <v>30.34</v>
      </c>
      <c r="DM6" s="228">
        <v>31.02</v>
      </c>
      <c r="DN6" s="228">
        <v>-0.68</v>
      </c>
      <c r="DO6" s="228">
        <v>-0.68</v>
      </c>
      <c r="DP6" s="228">
        <v>0.96</v>
      </c>
      <c r="DQ6" s="228">
        <v>0.69</v>
      </c>
      <c r="DR6" s="228">
        <v>0.27</v>
      </c>
      <c r="DS6" s="229">
        <v>0.39129999999999998</v>
      </c>
      <c r="DT6" s="228">
        <v>80</v>
      </c>
      <c r="DU6" s="228">
        <v>70</v>
      </c>
      <c r="DV6" s="228">
        <v>1.27</v>
      </c>
      <c r="DW6" s="228">
        <v>1.1299999999999999</v>
      </c>
      <c r="DX6" s="228">
        <v>0.14000000000000001</v>
      </c>
      <c r="DY6" s="229">
        <v>0.1239</v>
      </c>
      <c r="DZ6" s="229">
        <v>0.93899999999999995</v>
      </c>
      <c r="EA6" s="230">
        <v>37684400</v>
      </c>
      <c r="EB6" s="229">
        <v>5.1999999999999998E-3</v>
      </c>
      <c r="EC6" s="229">
        <v>0.93899999999999995</v>
      </c>
      <c r="ED6" s="228">
        <v>0.34</v>
      </c>
      <c r="EE6" s="229">
        <v>4.5999999999999999E-3</v>
      </c>
      <c r="EF6" s="230">
        <v>1828224</v>
      </c>
      <c r="EG6" s="230">
        <v>628426</v>
      </c>
      <c r="EH6" s="229">
        <v>1.9092</v>
      </c>
      <c r="EI6" s="229">
        <v>0.38940000000000002</v>
      </c>
      <c r="EJ6" s="231">
        <v>6345.45</v>
      </c>
      <c r="EK6" s="231">
        <v>7867.63</v>
      </c>
      <c r="EL6" s="231">
        <v>27237.33</v>
      </c>
      <c r="EM6" s="228">
        <v>0</v>
      </c>
      <c r="EN6" s="231">
        <v>41450.410000000003</v>
      </c>
      <c r="EO6" s="231">
        <v>31763.59</v>
      </c>
      <c r="EP6" s="231">
        <v>9686.82</v>
      </c>
      <c r="EQ6" s="229">
        <v>0.30499999999999999</v>
      </c>
      <c r="ER6" s="231">
        <v>5707</v>
      </c>
      <c r="ES6" s="231">
        <v>5031</v>
      </c>
      <c r="ET6" s="231">
        <v>36515</v>
      </c>
      <c r="EU6" s="231">
        <v>121580965</v>
      </c>
      <c r="EV6" s="231">
        <v>47253</v>
      </c>
      <c r="EW6" s="231">
        <v>70630</v>
      </c>
      <c r="EX6" s="231">
        <v>-23377</v>
      </c>
      <c r="EY6" s="229">
        <v>-0.33100000000000002</v>
      </c>
      <c r="EZ6" s="229">
        <v>0.52710000000000001</v>
      </c>
      <c r="FA6" s="227" t="s">
        <v>568</v>
      </c>
      <c r="FB6" s="161">
        <f t="shared" si="0"/>
        <v>46631000</v>
      </c>
    </row>
    <row r="7" spans="1:158" ht="17.25" thickBot="1" x14ac:dyDescent="0.3">
      <c r="A7" s="226">
        <v>45869</v>
      </c>
      <c r="B7" s="227" t="s">
        <v>157</v>
      </c>
      <c r="C7" s="227" t="s">
        <v>158</v>
      </c>
      <c r="D7" s="228">
        <v>300</v>
      </c>
      <c r="E7" s="228">
        <v>0</v>
      </c>
      <c r="F7" s="228">
        <v>0</v>
      </c>
      <c r="G7" s="228">
        <v>0</v>
      </c>
      <c r="H7" s="229">
        <v>0</v>
      </c>
      <c r="I7" s="231">
        <v>1788.4</v>
      </c>
      <c r="J7" s="231">
        <v>1811.2</v>
      </c>
      <c r="K7" s="228">
        <v>-22.8</v>
      </c>
      <c r="L7" s="229">
        <v>-1.26E-2</v>
      </c>
      <c r="M7" s="231">
        <v>1785.6</v>
      </c>
      <c r="N7" s="231">
        <v>1809.4</v>
      </c>
      <c r="O7" s="228">
        <v>-23.8</v>
      </c>
      <c r="P7" s="229">
        <v>-1.32E-2</v>
      </c>
      <c r="Q7" s="228">
        <v>0</v>
      </c>
      <c r="R7" s="228">
        <v>0</v>
      </c>
      <c r="S7" s="228">
        <v>0</v>
      </c>
      <c r="T7" s="229">
        <v>0</v>
      </c>
      <c r="U7" s="228">
        <v>0</v>
      </c>
      <c r="V7" s="228">
        <v>0</v>
      </c>
      <c r="W7" s="228">
        <v>0</v>
      </c>
      <c r="X7" s="229">
        <v>0</v>
      </c>
      <c r="Y7" s="228">
        <v>0</v>
      </c>
      <c r="Z7" s="228">
        <v>-1.8</v>
      </c>
      <c r="AA7" s="228">
        <v>0</v>
      </c>
      <c r="AB7" s="229">
        <v>0</v>
      </c>
      <c r="AC7" s="228">
        <v>-2.8</v>
      </c>
      <c r="AD7" s="228">
        <v>-1.8</v>
      </c>
      <c r="AE7" s="228">
        <v>-1</v>
      </c>
      <c r="AF7" s="229">
        <v>-1.6000000000000001E-3</v>
      </c>
      <c r="AG7" s="228">
        <v>0</v>
      </c>
      <c r="AH7" s="228">
        <v>0</v>
      </c>
      <c r="AI7" s="228">
        <v>0</v>
      </c>
      <c r="AJ7" s="229">
        <v>0</v>
      </c>
      <c r="AK7" s="228">
        <v>0</v>
      </c>
      <c r="AL7" s="228">
        <v>0</v>
      </c>
      <c r="AM7" s="228">
        <v>0</v>
      </c>
      <c r="AN7" s="229">
        <v>0</v>
      </c>
      <c r="AO7" s="231">
        <v>1802.53</v>
      </c>
      <c r="AP7" s="228">
        <v>0</v>
      </c>
      <c r="AQ7" s="228">
        <v>0</v>
      </c>
      <c r="AR7" s="230">
        <v>1547400</v>
      </c>
      <c r="AS7" s="230">
        <v>809100</v>
      </c>
      <c r="AT7" s="230">
        <v>738300</v>
      </c>
      <c r="AU7" s="229">
        <v>0.91249999999999998</v>
      </c>
      <c r="AV7" s="230">
        <v>1547400</v>
      </c>
      <c r="AW7" s="230">
        <v>809100</v>
      </c>
      <c r="AX7" s="230">
        <v>738300</v>
      </c>
      <c r="AY7" s="229">
        <v>0.91249999999999998</v>
      </c>
      <c r="AZ7" s="228">
        <v>0</v>
      </c>
      <c r="BA7" s="228">
        <v>0</v>
      </c>
      <c r="BB7" s="228">
        <v>0</v>
      </c>
      <c r="BC7" s="229">
        <v>0</v>
      </c>
      <c r="BD7" s="228">
        <v>0</v>
      </c>
      <c r="BE7" s="228">
        <v>0</v>
      </c>
      <c r="BF7" s="228">
        <v>0</v>
      </c>
      <c r="BG7" s="229">
        <v>0</v>
      </c>
      <c r="BH7" s="230">
        <v>1077900</v>
      </c>
      <c r="BI7" s="230">
        <v>1188600</v>
      </c>
      <c r="BJ7" s="230">
        <v>-110700</v>
      </c>
      <c r="BK7" s="229">
        <v>-9.3100000000000002E-2</v>
      </c>
      <c r="BL7" s="230">
        <v>826800</v>
      </c>
      <c r="BM7" s="230">
        <v>481200</v>
      </c>
      <c r="BN7" s="230">
        <v>345600</v>
      </c>
      <c r="BO7" s="229">
        <v>0.71819999999999995</v>
      </c>
      <c r="BP7" s="230">
        <v>3452100</v>
      </c>
      <c r="BQ7" s="230">
        <v>2478900</v>
      </c>
      <c r="BR7" s="230">
        <v>973200</v>
      </c>
      <c r="BS7" s="229">
        <v>0.3926</v>
      </c>
      <c r="BT7" s="230">
        <v>1544051</v>
      </c>
      <c r="BU7" s="230">
        <v>957082</v>
      </c>
      <c r="BV7" s="230">
        <v>586969</v>
      </c>
      <c r="BW7" s="229">
        <v>0.61329999999999996</v>
      </c>
      <c r="BX7" s="228">
        <v>0</v>
      </c>
      <c r="BY7" s="230">
        <v>1907400</v>
      </c>
      <c r="BZ7" s="230">
        <v>-1907400</v>
      </c>
      <c r="CA7" s="229">
        <v>-1</v>
      </c>
      <c r="CB7" s="230">
        <v>904800</v>
      </c>
      <c r="CC7" s="230">
        <v>1907400</v>
      </c>
      <c r="CD7" s="230">
        <v>-1002600</v>
      </c>
      <c r="CE7" s="229">
        <v>-0.52559999999999996</v>
      </c>
      <c r="CF7" s="228">
        <v>0</v>
      </c>
      <c r="CG7" s="228">
        <v>0</v>
      </c>
      <c r="CH7" s="228">
        <v>0</v>
      </c>
      <c r="CI7" s="229">
        <v>0</v>
      </c>
      <c r="CJ7" s="228">
        <v>0</v>
      </c>
      <c r="CK7" s="228">
        <v>0</v>
      </c>
      <c r="CL7" s="228">
        <v>0</v>
      </c>
      <c r="CM7" s="229">
        <v>0</v>
      </c>
      <c r="CN7" s="230">
        <v>1215300</v>
      </c>
      <c r="CO7" s="230">
        <v>1626900</v>
      </c>
      <c r="CP7" s="230">
        <v>-411600</v>
      </c>
      <c r="CQ7" s="229">
        <v>-0.253</v>
      </c>
      <c r="CR7" s="230">
        <v>596700</v>
      </c>
      <c r="CS7" s="230">
        <v>959700</v>
      </c>
      <c r="CT7" s="230">
        <v>-363000</v>
      </c>
      <c r="CU7" s="229">
        <v>-0.37819999999999998</v>
      </c>
      <c r="CV7" s="230">
        <v>1812000</v>
      </c>
      <c r="CW7" s="230">
        <v>4494000</v>
      </c>
      <c r="CX7" s="230">
        <v>-2682000</v>
      </c>
      <c r="CY7" s="229">
        <v>-0.5968</v>
      </c>
      <c r="CZ7" s="228">
        <v>32.53</v>
      </c>
      <c r="DA7" s="228">
        <v>32.53</v>
      </c>
      <c r="DB7" s="228">
        <v>0</v>
      </c>
      <c r="DC7" s="228">
        <v>0</v>
      </c>
      <c r="DD7" s="228">
        <v>32.53</v>
      </c>
      <c r="DE7" s="228">
        <v>32.53</v>
      </c>
      <c r="DF7" s="228">
        <v>0</v>
      </c>
      <c r="DG7" s="228">
        <v>0</v>
      </c>
      <c r="DH7" s="228">
        <v>32.53</v>
      </c>
      <c r="DI7" s="228">
        <v>32.53</v>
      </c>
      <c r="DJ7" s="228">
        <v>0</v>
      </c>
      <c r="DK7" s="228">
        <v>0</v>
      </c>
      <c r="DL7" s="228">
        <v>32.53</v>
      </c>
      <c r="DM7" s="228">
        <v>32.53</v>
      </c>
      <c r="DN7" s="228">
        <v>0</v>
      </c>
      <c r="DO7" s="228">
        <v>0</v>
      </c>
      <c r="DP7" s="228">
        <v>0.49</v>
      </c>
      <c r="DQ7" s="228">
        <v>0.59</v>
      </c>
      <c r="DR7" s="228">
        <v>-0.1</v>
      </c>
      <c r="DS7" s="229">
        <v>-0.16950000000000001</v>
      </c>
      <c r="DT7" s="231">
        <v>2000</v>
      </c>
      <c r="DU7" s="231">
        <v>1900</v>
      </c>
      <c r="DV7" s="228">
        <v>0.77</v>
      </c>
      <c r="DW7" s="228">
        <v>0.4</v>
      </c>
      <c r="DX7" s="228">
        <v>0.37</v>
      </c>
      <c r="DY7" s="229">
        <v>0.92500000000000004</v>
      </c>
      <c r="DZ7" s="229">
        <v>0</v>
      </c>
      <c r="EA7" s="228">
        <v>0</v>
      </c>
      <c r="EB7" s="229">
        <v>0</v>
      </c>
      <c r="EC7" s="229">
        <v>0</v>
      </c>
      <c r="ED7" s="228">
        <v>0</v>
      </c>
      <c r="EE7" s="229">
        <v>0</v>
      </c>
      <c r="EF7" s="230">
        <v>1049993</v>
      </c>
      <c r="EG7" s="230">
        <v>646034</v>
      </c>
      <c r="EH7" s="229">
        <v>0.62529999999999997</v>
      </c>
      <c r="EI7" s="229">
        <v>0.68</v>
      </c>
      <c r="EJ7" s="231">
        <v>20385.169999999998</v>
      </c>
      <c r="EK7" s="231">
        <v>15655.14</v>
      </c>
      <c r="EL7" s="231">
        <v>27892.42</v>
      </c>
      <c r="EM7" s="228">
        <v>0</v>
      </c>
      <c r="EN7" s="231">
        <v>63932.73</v>
      </c>
      <c r="EO7" s="231">
        <v>46206.31</v>
      </c>
      <c r="EP7" s="231">
        <v>17726.419999999998</v>
      </c>
      <c r="EQ7" s="229">
        <v>0.3836</v>
      </c>
      <c r="ER7" s="228">
        <v>0</v>
      </c>
      <c r="ES7" s="228">
        <v>0</v>
      </c>
      <c r="ET7" s="228">
        <v>0</v>
      </c>
      <c r="EU7" s="231">
        <v>16266067</v>
      </c>
      <c r="EV7" s="228">
        <v>0</v>
      </c>
      <c r="EW7" s="231">
        <v>84483</v>
      </c>
      <c r="EX7" s="231">
        <v>-84483</v>
      </c>
      <c r="EY7" s="229">
        <v>-1</v>
      </c>
      <c r="EZ7" s="229">
        <v>0.1114</v>
      </c>
      <c r="FA7" s="227" t="s">
        <v>237</v>
      </c>
      <c r="FB7" s="161">
        <f t="shared" si="0"/>
        <v>-904800</v>
      </c>
    </row>
    <row r="8" spans="1:158" ht="17.25" thickBot="1" x14ac:dyDescent="0.3">
      <c r="A8" s="226">
        <v>45869</v>
      </c>
      <c r="B8" s="227" t="s">
        <v>161</v>
      </c>
      <c r="C8" s="227" t="s">
        <v>580</v>
      </c>
      <c r="D8" s="228">
        <v>675</v>
      </c>
      <c r="E8" s="228">
        <v>811.4</v>
      </c>
      <c r="F8" s="228">
        <v>828.55</v>
      </c>
      <c r="G8" s="228">
        <v>-17.149999999999999</v>
      </c>
      <c r="H8" s="229">
        <v>-2.07E-2</v>
      </c>
      <c r="I8" s="228">
        <v>808.4</v>
      </c>
      <c r="J8" s="228">
        <v>823.9</v>
      </c>
      <c r="K8" s="228">
        <v>-15.5</v>
      </c>
      <c r="L8" s="229">
        <v>-1.8800000000000001E-2</v>
      </c>
      <c r="M8" s="228">
        <v>807.05</v>
      </c>
      <c r="N8" s="228">
        <v>824.35</v>
      </c>
      <c r="O8" s="228">
        <v>-17.3</v>
      </c>
      <c r="P8" s="229">
        <v>-2.1000000000000001E-2</v>
      </c>
      <c r="Q8" s="228">
        <v>811.4</v>
      </c>
      <c r="R8" s="228">
        <v>828.55</v>
      </c>
      <c r="S8" s="228">
        <v>-17.149999999999999</v>
      </c>
      <c r="T8" s="229">
        <v>-2.07E-2</v>
      </c>
      <c r="U8" s="228">
        <v>817.25</v>
      </c>
      <c r="V8" s="228">
        <v>834.1</v>
      </c>
      <c r="W8" s="228">
        <v>-16.850000000000001</v>
      </c>
      <c r="X8" s="229">
        <v>-2.0199999999999999E-2</v>
      </c>
      <c r="Y8" s="228">
        <v>3</v>
      </c>
      <c r="Z8" s="228">
        <v>0.45</v>
      </c>
      <c r="AA8" s="228">
        <v>2.5499999999999998</v>
      </c>
      <c r="AB8" s="229">
        <v>3.7000000000000002E-3</v>
      </c>
      <c r="AC8" s="228">
        <v>-1.35</v>
      </c>
      <c r="AD8" s="228">
        <v>0.45</v>
      </c>
      <c r="AE8" s="228">
        <v>-1.8</v>
      </c>
      <c r="AF8" s="229">
        <v>-1.6999999999999999E-3</v>
      </c>
      <c r="AG8" s="228">
        <v>3</v>
      </c>
      <c r="AH8" s="228">
        <v>4.6500000000000004</v>
      </c>
      <c r="AI8" s="228">
        <v>-1.65</v>
      </c>
      <c r="AJ8" s="229">
        <v>3.7000000000000002E-3</v>
      </c>
      <c r="AK8" s="228">
        <v>8.85</v>
      </c>
      <c r="AL8" s="228">
        <v>10.199999999999999</v>
      </c>
      <c r="AM8" s="228">
        <v>-1.35</v>
      </c>
      <c r="AN8" s="229">
        <v>1.09E-2</v>
      </c>
      <c r="AO8" s="228">
        <v>810.89</v>
      </c>
      <c r="AP8" s="228">
        <v>815.47</v>
      </c>
      <c r="AQ8" s="228">
        <v>0</v>
      </c>
      <c r="AR8" s="230">
        <v>6262650</v>
      </c>
      <c r="AS8" s="230">
        <v>8338275</v>
      </c>
      <c r="AT8" s="230">
        <v>-2075625</v>
      </c>
      <c r="AU8" s="229">
        <v>-0.24890000000000001</v>
      </c>
      <c r="AV8" s="230">
        <v>2849850</v>
      </c>
      <c r="AW8" s="230">
        <v>3802275</v>
      </c>
      <c r="AX8" s="230">
        <v>-952425</v>
      </c>
      <c r="AY8" s="229">
        <v>-0.2505</v>
      </c>
      <c r="AZ8" s="230">
        <v>3300750</v>
      </c>
      <c r="BA8" s="230">
        <v>4436100</v>
      </c>
      <c r="BB8" s="230">
        <v>-1135350</v>
      </c>
      <c r="BC8" s="229">
        <v>-0.25590000000000002</v>
      </c>
      <c r="BD8" s="230">
        <v>112050</v>
      </c>
      <c r="BE8" s="230">
        <v>99900</v>
      </c>
      <c r="BF8" s="230">
        <v>12150</v>
      </c>
      <c r="BG8" s="229">
        <v>0.1216</v>
      </c>
      <c r="BH8" s="230">
        <v>2695950</v>
      </c>
      <c r="BI8" s="230">
        <v>2208600</v>
      </c>
      <c r="BJ8" s="230">
        <v>487350</v>
      </c>
      <c r="BK8" s="229">
        <v>0.22070000000000001</v>
      </c>
      <c r="BL8" s="230">
        <v>1917675</v>
      </c>
      <c r="BM8" s="230">
        <v>1300725</v>
      </c>
      <c r="BN8" s="230">
        <v>616950</v>
      </c>
      <c r="BO8" s="229">
        <v>0.4743</v>
      </c>
      <c r="BP8" s="230">
        <v>10876275</v>
      </c>
      <c r="BQ8" s="230">
        <v>11847600</v>
      </c>
      <c r="BR8" s="230">
        <v>-971325</v>
      </c>
      <c r="BS8" s="229">
        <v>-8.2000000000000003E-2</v>
      </c>
      <c r="BT8" s="230">
        <v>1079335</v>
      </c>
      <c r="BU8" s="230">
        <v>488689</v>
      </c>
      <c r="BV8" s="230">
        <v>590646</v>
      </c>
      <c r="BW8" s="229">
        <v>1.2085999999999999</v>
      </c>
      <c r="BX8" s="230">
        <v>19510875</v>
      </c>
      <c r="BY8" s="230">
        <v>19909125</v>
      </c>
      <c r="BZ8" s="230">
        <v>-398250</v>
      </c>
      <c r="CA8" s="229">
        <v>-0.02</v>
      </c>
      <c r="CB8" s="230">
        <v>762750</v>
      </c>
      <c r="CC8" s="230">
        <v>2137725</v>
      </c>
      <c r="CD8" s="230">
        <v>-1374975</v>
      </c>
      <c r="CE8" s="229">
        <v>-0.64319999999999999</v>
      </c>
      <c r="CF8" s="230">
        <v>19296225</v>
      </c>
      <c r="CG8" s="230">
        <v>17629650</v>
      </c>
      <c r="CH8" s="230">
        <v>1666575</v>
      </c>
      <c r="CI8" s="229">
        <v>9.4500000000000001E-2</v>
      </c>
      <c r="CJ8" s="230">
        <v>214650</v>
      </c>
      <c r="CK8" s="230">
        <v>141750</v>
      </c>
      <c r="CL8" s="230">
        <v>72900</v>
      </c>
      <c r="CM8" s="229">
        <v>0.51429999999999998</v>
      </c>
      <c r="CN8" s="230">
        <v>1393875</v>
      </c>
      <c r="CO8" s="230">
        <v>3900150</v>
      </c>
      <c r="CP8" s="230">
        <v>-2506275</v>
      </c>
      <c r="CQ8" s="229">
        <v>-0.64259999999999995</v>
      </c>
      <c r="CR8" s="230">
        <v>1420200</v>
      </c>
      <c r="CS8" s="230">
        <v>2825550</v>
      </c>
      <c r="CT8" s="230">
        <v>-1405350</v>
      </c>
      <c r="CU8" s="229">
        <v>-0.49740000000000001</v>
      </c>
      <c r="CV8" s="230">
        <v>22324950</v>
      </c>
      <c r="CW8" s="230">
        <v>26634825</v>
      </c>
      <c r="CX8" s="230">
        <v>-4309875</v>
      </c>
      <c r="CY8" s="229">
        <v>-0.1618</v>
      </c>
      <c r="CZ8" s="228">
        <v>34.51</v>
      </c>
      <c r="DA8" s="228">
        <v>34.17</v>
      </c>
      <c r="DB8" s="228">
        <v>0.34</v>
      </c>
      <c r="DC8" s="228">
        <v>0.34</v>
      </c>
      <c r="DD8" s="228">
        <v>60.36</v>
      </c>
      <c r="DE8" s="228">
        <v>60.45</v>
      </c>
      <c r="DF8" s="228">
        <v>-25.85</v>
      </c>
      <c r="DG8" s="228">
        <v>-0.09</v>
      </c>
      <c r="DH8" s="228">
        <v>34.89</v>
      </c>
      <c r="DI8" s="228">
        <v>34.299999999999997</v>
      </c>
      <c r="DJ8" s="228">
        <v>0.59</v>
      </c>
      <c r="DK8" s="228">
        <v>0.59</v>
      </c>
      <c r="DL8" s="228">
        <v>34.04</v>
      </c>
      <c r="DM8" s="228">
        <v>34</v>
      </c>
      <c r="DN8" s="228">
        <v>0.04</v>
      </c>
      <c r="DO8" s="228">
        <v>0.04</v>
      </c>
      <c r="DP8" s="228">
        <v>1.02</v>
      </c>
      <c r="DQ8" s="228">
        <v>0.72</v>
      </c>
      <c r="DR8" s="228">
        <v>0.3</v>
      </c>
      <c r="DS8" s="229">
        <v>0.41670000000000001</v>
      </c>
      <c r="DT8" s="228">
        <v>900</v>
      </c>
      <c r="DU8" s="228">
        <v>820</v>
      </c>
      <c r="DV8" s="228">
        <v>0.71</v>
      </c>
      <c r="DW8" s="228">
        <v>0.59</v>
      </c>
      <c r="DX8" s="228">
        <v>0.12</v>
      </c>
      <c r="DY8" s="229">
        <v>0.2034</v>
      </c>
      <c r="DZ8" s="229">
        <v>0.96240000000000003</v>
      </c>
      <c r="EA8" s="230">
        <v>17771400</v>
      </c>
      <c r="EB8" s="229">
        <v>5.4000000000000003E-3</v>
      </c>
      <c r="EC8" s="229">
        <v>0.96240000000000003</v>
      </c>
      <c r="ED8" s="228">
        <v>4.58</v>
      </c>
      <c r="EE8" s="229">
        <v>5.5999999999999999E-3</v>
      </c>
      <c r="EF8" s="230">
        <v>441641</v>
      </c>
      <c r="EG8" s="230">
        <v>180903</v>
      </c>
      <c r="EH8" s="229">
        <v>1.4413</v>
      </c>
      <c r="EI8" s="229">
        <v>0.40920000000000001</v>
      </c>
      <c r="EJ8" s="231">
        <v>23610.46</v>
      </c>
      <c r="EK8" s="231">
        <v>16482.68</v>
      </c>
      <c r="EL8" s="231">
        <v>50946.42</v>
      </c>
      <c r="EM8" s="228">
        <v>0</v>
      </c>
      <c r="EN8" s="231">
        <v>91039.56</v>
      </c>
      <c r="EO8" s="231">
        <v>99510.13</v>
      </c>
      <c r="EP8" s="231">
        <v>-8470.57</v>
      </c>
      <c r="EQ8" s="229">
        <v>-8.5099999999999995E-2</v>
      </c>
      <c r="ER8" s="231">
        <v>12131</v>
      </c>
      <c r="ES8" s="231">
        <v>11597</v>
      </c>
      <c r="ET8" s="231">
        <v>158324</v>
      </c>
      <c r="EU8" s="231">
        <v>72215231</v>
      </c>
      <c r="EV8" s="231">
        <v>182051</v>
      </c>
      <c r="EW8" s="231">
        <v>223547</v>
      </c>
      <c r="EX8" s="231">
        <v>-41496</v>
      </c>
      <c r="EY8" s="229">
        <v>-0.18559999999999999</v>
      </c>
      <c r="EZ8" s="229">
        <v>0.30909999999999999</v>
      </c>
      <c r="FA8" s="227" t="s">
        <v>568</v>
      </c>
      <c r="FB8" s="161">
        <f t="shared" si="0"/>
        <v>18748125</v>
      </c>
    </row>
    <row r="9" spans="1:158" ht="17.25" thickBot="1" x14ac:dyDescent="0.3">
      <c r="A9" s="226">
        <v>45869</v>
      </c>
      <c r="B9" s="227" t="s">
        <v>215</v>
      </c>
      <c r="C9" s="227" t="s">
        <v>159</v>
      </c>
      <c r="D9" s="228">
        <v>300</v>
      </c>
      <c r="E9" s="231">
        <v>2440.1</v>
      </c>
      <c r="F9" s="231">
        <v>2544.6999999999998</v>
      </c>
      <c r="G9" s="228">
        <v>-104.6</v>
      </c>
      <c r="H9" s="229">
        <v>-4.1099999999999998E-2</v>
      </c>
      <c r="I9" s="231">
        <v>2430.6999999999998</v>
      </c>
      <c r="J9" s="231">
        <v>2532.9</v>
      </c>
      <c r="K9" s="228">
        <v>-102.2</v>
      </c>
      <c r="L9" s="229">
        <v>-4.0300000000000002E-2</v>
      </c>
      <c r="M9" s="231">
        <v>2425.6</v>
      </c>
      <c r="N9" s="231">
        <v>2531.9</v>
      </c>
      <c r="O9" s="228">
        <v>-106.3</v>
      </c>
      <c r="P9" s="229">
        <v>-4.2000000000000003E-2</v>
      </c>
      <c r="Q9" s="231">
        <v>2440.1</v>
      </c>
      <c r="R9" s="231">
        <v>2544.6999999999998</v>
      </c>
      <c r="S9" s="228">
        <v>-104.6</v>
      </c>
      <c r="T9" s="229">
        <v>-4.1099999999999998E-2</v>
      </c>
      <c r="U9" s="231">
        <v>2454.6999999999998</v>
      </c>
      <c r="V9" s="231">
        <v>2562.6999999999998</v>
      </c>
      <c r="W9" s="228">
        <v>-108</v>
      </c>
      <c r="X9" s="229">
        <v>-4.2099999999999999E-2</v>
      </c>
      <c r="Y9" s="228">
        <v>9.4</v>
      </c>
      <c r="Z9" s="228">
        <v>-1</v>
      </c>
      <c r="AA9" s="228">
        <v>10.4</v>
      </c>
      <c r="AB9" s="229">
        <v>3.8999999999999998E-3</v>
      </c>
      <c r="AC9" s="228">
        <v>-5.0999999999999996</v>
      </c>
      <c r="AD9" s="228">
        <v>-1</v>
      </c>
      <c r="AE9" s="228">
        <v>-4.0999999999999996</v>
      </c>
      <c r="AF9" s="229">
        <v>-2.0999999999999999E-3</v>
      </c>
      <c r="AG9" s="228">
        <v>9.4</v>
      </c>
      <c r="AH9" s="228">
        <v>11.8</v>
      </c>
      <c r="AI9" s="228">
        <v>-2.4</v>
      </c>
      <c r="AJ9" s="229">
        <v>3.8999999999999998E-3</v>
      </c>
      <c r="AK9" s="228">
        <v>24</v>
      </c>
      <c r="AL9" s="228">
        <v>29.8</v>
      </c>
      <c r="AM9" s="228">
        <v>-5.8</v>
      </c>
      <c r="AN9" s="229">
        <v>9.9000000000000008E-3</v>
      </c>
      <c r="AO9" s="231">
        <v>2479.11</v>
      </c>
      <c r="AP9" s="231">
        <v>2484.56</v>
      </c>
      <c r="AQ9" s="228">
        <v>0</v>
      </c>
      <c r="AR9" s="230">
        <v>10292400</v>
      </c>
      <c r="AS9" s="230">
        <v>9101100</v>
      </c>
      <c r="AT9" s="230">
        <v>1191300</v>
      </c>
      <c r="AU9" s="229">
        <v>0.13089999999999999</v>
      </c>
      <c r="AV9" s="230">
        <v>3773700</v>
      </c>
      <c r="AW9" s="230">
        <v>4452000</v>
      </c>
      <c r="AX9" s="230">
        <v>-678300</v>
      </c>
      <c r="AY9" s="229">
        <v>-0.15240000000000001</v>
      </c>
      <c r="AZ9" s="230">
        <v>6380700</v>
      </c>
      <c r="BA9" s="230">
        <v>4588200</v>
      </c>
      <c r="BB9" s="230">
        <v>1792500</v>
      </c>
      <c r="BC9" s="229">
        <v>0.39069999999999999</v>
      </c>
      <c r="BD9" s="230">
        <v>138000</v>
      </c>
      <c r="BE9" s="230">
        <v>60900</v>
      </c>
      <c r="BF9" s="230">
        <v>77100</v>
      </c>
      <c r="BG9" s="229">
        <v>1.266</v>
      </c>
      <c r="BH9" s="230">
        <v>18281700</v>
      </c>
      <c r="BI9" s="230">
        <v>5785800</v>
      </c>
      <c r="BJ9" s="230">
        <v>12495900</v>
      </c>
      <c r="BK9" s="229">
        <v>2.1598000000000002</v>
      </c>
      <c r="BL9" s="230">
        <v>11119800</v>
      </c>
      <c r="BM9" s="230">
        <v>2292900</v>
      </c>
      <c r="BN9" s="230">
        <v>8826900</v>
      </c>
      <c r="BO9" s="229">
        <v>3.8496999999999999</v>
      </c>
      <c r="BP9" s="230">
        <v>39693900</v>
      </c>
      <c r="BQ9" s="230">
        <v>17179800</v>
      </c>
      <c r="BR9" s="230">
        <v>22514100</v>
      </c>
      <c r="BS9" s="229">
        <v>1.3105</v>
      </c>
      <c r="BT9" s="230">
        <v>1559566</v>
      </c>
      <c r="BU9" s="230">
        <v>280867</v>
      </c>
      <c r="BV9" s="230">
        <v>1278699</v>
      </c>
      <c r="BW9" s="229">
        <v>4.5526999999999997</v>
      </c>
      <c r="BX9" s="230">
        <v>18085200</v>
      </c>
      <c r="BY9" s="230">
        <v>18271500</v>
      </c>
      <c r="BZ9" s="230">
        <v>-186300</v>
      </c>
      <c r="CA9" s="229">
        <v>-1.0200000000000001E-2</v>
      </c>
      <c r="CB9" s="230">
        <v>1176000</v>
      </c>
      <c r="CC9" s="230">
        <v>3287100</v>
      </c>
      <c r="CD9" s="230">
        <v>-2111100</v>
      </c>
      <c r="CE9" s="229">
        <v>-0.64219999999999999</v>
      </c>
      <c r="CF9" s="230">
        <v>17916000</v>
      </c>
      <c r="CG9" s="230">
        <v>14852700</v>
      </c>
      <c r="CH9" s="230">
        <v>3063300</v>
      </c>
      <c r="CI9" s="229">
        <v>0.20619999999999999</v>
      </c>
      <c r="CJ9" s="230">
        <v>169200</v>
      </c>
      <c r="CK9" s="230">
        <v>131700</v>
      </c>
      <c r="CL9" s="230">
        <v>37500</v>
      </c>
      <c r="CM9" s="229">
        <v>0.28470000000000001</v>
      </c>
      <c r="CN9" s="230">
        <v>4551000</v>
      </c>
      <c r="CO9" s="230">
        <v>8337900</v>
      </c>
      <c r="CP9" s="230">
        <v>-3786900</v>
      </c>
      <c r="CQ9" s="229">
        <v>-0.45419999999999999</v>
      </c>
      <c r="CR9" s="230">
        <v>4905600</v>
      </c>
      <c r="CS9" s="230">
        <v>6685200</v>
      </c>
      <c r="CT9" s="230">
        <v>-1779600</v>
      </c>
      <c r="CU9" s="229">
        <v>-0.26619999999999999</v>
      </c>
      <c r="CV9" s="230">
        <v>27541800</v>
      </c>
      <c r="CW9" s="230">
        <v>33294600</v>
      </c>
      <c r="CX9" s="230">
        <v>-5752800</v>
      </c>
      <c r="CY9" s="229">
        <v>-0.17280000000000001</v>
      </c>
      <c r="CZ9" s="228">
        <v>28.68</v>
      </c>
      <c r="DA9" s="228">
        <v>25.94</v>
      </c>
      <c r="DB9" s="228">
        <v>2.74</v>
      </c>
      <c r="DC9" s="228">
        <v>2.74</v>
      </c>
      <c r="DD9" s="228">
        <v>53.16</v>
      </c>
      <c r="DE9" s="228">
        <v>52.99</v>
      </c>
      <c r="DF9" s="228">
        <v>-24.48</v>
      </c>
      <c r="DG9" s="228">
        <v>0.17</v>
      </c>
      <c r="DH9" s="228">
        <v>27.44</v>
      </c>
      <c r="DI9" s="228">
        <v>25.43</v>
      </c>
      <c r="DJ9" s="228">
        <v>2.0099999999999998</v>
      </c>
      <c r="DK9" s="228">
        <v>2.0099999999999998</v>
      </c>
      <c r="DL9" s="228">
        <v>30.61</v>
      </c>
      <c r="DM9" s="228">
        <v>26.96</v>
      </c>
      <c r="DN9" s="228">
        <v>3.65</v>
      </c>
      <c r="DO9" s="228">
        <v>3.65</v>
      </c>
      <c r="DP9" s="228">
        <v>1.08</v>
      </c>
      <c r="DQ9" s="228">
        <v>0.8</v>
      </c>
      <c r="DR9" s="228">
        <v>0.28000000000000003</v>
      </c>
      <c r="DS9" s="229">
        <v>0.35</v>
      </c>
      <c r="DT9" s="231">
        <v>2700</v>
      </c>
      <c r="DU9" s="231">
        <v>2700</v>
      </c>
      <c r="DV9" s="228">
        <v>0.61</v>
      </c>
      <c r="DW9" s="228">
        <v>0.4</v>
      </c>
      <c r="DX9" s="228">
        <v>0.21</v>
      </c>
      <c r="DY9" s="229">
        <v>0.52500000000000002</v>
      </c>
      <c r="DZ9" s="229">
        <v>0.93889999999999996</v>
      </c>
      <c r="EA9" s="230">
        <v>14984400</v>
      </c>
      <c r="EB9" s="229">
        <v>6.0000000000000001E-3</v>
      </c>
      <c r="EC9" s="229">
        <v>0.93889999999999996</v>
      </c>
      <c r="ED9" s="228">
        <v>5.45</v>
      </c>
      <c r="EE9" s="229">
        <v>2.2000000000000001E-3</v>
      </c>
      <c r="EF9" s="230">
        <v>373095</v>
      </c>
      <c r="EG9" s="230">
        <v>74780</v>
      </c>
      <c r="EH9" s="229">
        <v>3.9891999999999999</v>
      </c>
      <c r="EI9" s="229">
        <v>0.2392</v>
      </c>
      <c r="EJ9" s="231">
        <v>480391.11</v>
      </c>
      <c r="EK9" s="231">
        <v>277948.23</v>
      </c>
      <c r="EL9" s="231">
        <v>255525.43</v>
      </c>
      <c r="EM9" s="228">
        <v>0</v>
      </c>
      <c r="EN9" s="231">
        <v>1013864.77</v>
      </c>
      <c r="EO9" s="231">
        <v>443272.39</v>
      </c>
      <c r="EP9" s="231">
        <v>570592.38</v>
      </c>
      <c r="EQ9" s="229">
        <v>1.2871999999999999</v>
      </c>
      <c r="ER9" s="231">
        <v>119088</v>
      </c>
      <c r="ES9" s="231">
        <v>126171</v>
      </c>
      <c r="ET9" s="231">
        <v>441322</v>
      </c>
      <c r="EU9" s="231">
        <v>60081955</v>
      </c>
      <c r="EV9" s="231">
        <v>686581</v>
      </c>
      <c r="EW9" s="231">
        <v>859675</v>
      </c>
      <c r="EX9" s="231">
        <v>-173094</v>
      </c>
      <c r="EY9" s="229">
        <v>-0.20130000000000001</v>
      </c>
      <c r="EZ9" s="229">
        <v>0.45839999999999997</v>
      </c>
      <c r="FA9" s="227" t="s">
        <v>568</v>
      </c>
      <c r="FB9" s="161">
        <f t="shared" si="0"/>
        <v>16909200</v>
      </c>
    </row>
    <row r="10" spans="1:158" ht="17.25" thickBot="1" x14ac:dyDescent="0.3">
      <c r="A10" s="226">
        <v>45869</v>
      </c>
      <c r="B10" s="227" t="s">
        <v>161</v>
      </c>
      <c r="C10" s="227" t="s">
        <v>607</v>
      </c>
      <c r="D10" s="228">
        <v>600</v>
      </c>
      <c r="E10" s="228">
        <v>988.2</v>
      </c>
      <c r="F10" s="231">
        <v>1015.8</v>
      </c>
      <c r="G10" s="228">
        <v>-27.6</v>
      </c>
      <c r="H10" s="229">
        <v>-2.7199999999999998E-2</v>
      </c>
      <c r="I10" s="228">
        <v>984.7</v>
      </c>
      <c r="J10" s="231">
        <v>1009.7</v>
      </c>
      <c r="K10" s="228">
        <v>-25</v>
      </c>
      <c r="L10" s="229">
        <v>-2.4799999999999999E-2</v>
      </c>
      <c r="M10" s="228">
        <v>983.3</v>
      </c>
      <c r="N10" s="231">
        <v>1010.2</v>
      </c>
      <c r="O10" s="228">
        <v>-26.9</v>
      </c>
      <c r="P10" s="229">
        <v>-2.6599999999999999E-2</v>
      </c>
      <c r="Q10" s="228">
        <v>988.2</v>
      </c>
      <c r="R10" s="231">
        <v>1015.8</v>
      </c>
      <c r="S10" s="228">
        <v>-27.6</v>
      </c>
      <c r="T10" s="229">
        <v>-2.7199999999999998E-2</v>
      </c>
      <c r="U10" s="228">
        <v>994.5</v>
      </c>
      <c r="V10" s="231">
        <v>1022.6</v>
      </c>
      <c r="W10" s="228">
        <v>-28.1</v>
      </c>
      <c r="X10" s="229">
        <v>-2.75E-2</v>
      </c>
      <c r="Y10" s="228">
        <v>3.5</v>
      </c>
      <c r="Z10" s="228">
        <v>0.5</v>
      </c>
      <c r="AA10" s="228">
        <v>3</v>
      </c>
      <c r="AB10" s="229">
        <v>3.5999999999999999E-3</v>
      </c>
      <c r="AC10" s="228">
        <v>-1.4</v>
      </c>
      <c r="AD10" s="228">
        <v>0.5</v>
      </c>
      <c r="AE10" s="228">
        <v>-1.9</v>
      </c>
      <c r="AF10" s="229">
        <v>-1.4E-3</v>
      </c>
      <c r="AG10" s="228">
        <v>3.5</v>
      </c>
      <c r="AH10" s="228">
        <v>6.1</v>
      </c>
      <c r="AI10" s="228">
        <v>-2.6</v>
      </c>
      <c r="AJ10" s="229">
        <v>3.5999999999999999E-3</v>
      </c>
      <c r="AK10" s="228">
        <v>9.8000000000000007</v>
      </c>
      <c r="AL10" s="228">
        <v>12.9</v>
      </c>
      <c r="AM10" s="228">
        <v>-3.1</v>
      </c>
      <c r="AN10" s="229">
        <v>0.01</v>
      </c>
      <c r="AO10" s="228">
        <v>996.83</v>
      </c>
      <c r="AP10" s="231">
        <v>1001.21</v>
      </c>
      <c r="AQ10" s="228">
        <v>0</v>
      </c>
      <c r="AR10" s="230">
        <v>11617200</v>
      </c>
      <c r="AS10" s="230">
        <v>9667800</v>
      </c>
      <c r="AT10" s="230">
        <v>1949400</v>
      </c>
      <c r="AU10" s="229">
        <v>0.2016</v>
      </c>
      <c r="AV10" s="230">
        <v>4750200</v>
      </c>
      <c r="AW10" s="230">
        <v>4611000</v>
      </c>
      <c r="AX10" s="230">
        <v>139200</v>
      </c>
      <c r="AY10" s="229">
        <v>3.0200000000000001E-2</v>
      </c>
      <c r="AZ10" s="230">
        <v>6726000</v>
      </c>
      <c r="BA10" s="230">
        <v>4949400</v>
      </c>
      <c r="BB10" s="230">
        <v>1776600</v>
      </c>
      <c r="BC10" s="229">
        <v>0.35899999999999999</v>
      </c>
      <c r="BD10" s="230">
        <v>141000</v>
      </c>
      <c r="BE10" s="230">
        <v>107400</v>
      </c>
      <c r="BF10" s="230">
        <v>33600</v>
      </c>
      <c r="BG10" s="229">
        <v>0.31280000000000002</v>
      </c>
      <c r="BH10" s="230">
        <v>10369200</v>
      </c>
      <c r="BI10" s="230">
        <v>10919400</v>
      </c>
      <c r="BJ10" s="230">
        <v>-550200</v>
      </c>
      <c r="BK10" s="229">
        <v>-5.04E-2</v>
      </c>
      <c r="BL10" s="230">
        <v>7239000</v>
      </c>
      <c r="BM10" s="230">
        <v>6093000</v>
      </c>
      <c r="BN10" s="230">
        <v>1146000</v>
      </c>
      <c r="BO10" s="229">
        <v>0.18809999999999999</v>
      </c>
      <c r="BP10" s="230">
        <v>29225400</v>
      </c>
      <c r="BQ10" s="230">
        <v>26680200</v>
      </c>
      <c r="BR10" s="230">
        <v>2545200</v>
      </c>
      <c r="BS10" s="229">
        <v>9.5399999999999999E-2</v>
      </c>
      <c r="BT10" s="230">
        <v>2420584</v>
      </c>
      <c r="BU10" s="230">
        <v>1487809</v>
      </c>
      <c r="BV10" s="230">
        <v>932775</v>
      </c>
      <c r="BW10" s="229">
        <v>0.62690000000000001</v>
      </c>
      <c r="BX10" s="230">
        <v>19816200</v>
      </c>
      <c r="BY10" s="230">
        <v>20371200</v>
      </c>
      <c r="BZ10" s="230">
        <v>-555000</v>
      </c>
      <c r="CA10" s="229">
        <v>-2.7199999999999998E-2</v>
      </c>
      <c r="CB10" s="230">
        <v>812400</v>
      </c>
      <c r="CC10" s="230">
        <v>3820200</v>
      </c>
      <c r="CD10" s="230">
        <v>-3007800</v>
      </c>
      <c r="CE10" s="229">
        <v>-0.7873</v>
      </c>
      <c r="CF10" s="230">
        <v>19536600</v>
      </c>
      <c r="CG10" s="230">
        <v>16342200</v>
      </c>
      <c r="CH10" s="230">
        <v>3194400</v>
      </c>
      <c r="CI10" s="229">
        <v>0.19550000000000001</v>
      </c>
      <c r="CJ10" s="230">
        <v>279600</v>
      </c>
      <c r="CK10" s="230">
        <v>208800</v>
      </c>
      <c r="CL10" s="230">
        <v>70800</v>
      </c>
      <c r="CM10" s="229">
        <v>0.33910000000000001</v>
      </c>
      <c r="CN10" s="230">
        <v>3477600</v>
      </c>
      <c r="CO10" s="230">
        <v>7656600</v>
      </c>
      <c r="CP10" s="230">
        <v>-4179000</v>
      </c>
      <c r="CQ10" s="229">
        <v>-0.54579999999999995</v>
      </c>
      <c r="CR10" s="230">
        <v>2175000</v>
      </c>
      <c r="CS10" s="230">
        <v>4758600</v>
      </c>
      <c r="CT10" s="230">
        <v>-2583600</v>
      </c>
      <c r="CU10" s="229">
        <v>-0.54290000000000005</v>
      </c>
      <c r="CV10" s="230">
        <v>25468800</v>
      </c>
      <c r="CW10" s="230">
        <v>32786400</v>
      </c>
      <c r="CX10" s="230">
        <v>-7317600</v>
      </c>
      <c r="CY10" s="229">
        <v>-0.22320000000000001</v>
      </c>
      <c r="CZ10" s="228">
        <v>37.11</v>
      </c>
      <c r="DA10" s="228">
        <v>36.700000000000003</v>
      </c>
      <c r="DB10" s="228">
        <v>0.41</v>
      </c>
      <c r="DC10" s="228">
        <v>0.41</v>
      </c>
      <c r="DD10" s="228">
        <v>61.9</v>
      </c>
      <c r="DE10" s="228">
        <v>61.95</v>
      </c>
      <c r="DF10" s="228">
        <v>-24.79</v>
      </c>
      <c r="DG10" s="228">
        <v>-0.05</v>
      </c>
      <c r="DH10" s="228">
        <v>37.020000000000003</v>
      </c>
      <c r="DI10" s="228">
        <v>36.71</v>
      </c>
      <c r="DJ10" s="228">
        <v>0.31</v>
      </c>
      <c r="DK10" s="228">
        <v>0.31</v>
      </c>
      <c r="DL10" s="228">
        <v>37.28</v>
      </c>
      <c r="DM10" s="228">
        <v>36.67</v>
      </c>
      <c r="DN10" s="228">
        <v>0.61</v>
      </c>
      <c r="DO10" s="228">
        <v>0.61</v>
      </c>
      <c r="DP10" s="228">
        <v>0.63</v>
      </c>
      <c r="DQ10" s="228">
        <v>0.62</v>
      </c>
      <c r="DR10" s="228">
        <v>0.01</v>
      </c>
      <c r="DS10" s="229">
        <v>1.61E-2</v>
      </c>
      <c r="DT10" s="231">
        <v>1000</v>
      </c>
      <c r="DU10" s="231">
        <v>1000</v>
      </c>
      <c r="DV10" s="228">
        <v>0.7</v>
      </c>
      <c r="DW10" s="228">
        <v>0.56000000000000005</v>
      </c>
      <c r="DX10" s="228">
        <v>0.14000000000000001</v>
      </c>
      <c r="DY10" s="229">
        <v>0.25</v>
      </c>
      <c r="DZ10" s="229">
        <v>0.96060000000000001</v>
      </c>
      <c r="EA10" s="230">
        <v>16551000</v>
      </c>
      <c r="EB10" s="229">
        <v>5.0000000000000001E-3</v>
      </c>
      <c r="EC10" s="229">
        <v>0.96060000000000001</v>
      </c>
      <c r="ED10" s="228">
        <v>4.38</v>
      </c>
      <c r="EE10" s="229">
        <v>4.4000000000000003E-3</v>
      </c>
      <c r="EF10" s="230">
        <v>659901</v>
      </c>
      <c r="EG10" s="230">
        <v>371280</v>
      </c>
      <c r="EH10" s="229">
        <v>0.77739999999999998</v>
      </c>
      <c r="EI10" s="229">
        <v>0.27260000000000001</v>
      </c>
      <c r="EJ10" s="231">
        <v>109040.07</v>
      </c>
      <c r="EK10" s="231">
        <v>73455.199999999997</v>
      </c>
      <c r="EL10" s="231">
        <v>116112.39</v>
      </c>
      <c r="EM10" s="228">
        <v>0</v>
      </c>
      <c r="EN10" s="231">
        <v>298607.65999999997</v>
      </c>
      <c r="EO10" s="231">
        <v>275037.86</v>
      </c>
      <c r="EP10" s="231">
        <v>23569.8</v>
      </c>
      <c r="EQ10" s="229">
        <v>8.5699999999999998E-2</v>
      </c>
      <c r="ER10" s="231">
        <v>36881</v>
      </c>
      <c r="ES10" s="231">
        <v>21612</v>
      </c>
      <c r="ET10" s="231">
        <v>195841</v>
      </c>
      <c r="EU10" s="231">
        <v>123755903</v>
      </c>
      <c r="EV10" s="231">
        <v>254334</v>
      </c>
      <c r="EW10" s="231">
        <v>334918</v>
      </c>
      <c r="EX10" s="231">
        <v>-80584</v>
      </c>
      <c r="EY10" s="229">
        <v>-0.24060000000000001</v>
      </c>
      <c r="EZ10" s="229">
        <v>0.20580000000000001</v>
      </c>
      <c r="FA10" s="227" t="s">
        <v>568</v>
      </c>
      <c r="FB10" s="161">
        <f t="shared" si="0"/>
        <v>19003800</v>
      </c>
    </row>
    <row r="11" spans="1:158" ht="17.25" thickBot="1" x14ac:dyDescent="0.3">
      <c r="A11" s="226">
        <v>45869</v>
      </c>
      <c r="B11" s="227" t="s">
        <v>215</v>
      </c>
      <c r="C11" s="227" t="s">
        <v>160</v>
      </c>
      <c r="D11" s="228">
        <v>475</v>
      </c>
      <c r="E11" s="231">
        <v>1380.9</v>
      </c>
      <c r="F11" s="231">
        <v>1402.8</v>
      </c>
      <c r="G11" s="228">
        <v>-21.9</v>
      </c>
      <c r="H11" s="229">
        <v>-1.5599999999999999E-2</v>
      </c>
      <c r="I11" s="231">
        <v>1373.1</v>
      </c>
      <c r="J11" s="231">
        <v>1394</v>
      </c>
      <c r="K11" s="228">
        <v>-20.9</v>
      </c>
      <c r="L11" s="229">
        <v>-1.4999999999999999E-2</v>
      </c>
      <c r="M11" s="231">
        <v>1375</v>
      </c>
      <c r="N11" s="231">
        <v>1395.6</v>
      </c>
      <c r="O11" s="228">
        <v>-20.6</v>
      </c>
      <c r="P11" s="229">
        <v>-1.4800000000000001E-2</v>
      </c>
      <c r="Q11" s="231">
        <v>1380.9</v>
      </c>
      <c r="R11" s="231">
        <v>1402.8</v>
      </c>
      <c r="S11" s="228">
        <v>-21.9</v>
      </c>
      <c r="T11" s="229">
        <v>-1.5599999999999999E-2</v>
      </c>
      <c r="U11" s="231">
        <v>1390</v>
      </c>
      <c r="V11" s="231">
        <v>1413.8</v>
      </c>
      <c r="W11" s="228">
        <v>-23.8</v>
      </c>
      <c r="X11" s="229">
        <v>-1.6799999999999999E-2</v>
      </c>
      <c r="Y11" s="228">
        <v>7.8</v>
      </c>
      <c r="Z11" s="228">
        <v>1.6</v>
      </c>
      <c r="AA11" s="228">
        <v>6.2</v>
      </c>
      <c r="AB11" s="229">
        <v>5.7000000000000002E-3</v>
      </c>
      <c r="AC11" s="228">
        <v>1.9</v>
      </c>
      <c r="AD11" s="228">
        <v>1.6</v>
      </c>
      <c r="AE11" s="228">
        <v>0.3</v>
      </c>
      <c r="AF11" s="229">
        <v>1.4E-3</v>
      </c>
      <c r="AG11" s="228">
        <v>7.8</v>
      </c>
      <c r="AH11" s="228">
        <v>8.8000000000000007</v>
      </c>
      <c r="AI11" s="228">
        <v>-1</v>
      </c>
      <c r="AJ11" s="229">
        <v>5.7000000000000002E-3</v>
      </c>
      <c r="AK11" s="228">
        <v>16.899999999999999</v>
      </c>
      <c r="AL11" s="228">
        <v>19.8</v>
      </c>
      <c r="AM11" s="228">
        <v>-2.9</v>
      </c>
      <c r="AN11" s="229">
        <v>1.23E-2</v>
      </c>
      <c r="AO11" s="231">
        <v>1385.49</v>
      </c>
      <c r="AP11" s="231">
        <v>1391.63</v>
      </c>
      <c r="AQ11" s="228">
        <v>0</v>
      </c>
      <c r="AR11" s="230">
        <v>9025475</v>
      </c>
      <c r="AS11" s="230">
        <v>12667300</v>
      </c>
      <c r="AT11" s="230">
        <v>-3641825</v>
      </c>
      <c r="AU11" s="229">
        <v>-0.28749999999999998</v>
      </c>
      <c r="AV11" s="230">
        <v>3561550</v>
      </c>
      <c r="AW11" s="230">
        <v>6130350</v>
      </c>
      <c r="AX11" s="230">
        <v>-2568800</v>
      </c>
      <c r="AY11" s="229">
        <v>-0.41899999999999998</v>
      </c>
      <c r="AZ11" s="230">
        <v>5221200</v>
      </c>
      <c r="BA11" s="230">
        <v>6494675</v>
      </c>
      <c r="BB11" s="230">
        <v>-1273475</v>
      </c>
      <c r="BC11" s="229">
        <v>-0.1961</v>
      </c>
      <c r="BD11" s="230">
        <v>242725</v>
      </c>
      <c r="BE11" s="230">
        <v>42275</v>
      </c>
      <c r="BF11" s="230">
        <v>200450</v>
      </c>
      <c r="BG11" s="229">
        <v>4.7416</v>
      </c>
      <c r="BH11" s="230">
        <v>7984750</v>
      </c>
      <c r="BI11" s="230">
        <v>6247675</v>
      </c>
      <c r="BJ11" s="230">
        <v>1737075</v>
      </c>
      <c r="BK11" s="229">
        <v>0.27800000000000002</v>
      </c>
      <c r="BL11" s="230">
        <v>6892725</v>
      </c>
      <c r="BM11" s="230">
        <v>3644675</v>
      </c>
      <c r="BN11" s="230">
        <v>3248050</v>
      </c>
      <c r="BO11" s="229">
        <v>0.89119999999999999</v>
      </c>
      <c r="BP11" s="230">
        <v>23902950</v>
      </c>
      <c r="BQ11" s="230">
        <v>22559650</v>
      </c>
      <c r="BR11" s="230">
        <v>1343300</v>
      </c>
      <c r="BS11" s="229">
        <v>5.9499999999999997E-2</v>
      </c>
      <c r="BT11" s="230">
        <v>1493510</v>
      </c>
      <c r="BU11" s="230">
        <v>656568</v>
      </c>
      <c r="BV11" s="230">
        <v>836942</v>
      </c>
      <c r="BW11" s="229">
        <v>1.2746999999999999</v>
      </c>
      <c r="BX11" s="230">
        <v>21720800</v>
      </c>
      <c r="BY11" s="230">
        <v>22444225</v>
      </c>
      <c r="BZ11" s="230">
        <v>-723425</v>
      </c>
      <c r="CA11" s="229">
        <v>-3.2199999999999999E-2</v>
      </c>
      <c r="CB11" s="230">
        <v>1335225</v>
      </c>
      <c r="CC11" s="230">
        <v>3549200</v>
      </c>
      <c r="CD11" s="230">
        <v>-2213975</v>
      </c>
      <c r="CE11" s="229">
        <v>-0.62380000000000002</v>
      </c>
      <c r="CF11" s="230">
        <v>20881475</v>
      </c>
      <c r="CG11" s="230">
        <v>18246175</v>
      </c>
      <c r="CH11" s="230">
        <v>2635300</v>
      </c>
      <c r="CI11" s="229">
        <v>0.1444</v>
      </c>
      <c r="CJ11" s="230">
        <v>839325</v>
      </c>
      <c r="CK11" s="230">
        <v>648850</v>
      </c>
      <c r="CL11" s="230">
        <v>190475</v>
      </c>
      <c r="CM11" s="229">
        <v>0.29360000000000003</v>
      </c>
      <c r="CN11" s="230">
        <v>2773525</v>
      </c>
      <c r="CO11" s="230">
        <v>7395275</v>
      </c>
      <c r="CP11" s="230">
        <v>-4621750</v>
      </c>
      <c r="CQ11" s="229">
        <v>-0.625</v>
      </c>
      <c r="CR11" s="230">
        <v>3063750</v>
      </c>
      <c r="CS11" s="230">
        <v>5855800</v>
      </c>
      <c r="CT11" s="230">
        <v>-2792050</v>
      </c>
      <c r="CU11" s="229">
        <v>-0.4768</v>
      </c>
      <c r="CV11" s="230">
        <v>27558075</v>
      </c>
      <c r="CW11" s="230">
        <v>35695300</v>
      </c>
      <c r="CX11" s="230">
        <v>-8137225</v>
      </c>
      <c r="CY11" s="229">
        <v>-0.22800000000000001</v>
      </c>
      <c r="CZ11" s="228">
        <v>25.36</v>
      </c>
      <c r="DA11" s="228">
        <v>24.73</v>
      </c>
      <c r="DB11" s="228">
        <v>0.63</v>
      </c>
      <c r="DC11" s="228">
        <v>0.63</v>
      </c>
      <c r="DD11" s="228">
        <v>42.45</v>
      </c>
      <c r="DE11" s="228">
        <v>42.5</v>
      </c>
      <c r="DF11" s="228">
        <v>-17.09</v>
      </c>
      <c r="DG11" s="228">
        <v>-0.05</v>
      </c>
      <c r="DH11" s="228">
        <v>25.64</v>
      </c>
      <c r="DI11" s="228">
        <v>24.65</v>
      </c>
      <c r="DJ11" s="228">
        <v>0.99</v>
      </c>
      <c r="DK11" s="228">
        <v>0.99</v>
      </c>
      <c r="DL11" s="228">
        <v>25.1</v>
      </c>
      <c r="DM11" s="228">
        <v>24.81</v>
      </c>
      <c r="DN11" s="228">
        <v>0.28999999999999998</v>
      </c>
      <c r="DO11" s="228">
        <v>0.28999999999999998</v>
      </c>
      <c r="DP11" s="228">
        <v>1.1000000000000001</v>
      </c>
      <c r="DQ11" s="228">
        <v>0.79</v>
      </c>
      <c r="DR11" s="228">
        <v>0.31</v>
      </c>
      <c r="DS11" s="229">
        <v>0.39240000000000003</v>
      </c>
      <c r="DT11" s="231">
        <v>1400</v>
      </c>
      <c r="DU11" s="231">
        <v>1400</v>
      </c>
      <c r="DV11" s="228">
        <v>0.86</v>
      </c>
      <c r="DW11" s="228">
        <v>0.57999999999999996</v>
      </c>
      <c r="DX11" s="228">
        <v>0.28000000000000003</v>
      </c>
      <c r="DY11" s="229">
        <v>0.48280000000000001</v>
      </c>
      <c r="DZ11" s="229">
        <v>0.94210000000000005</v>
      </c>
      <c r="EA11" s="230">
        <v>18895025</v>
      </c>
      <c r="EB11" s="229">
        <v>4.3E-3</v>
      </c>
      <c r="EC11" s="229">
        <v>0.94210000000000005</v>
      </c>
      <c r="ED11" s="228">
        <v>6.14</v>
      </c>
      <c r="EE11" s="229">
        <v>4.4000000000000003E-3</v>
      </c>
      <c r="EF11" s="230">
        <v>693260</v>
      </c>
      <c r="EG11" s="230">
        <v>294831</v>
      </c>
      <c r="EH11" s="229">
        <v>1.3513999999999999</v>
      </c>
      <c r="EI11" s="229">
        <v>0.4642</v>
      </c>
      <c r="EJ11" s="231">
        <v>114765.14</v>
      </c>
      <c r="EK11" s="231">
        <v>96030.33</v>
      </c>
      <c r="EL11" s="231">
        <v>125393.54</v>
      </c>
      <c r="EM11" s="228">
        <v>0</v>
      </c>
      <c r="EN11" s="231">
        <v>336189.01</v>
      </c>
      <c r="EO11" s="231">
        <v>317466.06</v>
      </c>
      <c r="EP11" s="231">
        <v>18722.95</v>
      </c>
      <c r="EQ11" s="229">
        <v>5.8999999999999997E-2</v>
      </c>
      <c r="ER11" s="231">
        <v>40150</v>
      </c>
      <c r="ES11" s="231">
        <v>42168</v>
      </c>
      <c r="ET11" s="231">
        <v>300019</v>
      </c>
      <c r="EU11" s="231">
        <v>147352572</v>
      </c>
      <c r="EV11" s="231">
        <v>382337</v>
      </c>
      <c r="EW11" s="231">
        <v>503433</v>
      </c>
      <c r="EX11" s="231">
        <v>-121096</v>
      </c>
      <c r="EY11" s="229">
        <v>-0.24049999999999999</v>
      </c>
      <c r="EZ11" s="229">
        <v>0.187</v>
      </c>
      <c r="FA11" s="227" t="s">
        <v>568</v>
      </c>
      <c r="FB11" s="161">
        <f t="shared" si="0"/>
        <v>20385575</v>
      </c>
    </row>
    <row r="12" spans="1:158" ht="17.25" thickBot="1" x14ac:dyDescent="0.3">
      <c r="A12" s="226">
        <v>45869</v>
      </c>
      <c r="B12" s="227" t="s">
        <v>170</v>
      </c>
      <c r="C12" s="227" t="s">
        <v>497</v>
      </c>
      <c r="D12" s="228">
        <v>125</v>
      </c>
      <c r="E12" s="231">
        <v>5039.3999999999996</v>
      </c>
      <c r="F12" s="231">
        <v>5120.8</v>
      </c>
      <c r="G12" s="228">
        <v>-81.400000000000006</v>
      </c>
      <c r="H12" s="229">
        <v>-1.5900000000000001E-2</v>
      </c>
      <c r="I12" s="231">
        <v>5031.1000000000004</v>
      </c>
      <c r="J12" s="231">
        <v>5099.6000000000004</v>
      </c>
      <c r="K12" s="228">
        <v>-68.5</v>
      </c>
      <c r="L12" s="229">
        <v>-1.34E-2</v>
      </c>
      <c r="M12" s="231">
        <v>5020.5</v>
      </c>
      <c r="N12" s="231">
        <v>5098.2</v>
      </c>
      <c r="O12" s="228">
        <v>-77.7</v>
      </c>
      <c r="P12" s="229">
        <v>-1.52E-2</v>
      </c>
      <c r="Q12" s="231">
        <v>5039.3999999999996</v>
      </c>
      <c r="R12" s="231">
        <v>5120.8</v>
      </c>
      <c r="S12" s="228">
        <v>-81.400000000000006</v>
      </c>
      <c r="T12" s="229">
        <v>-1.5900000000000001E-2</v>
      </c>
      <c r="U12" s="231">
        <v>5053.3</v>
      </c>
      <c r="V12" s="231">
        <v>5133.8</v>
      </c>
      <c r="W12" s="228">
        <v>-80.5</v>
      </c>
      <c r="X12" s="229">
        <v>-1.5699999999999999E-2</v>
      </c>
      <c r="Y12" s="228">
        <v>8.3000000000000007</v>
      </c>
      <c r="Z12" s="228">
        <v>-1.4</v>
      </c>
      <c r="AA12" s="228">
        <v>9.6999999999999993</v>
      </c>
      <c r="AB12" s="229">
        <v>1.6000000000000001E-3</v>
      </c>
      <c r="AC12" s="228">
        <v>-10.6</v>
      </c>
      <c r="AD12" s="228">
        <v>-1.4</v>
      </c>
      <c r="AE12" s="228">
        <v>-9.1999999999999993</v>
      </c>
      <c r="AF12" s="229">
        <v>-2.0999999999999999E-3</v>
      </c>
      <c r="AG12" s="228">
        <v>8.3000000000000007</v>
      </c>
      <c r="AH12" s="228">
        <v>21.2</v>
      </c>
      <c r="AI12" s="228">
        <v>-12.9</v>
      </c>
      <c r="AJ12" s="229">
        <v>1.6000000000000001E-3</v>
      </c>
      <c r="AK12" s="228">
        <v>22.2</v>
      </c>
      <c r="AL12" s="228">
        <v>34.200000000000003</v>
      </c>
      <c r="AM12" s="228">
        <v>-12</v>
      </c>
      <c r="AN12" s="229">
        <v>4.4000000000000003E-3</v>
      </c>
      <c r="AO12" s="231">
        <v>5036.67</v>
      </c>
      <c r="AP12" s="231">
        <v>5055.7299999999996</v>
      </c>
      <c r="AQ12" s="228">
        <v>0</v>
      </c>
      <c r="AR12" s="230">
        <v>553625</v>
      </c>
      <c r="AS12" s="230">
        <v>952875</v>
      </c>
      <c r="AT12" s="230">
        <v>-399250</v>
      </c>
      <c r="AU12" s="229">
        <v>-0.41899999999999998</v>
      </c>
      <c r="AV12" s="230">
        <v>205500</v>
      </c>
      <c r="AW12" s="230">
        <v>449125</v>
      </c>
      <c r="AX12" s="230">
        <v>-243625</v>
      </c>
      <c r="AY12" s="229">
        <v>-0.54239999999999999</v>
      </c>
      <c r="AZ12" s="230">
        <v>346000</v>
      </c>
      <c r="BA12" s="230">
        <v>501875</v>
      </c>
      <c r="BB12" s="230">
        <v>-155875</v>
      </c>
      <c r="BC12" s="229">
        <v>-0.31059999999999999</v>
      </c>
      <c r="BD12" s="230">
        <v>2125</v>
      </c>
      <c r="BE12" s="230">
        <v>1875</v>
      </c>
      <c r="BF12" s="228">
        <v>250</v>
      </c>
      <c r="BG12" s="229">
        <v>0.1333</v>
      </c>
      <c r="BH12" s="230">
        <v>307500</v>
      </c>
      <c r="BI12" s="230">
        <v>328000</v>
      </c>
      <c r="BJ12" s="230">
        <v>-20500</v>
      </c>
      <c r="BK12" s="229">
        <v>-6.25E-2</v>
      </c>
      <c r="BL12" s="230">
        <v>178125</v>
      </c>
      <c r="BM12" s="230">
        <v>185625</v>
      </c>
      <c r="BN12" s="230">
        <v>-7500</v>
      </c>
      <c r="BO12" s="229">
        <v>-4.0399999999999998E-2</v>
      </c>
      <c r="BP12" s="230">
        <v>1039250</v>
      </c>
      <c r="BQ12" s="230">
        <v>1466500</v>
      </c>
      <c r="BR12" s="230">
        <v>-427250</v>
      </c>
      <c r="BS12" s="229">
        <v>-0.2913</v>
      </c>
      <c r="BT12" s="230">
        <v>156087</v>
      </c>
      <c r="BU12" s="230">
        <v>72657</v>
      </c>
      <c r="BV12" s="230">
        <v>83430</v>
      </c>
      <c r="BW12" s="229">
        <v>1.1483000000000001</v>
      </c>
      <c r="BX12" s="230">
        <v>1138500</v>
      </c>
      <c r="BY12" s="230">
        <v>1220375</v>
      </c>
      <c r="BZ12" s="230">
        <v>-81875</v>
      </c>
      <c r="CA12" s="229">
        <v>-6.7100000000000007E-2</v>
      </c>
      <c r="CB12" s="230">
        <v>64500</v>
      </c>
      <c r="CC12" s="230">
        <v>185000</v>
      </c>
      <c r="CD12" s="230">
        <v>-120500</v>
      </c>
      <c r="CE12" s="229">
        <v>-0.65139999999999998</v>
      </c>
      <c r="CF12" s="230">
        <v>1132625</v>
      </c>
      <c r="CG12" s="230">
        <v>1029625</v>
      </c>
      <c r="CH12" s="230">
        <v>103000</v>
      </c>
      <c r="CI12" s="229">
        <v>0.1</v>
      </c>
      <c r="CJ12" s="230">
        <v>5875</v>
      </c>
      <c r="CK12" s="230">
        <v>5750</v>
      </c>
      <c r="CL12" s="228">
        <v>125</v>
      </c>
      <c r="CM12" s="229">
        <v>2.1700000000000001E-2</v>
      </c>
      <c r="CN12" s="230">
        <v>100125</v>
      </c>
      <c r="CO12" s="230">
        <v>297625</v>
      </c>
      <c r="CP12" s="230">
        <v>-197500</v>
      </c>
      <c r="CQ12" s="229">
        <v>-0.66359999999999997</v>
      </c>
      <c r="CR12" s="230">
        <v>58625</v>
      </c>
      <c r="CS12" s="230">
        <v>204125</v>
      </c>
      <c r="CT12" s="230">
        <v>-145500</v>
      </c>
      <c r="CU12" s="229">
        <v>-0.71279999999999999</v>
      </c>
      <c r="CV12" s="230">
        <v>1297250</v>
      </c>
      <c r="CW12" s="230">
        <v>1722125</v>
      </c>
      <c r="CX12" s="230">
        <v>-424875</v>
      </c>
      <c r="CY12" s="229">
        <v>-0.2467</v>
      </c>
      <c r="CZ12" s="228">
        <v>30.69</v>
      </c>
      <c r="DA12" s="228">
        <v>29.68</v>
      </c>
      <c r="DB12" s="228">
        <v>1.01</v>
      </c>
      <c r="DC12" s="228">
        <v>1.01</v>
      </c>
      <c r="DD12" s="228">
        <v>28.56</v>
      </c>
      <c r="DE12" s="228">
        <v>28.58</v>
      </c>
      <c r="DF12" s="228">
        <v>2.13</v>
      </c>
      <c r="DG12" s="228">
        <v>-0.02</v>
      </c>
      <c r="DH12" s="228">
        <v>30.86</v>
      </c>
      <c r="DI12" s="228">
        <v>29.71</v>
      </c>
      <c r="DJ12" s="228">
        <v>1.1499999999999999</v>
      </c>
      <c r="DK12" s="228">
        <v>1.1499999999999999</v>
      </c>
      <c r="DL12" s="228">
        <v>30.33</v>
      </c>
      <c r="DM12" s="228">
        <v>29.63</v>
      </c>
      <c r="DN12" s="228">
        <v>0.7</v>
      </c>
      <c r="DO12" s="228">
        <v>0.7</v>
      </c>
      <c r="DP12" s="228">
        <v>0.59</v>
      </c>
      <c r="DQ12" s="228">
        <v>0.69</v>
      </c>
      <c r="DR12" s="228">
        <v>-0.1</v>
      </c>
      <c r="DS12" s="229">
        <v>-0.1449</v>
      </c>
      <c r="DT12" s="231">
        <v>5100</v>
      </c>
      <c r="DU12" s="231">
        <v>5000</v>
      </c>
      <c r="DV12" s="228">
        <v>0.57999999999999996</v>
      </c>
      <c r="DW12" s="228">
        <v>0.56999999999999995</v>
      </c>
      <c r="DX12" s="228">
        <v>0.01</v>
      </c>
      <c r="DY12" s="229">
        <v>1.7500000000000002E-2</v>
      </c>
      <c r="DZ12" s="229">
        <v>0.94640000000000002</v>
      </c>
      <c r="EA12" s="230">
        <v>1035375</v>
      </c>
      <c r="EB12" s="229">
        <v>3.8E-3</v>
      </c>
      <c r="EC12" s="229">
        <v>0.94640000000000002</v>
      </c>
      <c r="ED12" s="228">
        <v>19.059999999999999</v>
      </c>
      <c r="EE12" s="229">
        <v>3.8E-3</v>
      </c>
      <c r="EF12" s="230">
        <v>98558</v>
      </c>
      <c r="EG12" s="230">
        <v>44951</v>
      </c>
      <c r="EH12" s="229">
        <v>1.1926000000000001</v>
      </c>
      <c r="EI12" s="229">
        <v>0.63139999999999996</v>
      </c>
      <c r="EJ12" s="231">
        <v>16063.25</v>
      </c>
      <c r="EK12" s="231">
        <v>8826.7800000000007</v>
      </c>
      <c r="EL12" s="231">
        <v>27950.97</v>
      </c>
      <c r="EM12" s="228">
        <v>0</v>
      </c>
      <c r="EN12" s="231">
        <v>52841</v>
      </c>
      <c r="EO12" s="231">
        <v>74761.210000000006</v>
      </c>
      <c r="EP12" s="231">
        <v>-21920.21</v>
      </c>
      <c r="EQ12" s="229">
        <v>-0.29320000000000002</v>
      </c>
      <c r="ER12" s="231">
        <v>5253</v>
      </c>
      <c r="ES12" s="231">
        <v>2873</v>
      </c>
      <c r="ET12" s="231">
        <v>57374</v>
      </c>
      <c r="EU12" s="231">
        <v>10730378</v>
      </c>
      <c r="EV12" s="231">
        <v>65500</v>
      </c>
      <c r="EW12" s="231">
        <v>87557</v>
      </c>
      <c r="EX12" s="231">
        <v>-22057</v>
      </c>
      <c r="EY12" s="229">
        <v>-0.25190000000000001</v>
      </c>
      <c r="EZ12" s="229">
        <v>0.12089999999999999</v>
      </c>
      <c r="FA12" s="227" t="s">
        <v>568</v>
      </c>
      <c r="FB12" s="161">
        <f t="shared" si="0"/>
        <v>1074000</v>
      </c>
    </row>
    <row r="13" spans="1:158" ht="17.25" thickBot="1" x14ac:dyDescent="0.3">
      <c r="A13" s="226">
        <v>45869</v>
      </c>
      <c r="B13" s="227" t="s">
        <v>184</v>
      </c>
      <c r="C13" s="227" t="s">
        <v>683</v>
      </c>
      <c r="D13" s="228">
        <v>100</v>
      </c>
      <c r="E13" s="231">
        <v>7995</v>
      </c>
      <c r="F13" s="231">
        <v>8067.5</v>
      </c>
      <c r="G13" s="228">
        <v>-72.5</v>
      </c>
      <c r="H13" s="229">
        <v>-8.9999999999999993E-3</v>
      </c>
      <c r="I13" s="231">
        <v>7963.5</v>
      </c>
      <c r="J13" s="231">
        <v>8040.5</v>
      </c>
      <c r="K13" s="228">
        <v>-77</v>
      </c>
      <c r="L13" s="229">
        <v>-9.5999999999999992E-3</v>
      </c>
      <c r="M13" s="231">
        <v>7962</v>
      </c>
      <c r="N13" s="231">
        <v>8027</v>
      </c>
      <c r="O13" s="228">
        <v>-65</v>
      </c>
      <c r="P13" s="229">
        <v>-8.0999999999999996E-3</v>
      </c>
      <c r="Q13" s="231">
        <v>7995</v>
      </c>
      <c r="R13" s="231">
        <v>8067.5</v>
      </c>
      <c r="S13" s="228">
        <v>-72.5</v>
      </c>
      <c r="T13" s="229">
        <v>-8.9999999999999993E-3</v>
      </c>
      <c r="U13" s="231">
        <v>8022</v>
      </c>
      <c r="V13" s="231">
        <v>8086.5</v>
      </c>
      <c r="W13" s="228">
        <v>-64.5</v>
      </c>
      <c r="X13" s="229">
        <v>-8.0000000000000002E-3</v>
      </c>
      <c r="Y13" s="228">
        <v>31.5</v>
      </c>
      <c r="Z13" s="228">
        <v>-13.5</v>
      </c>
      <c r="AA13" s="228">
        <v>45</v>
      </c>
      <c r="AB13" s="229">
        <v>4.0000000000000001E-3</v>
      </c>
      <c r="AC13" s="228">
        <v>-1.5</v>
      </c>
      <c r="AD13" s="228">
        <v>-13.5</v>
      </c>
      <c r="AE13" s="228">
        <v>12</v>
      </c>
      <c r="AF13" s="229">
        <v>-2.0000000000000001E-4</v>
      </c>
      <c r="AG13" s="228">
        <v>31.5</v>
      </c>
      <c r="AH13" s="228">
        <v>27</v>
      </c>
      <c r="AI13" s="228">
        <v>4.5</v>
      </c>
      <c r="AJ13" s="229">
        <v>4.0000000000000001E-3</v>
      </c>
      <c r="AK13" s="228">
        <v>58.5</v>
      </c>
      <c r="AL13" s="228">
        <v>46</v>
      </c>
      <c r="AM13" s="228">
        <v>12.5</v>
      </c>
      <c r="AN13" s="229">
        <v>7.3000000000000001E-3</v>
      </c>
      <c r="AO13" s="231">
        <v>7930.93</v>
      </c>
      <c r="AP13" s="231">
        <v>7970.51</v>
      </c>
      <c r="AQ13" s="228">
        <v>0</v>
      </c>
      <c r="AR13" s="230">
        <v>505800</v>
      </c>
      <c r="AS13" s="230">
        <v>758600</v>
      </c>
      <c r="AT13" s="230">
        <v>-252800</v>
      </c>
      <c r="AU13" s="229">
        <v>-0.3332</v>
      </c>
      <c r="AV13" s="230">
        <v>150800</v>
      </c>
      <c r="AW13" s="230">
        <v>302000</v>
      </c>
      <c r="AX13" s="230">
        <v>-151200</v>
      </c>
      <c r="AY13" s="229">
        <v>-0.50070000000000003</v>
      </c>
      <c r="AZ13" s="230">
        <v>351400</v>
      </c>
      <c r="BA13" s="230">
        <v>452900</v>
      </c>
      <c r="BB13" s="230">
        <v>-101500</v>
      </c>
      <c r="BC13" s="229">
        <v>-0.22409999999999999</v>
      </c>
      <c r="BD13" s="230">
        <v>3600</v>
      </c>
      <c r="BE13" s="230">
        <v>3700</v>
      </c>
      <c r="BF13" s="228">
        <v>-100</v>
      </c>
      <c r="BG13" s="229">
        <v>-2.7E-2</v>
      </c>
      <c r="BH13" s="230">
        <v>976800</v>
      </c>
      <c r="BI13" s="230">
        <v>4321500</v>
      </c>
      <c r="BJ13" s="230">
        <v>-3344700</v>
      </c>
      <c r="BK13" s="229">
        <v>-0.77400000000000002</v>
      </c>
      <c r="BL13" s="230">
        <v>617500</v>
      </c>
      <c r="BM13" s="230">
        <v>1344100</v>
      </c>
      <c r="BN13" s="230">
        <v>-726600</v>
      </c>
      <c r="BO13" s="229">
        <v>-0.54059999999999997</v>
      </c>
      <c r="BP13" s="230">
        <v>2100100</v>
      </c>
      <c r="BQ13" s="230">
        <v>6424200</v>
      </c>
      <c r="BR13" s="230">
        <v>-4324100</v>
      </c>
      <c r="BS13" s="229">
        <v>-0.67310000000000003</v>
      </c>
      <c r="BT13" s="230">
        <v>421070</v>
      </c>
      <c r="BU13" s="230">
        <v>940087</v>
      </c>
      <c r="BV13" s="230">
        <v>-519017</v>
      </c>
      <c r="BW13" s="229">
        <v>-0.55210000000000004</v>
      </c>
      <c r="BX13" s="230">
        <v>486700</v>
      </c>
      <c r="BY13" s="230">
        <v>564200</v>
      </c>
      <c r="BZ13" s="230">
        <v>-77500</v>
      </c>
      <c r="CA13" s="229">
        <v>-0.13739999999999999</v>
      </c>
      <c r="CB13" s="230">
        <v>26000</v>
      </c>
      <c r="CC13" s="230">
        <v>75500</v>
      </c>
      <c r="CD13" s="230">
        <v>-49500</v>
      </c>
      <c r="CE13" s="229">
        <v>-0.65559999999999996</v>
      </c>
      <c r="CF13" s="230">
        <v>481800</v>
      </c>
      <c r="CG13" s="230">
        <v>484700</v>
      </c>
      <c r="CH13" s="230">
        <v>-2900</v>
      </c>
      <c r="CI13" s="229">
        <v>-6.0000000000000001E-3</v>
      </c>
      <c r="CJ13" s="230">
        <v>4900</v>
      </c>
      <c r="CK13" s="230">
        <v>4000</v>
      </c>
      <c r="CL13" s="228">
        <v>900</v>
      </c>
      <c r="CM13" s="229">
        <v>0.22500000000000001</v>
      </c>
      <c r="CN13" s="230">
        <v>227300</v>
      </c>
      <c r="CO13" s="230">
        <v>463100</v>
      </c>
      <c r="CP13" s="230">
        <v>-235800</v>
      </c>
      <c r="CQ13" s="229">
        <v>-0.50919999999999999</v>
      </c>
      <c r="CR13" s="230">
        <v>142500</v>
      </c>
      <c r="CS13" s="230">
        <v>372200</v>
      </c>
      <c r="CT13" s="230">
        <v>-229700</v>
      </c>
      <c r="CU13" s="229">
        <v>-0.61709999999999998</v>
      </c>
      <c r="CV13" s="230">
        <v>856500</v>
      </c>
      <c r="CW13" s="230">
        <v>1399500</v>
      </c>
      <c r="CX13" s="230">
        <v>-543000</v>
      </c>
      <c r="CY13" s="229">
        <v>-0.38800000000000001</v>
      </c>
      <c r="CZ13" s="228">
        <v>31.22</v>
      </c>
      <c r="DA13" s="228">
        <v>32.369999999999997</v>
      </c>
      <c r="DB13" s="228">
        <v>-1.1499999999999999</v>
      </c>
      <c r="DC13" s="228">
        <v>-1.1499999999999999</v>
      </c>
      <c r="DD13" s="228">
        <v>57.66</v>
      </c>
      <c r="DE13" s="228">
        <v>57.79</v>
      </c>
      <c r="DF13" s="228">
        <v>-26.44</v>
      </c>
      <c r="DG13" s="228">
        <v>-0.13</v>
      </c>
      <c r="DH13" s="228">
        <v>30.66</v>
      </c>
      <c r="DI13" s="228">
        <v>32.21</v>
      </c>
      <c r="DJ13" s="228">
        <v>-1.55</v>
      </c>
      <c r="DK13" s="228">
        <v>-1.55</v>
      </c>
      <c r="DL13" s="228">
        <v>32.31</v>
      </c>
      <c r="DM13" s="228">
        <v>33.159999999999997</v>
      </c>
      <c r="DN13" s="228">
        <v>-0.85</v>
      </c>
      <c r="DO13" s="228">
        <v>-0.85</v>
      </c>
      <c r="DP13" s="228">
        <v>0.63</v>
      </c>
      <c r="DQ13" s="228">
        <v>0.8</v>
      </c>
      <c r="DR13" s="228">
        <v>-0.17</v>
      </c>
      <c r="DS13" s="229">
        <v>-0.21249999999999999</v>
      </c>
      <c r="DT13" s="231">
        <v>8000</v>
      </c>
      <c r="DU13" s="231">
        <v>8000</v>
      </c>
      <c r="DV13" s="228">
        <v>0.63</v>
      </c>
      <c r="DW13" s="228">
        <v>0.31</v>
      </c>
      <c r="DX13" s="228">
        <v>0.32</v>
      </c>
      <c r="DY13" s="229">
        <v>1.0323</v>
      </c>
      <c r="DZ13" s="229">
        <v>0.94930000000000003</v>
      </c>
      <c r="EA13" s="230">
        <v>488700</v>
      </c>
      <c r="EB13" s="229">
        <v>4.1000000000000003E-3</v>
      </c>
      <c r="EC13" s="229">
        <v>0.94930000000000003</v>
      </c>
      <c r="ED13" s="228">
        <v>39.58</v>
      </c>
      <c r="EE13" s="229">
        <v>5.0000000000000001E-3</v>
      </c>
      <c r="EF13" s="230">
        <v>125402</v>
      </c>
      <c r="EG13" s="230">
        <v>221698</v>
      </c>
      <c r="EH13" s="229">
        <v>-0.43440000000000001</v>
      </c>
      <c r="EI13" s="229">
        <v>0.29780000000000001</v>
      </c>
      <c r="EJ13" s="231">
        <v>80624.53</v>
      </c>
      <c r="EK13" s="231">
        <v>47688.95</v>
      </c>
      <c r="EL13" s="231">
        <v>40256.07</v>
      </c>
      <c r="EM13" s="228">
        <v>0</v>
      </c>
      <c r="EN13" s="231">
        <v>168569.55</v>
      </c>
      <c r="EO13" s="231">
        <v>520422.42</v>
      </c>
      <c r="EP13" s="231">
        <v>-351852.87</v>
      </c>
      <c r="EQ13" s="229">
        <v>-0.67610000000000003</v>
      </c>
      <c r="ER13" s="231">
        <v>18223</v>
      </c>
      <c r="ES13" s="231">
        <v>10864</v>
      </c>
      <c r="ET13" s="231">
        <v>38913</v>
      </c>
      <c r="EU13" s="231">
        <v>4078053</v>
      </c>
      <c r="EV13" s="231">
        <v>68000</v>
      </c>
      <c r="EW13" s="231">
        <v>110320</v>
      </c>
      <c r="EX13" s="231">
        <v>-42320</v>
      </c>
      <c r="EY13" s="229">
        <v>-0.3836</v>
      </c>
      <c r="EZ13" s="229">
        <v>0.21</v>
      </c>
      <c r="FA13" s="227" t="s">
        <v>568</v>
      </c>
      <c r="FB13" s="161">
        <f t="shared" si="0"/>
        <v>460700</v>
      </c>
    </row>
    <row r="14" spans="1:158" ht="17.25" thickBot="1" x14ac:dyDescent="0.3">
      <c r="A14" s="226">
        <v>45869</v>
      </c>
      <c r="B14" s="227" t="s">
        <v>157</v>
      </c>
      <c r="C14" s="227" t="s">
        <v>164</v>
      </c>
      <c r="D14" s="228">
        <v>1050</v>
      </c>
      <c r="E14" s="228">
        <v>594.65</v>
      </c>
      <c r="F14" s="228">
        <v>621.15</v>
      </c>
      <c r="G14" s="228">
        <v>-26.5</v>
      </c>
      <c r="H14" s="229">
        <v>-4.2700000000000002E-2</v>
      </c>
      <c r="I14" s="228">
        <v>592.70000000000005</v>
      </c>
      <c r="J14" s="228">
        <v>617.85</v>
      </c>
      <c r="K14" s="228">
        <v>-25.15</v>
      </c>
      <c r="L14" s="229">
        <v>-4.07E-2</v>
      </c>
      <c r="M14" s="228">
        <v>592.25</v>
      </c>
      <c r="N14" s="228">
        <v>617.25</v>
      </c>
      <c r="O14" s="228">
        <v>-25</v>
      </c>
      <c r="P14" s="229">
        <v>-4.0500000000000001E-2</v>
      </c>
      <c r="Q14" s="228">
        <v>594.65</v>
      </c>
      <c r="R14" s="228">
        <v>621.15</v>
      </c>
      <c r="S14" s="228">
        <v>-26.5</v>
      </c>
      <c r="T14" s="229">
        <v>-4.2700000000000002E-2</v>
      </c>
      <c r="U14" s="228">
        <v>597.70000000000005</v>
      </c>
      <c r="V14" s="228">
        <v>624.75</v>
      </c>
      <c r="W14" s="228">
        <v>-27.05</v>
      </c>
      <c r="X14" s="229">
        <v>-4.3299999999999998E-2</v>
      </c>
      <c r="Y14" s="228">
        <v>1.95</v>
      </c>
      <c r="Z14" s="228">
        <v>-0.6</v>
      </c>
      <c r="AA14" s="228">
        <v>2.5499999999999998</v>
      </c>
      <c r="AB14" s="229">
        <v>3.3E-3</v>
      </c>
      <c r="AC14" s="228">
        <v>-0.45</v>
      </c>
      <c r="AD14" s="228">
        <v>-0.6</v>
      </c>
      <c r="AE14" s="228">
        <v>0.15</v>
      </c>
      <c r="AF14" s="229">
        <v>-8.0000000000000004E-4</v>
      </c>
      <c r="AG14" s="228">
        <v>1.95</v>
      </c>
      <c r="AH14" s="228">
        <v>3.3</v>
      </c>
      <c r="AI14" s="228">
        <v>-1.35</v>
      </c>
      <c r="AJ14" s="229">
        <v>3.3E-3</v>
      </c>
      <c r="AK14" s="228">
        <v>5</v>
      </c>
      <c r="AL14" s="228">
        <v>6.9</v>
      </c>
      <c r="AM14" s="228">
        <v>-1.9</v>
      </c>
      <c r="AN14" s="229">
        <v>8.3999999999999995E-3</v>
      </c>
      <c r="AO14" s="228">
        <v>610.85</v>
      </c>
      <c r="AP14" s="228">
        <v>611.95000000000005</v>
      </c>
      <c r="AQ14" s="228">
        <v>0</v>
      </c>
      <c r="AR14" s="230">
        <v>27088950</v>
      </c>
      <c r="AS14" s="230">
        <v>18797100</v>
      </c>
      <c r="AT14" s="230">
        <v>8291850</v>
      </c>
      <c r="AU14" s="229">
        <v>0.44109999999999999</v>
      </c>
      <c r="AV14" s="230">
        <v>7956900</v>
      </c>
      <c r="AW14" s="230">
        <v>8447250</v>
      </c>
      <c r="AX14" s="230">
        <v>-490350</v>
      </c>
      <c r="AY14" s="229">
        <v>-5.8000000000000003E-2</v>
      </c>
      <c r="AZ14" s="230">
        <v>18698400</v>
      </c>
      <c r="BA14" s="230">
        <v>10282650</v>
      </c>
      <c r="BB14" s="230">
        <v>8415750</v>
      </c>
      <c r="BC14" s="229">
        <v>0.81840000000000002</v>
      </c>
      <c r="BD14" s="230">
        <v>433650</v>
      </c>
      <c r="BE14" s="230">
        <v>67200</v>
      </c>
      <c r="BF14" s="230">
        <v>366450</v>
      </c>
      <c r="BG14" s="229">
        <v>5.4531000000000001</v>
      </c>
      <c r="BH14" s="230">
        <v>40169850</v>
      </c>
      <c r="BI14" s="230">
        <v>8585850</v>
      </c>
      <c r="BJ14" s="230">
        <v>31584000</v>
      </c>
      <c r="BK14" s="229">
        <v>3.6785999999999999</v>
      </c>
      <c r="BL14" s="230">
        <v>16349550</v>
      </c>
      <c r="BM14" s="230">
        <v>3640350</v>
      </c>
      <c r="BN14" s="230">
        <v>12709200</v>
      </c>
      <c r="BO14" s="229">
        <v>3.4912000000000001</v>
      </c>
      <c r="BP14" s="230">
        <v>83608350</v>
      </c>
      <c r="BQ14" s="230">
        <v>31023300</v>
      </c>
      <c r="BR14" s="230">
        <v>52585050</v>
      </c>
      <c r="BS14" s="229">
        <v>1.6950000000000001</v>
      </c>
      <c r="BT14" s="230">
        <v>6191298</v>
      </c>
      <c r="BU14" s="230">
        <v>2720150</v>
      </c>
      <c r="BV14" s="230">
        <v>3471148</v>
      </c>
      <c r="BW14" s="229">
        <v>1.2761</v>
      </c>
      <c r="BX14" s="230">
        <v>29384250</v>
      </c>
      <c r="BY14" s="230">
        <v>27430200</v>
      </c>
      <c r="BZ14" s="230">
        <v>1954050</v>
      </c>
      <c r="CA14" s="229">
        <v>7.1199999999999999E-2</v>
      </c>
      <c r="CB14" s="230">
        <v>1720950</v>
      </c>
      <c r="CC14" s="230">
        <v>3978450</v>
      </c>
      <c r="CD14" s="230">
        <v>-2257500</v>
      </c>
      <c r="CE14" s="229">
        <v>-0.56740000000000002</v>
      </c>
      <c r="CF14" s="230">
        <v>29029350</v>
      </c>
      <c r="CG14" s="230">
        <v>23323650</v>
      </c>
      <c r="CH14" s="230">
        <v>5705700</v>
      </c>
      <c r="CI14" s="229">
        <v>0.24460000000000001</v>
      </c>
      <c r="CJ14" s="230">
        <v>354900</v>
      </c>
      <c r="CK14" s="230">
        <v>128100</v>
      </c>
      <c r="CL14" s="230">
        <v>226800</v>
      </c>
      <c r="CM14" s="229">
        <v>1.7705</v>
      </c>
      <c r="CN14" s="230">
        <v>7826700</v>
      </c>
      <c r="CO14" s="230">
        <v>7261800</v>
      </c>
      <c r="CP14" s="230">
        <v>564900</v>
      </c>
      <c r="CQ14" s="229">
        <v>7.7799999999999994E-2</v>
      </c>
      <c r="CR14" s="230">
        <v>4486650</v>
      </c>
      <c r="CS14" s="230">
        <v>6419700</v>
      </c>
      <c r="CT14" s="230">
        <v>-1933050</v>
      </c>
      <c r="CU14" s="229">
        <v>-0.30109999999999998</v>
      </c>
      <c r="CV14" s="230">
        <v>41697600</v>
      </c>
      <c r="CW14" s="230">
        <v>41111700</v>
      </c>
      <c r="CX14" s="230">
        <v>585900</v>
      </c>
      <c r="CY14" s="229">
        <v>1.43E-2</v>
      </c>
      <c r="CZ14" s="228">
        <v>28.67</v>
      </c>
      <c r="DA14" s="228">
        <v>27.64</v>
      </c>
      <c r="DB14" s="228">
        <v>1.03</v>
      </c>
      <c r="DC14" s="228">
        <v>1.03</v>
      </c>
      <c r="DD14" s="228">
        <v>36.950000000000003</v>
      </c>
      <c r="DE14" s="228">
        <v>36.57</v>
      </c>
      <c r="DF14" s="228">
        <v>-8.2799999999999994</v>
      </c>
      <c r="DG14" s="228">
        <v>0.38</v>
      </c>
      <c r="DH14" s="228">
        <v>28.77</v>
      </c>
      <c r="DI14" s="228">
        <v>27.83</v>
      </c>
      <c r="DJ14" s="228">
        <v>0.94</v>
      </c>
      <c r="DK14" s="228">
        <v>0.94</v>
      </c>
      <c r="DL14" s="228">
        <v>28.39</v>
      </c>
      <c r="DM14" s="228">
        <v>27.14</v>
      </c>
      <c r="DN14" s="228">
        <v>1.25</v>
      </c>
      <c r="DO14" s="228">
        <v>1.25</v>
      </c>
      <c r="DP14" s="228">
        <v>0.56999999999999995</v>
      </c>
      <c r="DQ14" s="228">
        <v>0.88</v>
      </c>
      <c r="DR14" s="228">
        <v>-0.31</v>
      </c>
      <c r="DS14" s="229">
        <v>-0.3523</v>
      </c>
      <c r="DT14" s="228">
        <v>620</v>
      </c>
      <c r="DU14" s="228">
        <v>650</v>
      </c>
      <c r="DV14" s="228">
        <v>0.41</v>
      </c>
      <c r="DW14" s="228">
        <v>0.42</v>
      </c>
      <c r="DX14" s="228">
        <v>-0.01</v>
      </c>
      <c r="DY14" s="229">
        <v>-2.3800000000000002E-2</v>
      </c>
      <c r="DZ14" s="229">
        <v>0.94469999999999998</v>
      </c>
      <c r="EA14" s="230">
        <v>23451750</v>
      </c>
      <c r="EB14" s="229">
        <v>4.1000000000000003E-3</v>
      </c>
      <c r="EC14" s="229">
        <v>0.94469999999999998</v>
      </c>
      <c r="ED14" s="228">
        <v>1.1000000000000001</v>
      </c>
      <c r="EE14" s="229">
        <v>1.8E-3</v>
      </c>
      <c r="EF14" s="230">
        <v>1734983</v>
      </c>
      <c r="EG14" s="230">
        <v>1752341</v>
      </c>
      <c r="EH14" s="229">
        <v>-9.9000000000000008E-3</v>
      </c>
      <c r="EI14" s="229">
        <v>0.2802</v>
      </c>
      <c r="EJ14" s="231">
        <v>256345.01</v>
      </c>
      <c r="EK14" s="231">
        <v>100171.86</v>
      </c>
      <c r="EL14" s="231">
        <v>165708.82</v>
      </c>
      <c r="EM14" s="228">
        <v>0</v>
      </c>
      <c r="EN14" s="231">
        <v>522225.69</v>
      </c>
      <c r="EO14" s="231">
        <v>192938.55</v>
      </c>
      <c r="EP14" s="231">
        <v>329287.14</v>
      </c>
      <c r="EQ14" s="229">
        <v>1.7067000000000001</v>
      </c>
      <c r="ER14" s="231">
        <v>49395</v>
      </c>
      <c r="ES14" s="231">
        <v>27225</v>
      </c>
      <c r="ET14" s="231">
        <v>174744</v>
      </c>
      <c r="EU14" s="231">
        <v>159683698</v>
      </c>
      <c r="EV14" s="231">
        <v>251364</v>
      </c>
      <c r="EW14" s="231">
        <v>253194</v>
      </c>
      <c r="EX14" s="231">
        <v>-1830</v>
      </c>
      <c r="EY14" s="229">
        <v>-7.1999999999999998E-3</v>
      </c>
      <c r="EZ14" s="229">
        <v>0.2611</v>
      </c>
      <c r="FA14" s="227" t="s">
        <v>567</v>
      </c>
      <c r="FB14" s="161">
        <f t="shared" si="0"/>
        <v>27663300</v>
      </c>
    </row>
    <row r="15" spans="1:158" ht="17.25" thickBot="1" x14ac:dyDescent="0.3">
      <c r="A15" s="226">
        <v>45869</v>
      </c>
      <c r="B15" s="227" t="s">
        <v>175</v>
      </c>
      <c r="C15" s="227" t="s">
        <v>610</v>
      </c>
      <c r="D15" s="228">
        <v>250</v>
      </c>
      <c r="E15" s="231">
        <v>2611.8000000000002</v>
      </c>
      <c r="F15" s="231">
        <v>2652.4</v>
      </c>
      <c r="G15" s="228">
        <v>-40.6</v>
      </c>
      <c r="H15" s="229">
        <v>-1.5299999999999999E-2</v>
      </c>
      <c r="I15" s="231">
        <v>2600.9</v>
      </c>
      <c r="J15" s="231">
        <v>2641.2</v>
      </c>
      <c r="K15" s="228">
        <v>-40.299999999999997</v>
      </c>
      <c r="L15" s="229">
        <v>-1.5299999999999999E-2</v>
      </c>
      <c r="M15" s="231">
        <v>2602.6999999999998</v>
      </c>
      <c r="N15" s="231">
        <v>2646.8</v>
      </c>
      <c r="O15" s="228">
        <v>-44.1</v>
      </c>
      <c r="P15" s="229">
        <v>-1.67E-2</v>
      </c>
      <c r="Q15" s="231">
        <v>2611.8000000000002</v>
      </c>
      <c r="R15" s="231">
        <v>2652.4</v>
      </c>
      <c r="S15" s="228">
        <v>-40.6</v>
      </c>
      <c r="T15" s="229">
        <v>-1.5299999999999999E-2</v>
      </c>
      <c r="U15" s="231">
        <v>2612.6</v>
      </c>
      <c r="V15" s="231">
        <v>2658.5</v>
      </c>
      <c r="W15" s="228">
        <v>-45.9</v>
      </c>
      <c r="X15" s="229">
        <v>-1.7299999999999999E-2</v>
      </c>
      <c r="Y15" s="228">
        <v>10.9</v>
      </c>
      <c r="Z15" s="228">
        <v>5.6</v>
      </c>
      <c r="AA15" s="228">
        <v>5.3</v>
      </c>
      <c r="AB15" s="229">
        <v>4.1999999999999997E-3</v>
      </c>
      <c r="AC15" s="228">
        <v>1.8</v>
      </c>
      <c r="AD15" s="228">
        <v>5.6</v>
      </c>
      <c r="AE15" s="228">
        <v>-3.8</v>
      </c>
      <c r="AF15" s="229">
        <v>6.9999999999999999E-4</v>
      </c>
      <c r="AG15" s="228">
        <v>10.9</v>
      </c>
      <c r="AH15" s="228">
        <v>11.2</v>
      </c>
      <c r="AI15" s="228">
        <v>-0.3</v>
      </c>
      <c r="AJ15" s="229">
        <v>4.1999999999999997E-3</v>
      </c>
      <c r="AK15" s="228">
        <v>11.7</v>
      </c>
      <c r="AL15" s="228">
        <v>17.3</v>
      </c>
      <c r="AM15" s="228">
        <v>-5.6</v>
      </c>
      <c r="AN15" s="229">
        <v>4.4999999999999997E-3</v>
      </c>
      <c r="AO15" s="231">
        <v>2615.02</v>
      </c>
      <c r="AP15" s="231">
        <v>2623.25</v>
      </c>
      <c r="AQ15" s="228">
        <v>0</v>
      </c>
      <c r="AR15" s="230">
        <v>1604000</v>
      </c>
      <c r="AS15" s="230">
        <v>1907250</v>
      </c>
      <c r="AT15" s="230">
        <v>-303250</v>
      </c>
      <c r="AU15" s="229">
        <v>-0.159</v>
      </c>
      <c r="AV15" s="230">
        <v>783500</v>
      </c>
      <c r="AW15" s="230">
        <v>896000</v>
      </c>
      <c r="AX15" s="230">
        <v>-112500</v>
      </c>
      <c r="AY15" s="229">
        <v>-0.12559999999999999</v>
      </c>
      <c r="AZ15" s="230">
        <v>791750</v>
      </c>
      <c r="BA15" s="230">
        <v>1000750</v>
      </c>
      <c r="BB15" s="230">
        <v>-209000</v>
      </c>
      <c r="BC15" s="229">
        <v>-0.20880000000000001</v>
      </c>
      <c r="BD15" s="230">
        <v>28750</v>
      </c>
      <c r="BE15" s="230">
        <v>10500</v>
      </c>
      <c r="BF15" s="230">
        <v>18250</v>
      </c>
      <c r="BG15" s="229">
        <v>1.7381</v>
      </c>
      <c r="BH15" s="230">
        <v>2137250</v>
      </c>
      <c r="BI15" s="230">
        <v>3022250</v>
      </c>
      <c r="BJ15" s="230">
        <v>-885000</v>
      </c>
      <c r="BK15" s="229">
        <v>-0.2928</v>
      </c>
      <c r="BL15" s="230">
        <v>1366000</v>
      </c>
      <c r="BM15" s="230">
        <v>1709750</v>
      </c>
      <c r="BN15" s="230">
        <v>-343750</v>
      </c>
      <c r="BO15" s="229">
        <v>-0.2011</v>
      </c>
      <c r="BP15" s="230">
        <v>5107250</v>
      </c>
      <c r="BQ15" s="230">
        <v>6639250</v>
      </c>
      <c r="BR15" s="230">
        <v>-1532000</v>
      </c>
      <c r="BS15" s="229">
        <v>-0.23069999999999999</v>
      </c>
      <c r="BT15" s="230">
        <v>472198</v>
      </c>
      <c r="BU15" s="230">
        <v>522734</v>
      </c>
      <c r="BV15" s="230">
        <v>-50536</v>
      </c>
      <c r="BW15" s="229">
        <v>-9.6699999999999994E-2</v>
      </c>
      <c r="BX15" s="230">
        <v>2136000</v>
      </c>
      <c r="BY15" s="230">
        <v>2710250</v>
      </c>
      <c r="BZ15" s="230">
        <v>-574250</v>
      </c>
      <c r="CA15" s="229">
        <v>-0.21190000000000001</v>
      </c>
      <c r="CB15" s="230">
        <v>406250</v>
      </c>
      <c r="CC15" s="230">
        <v>743250</v>
      </c>
      <c r="CD15" s="230">
        <v>-337000</v>
      </c>
      <c r="CE15" s="229">
        <v>-0.45340000000000003</v>
      </c>
      <c r="CF15" s="230">
        <v>2048500</v>
      </c>
      <c r="CG15" s="230">
        <v>1894500</v>
      </c>
      <c r="CH15" s="230">
        <v>154000</v>
      </c>
      <c r="CI15" s="229">
        <v>8.1299999999999997E-2</v>
      </c>
      <c r="CJ15" s="230">
        <v>87500</v>
      </c>
      <c r="CK15" s="230">
        <v>72500</v>
      </c>
      <c r="CL15" s="230">
        <v>15000</v>
      </c>
      <c r="CM15" s="229">
        <v>0.2069</v>
      </c>
      <c r="CN15" s="230">
        <v>660250</v>
      </c>
      <c r="CO15" s="230">
        <v>2737000</v>
      </c>
      <c r="CP15" s="230">
        <v>-2076750</v>
      </c>
      <c r="CQ15" s="229">
        <v>-0.75880000000000003</v>
      </c>
      <c r="CR15" s="230">
        <v>541000</v>
      </c>
      <c r="CS15" s="230">
        <v>1730000</v>
      </c>
      <c r="CT15" s="230">
        <v>-1189000</v>
      </c>
      <c r="CU15" s="229">
        <v>-0.68730000000000002</v>
      </c>
      <c r="CV15" s="230">
        <v>3337250</v>
      </c>
      <c r="CW15" s="230">
        <v>7177250</v>
      </c>
      <c r="CX15" s="230">
        <v>-3840000</v>
      </c>
      <c r="CY15" s="229">
        <v>-0.53500000000000003</v>
      </c>
      <c r="CZ15" s="228">
        <v>35.869999999999997</v>
      </c>
      <c r="DA15" s="228">
        <v>35.159999999999997</v>
      </c>
      <c r="DB15" s="228">
        <v>0.71</v>
      </c>
      <c r="DC15" s="228">
        <v>0.71</v>
      </c>
      <c r="DD15" s="228">
        <v>58.82</v>
      </c>
      <c r="DE15" s="228">
        <v>58.93</v>
      </c>
      <c r="DF15" s="228">
        <v>-22.95</v>
      </c>
      <c r="DG15" s="228">
        <v>-0.11</v>
      </c>
      <c r="DH15" s="228">
        <v>35.29</v>
      </c>
      <c r="DI15" s="228">
        <v>34.83</v>
      </c>
      <c r="DJ15" s="228">
        <v>0.46</v>
      </c>
      <c r="DK15" s="228">
        <v>0.46</v>
      </c>
      <c r="DL15" s="228">
        <v>36.799999999999997</v>
      </c>
      <c r="DM15" s="228">
        <v>35.549999999999997</v>
      </c>
      <c r="DN15" s="228">
        <v>1.25</v>
      </c>
      <c r="DO15" s="228">
        <v>1.25</v>
      </c>
      <c r="DP15" s="228">
        <v>0.82</v>
      </c>
      <c r="DQ15" s="228">
        <v>0.63</v>
      </c>
      <c r="DR15" s="228">
        <v>0.19</v>
      </c>
      <c r="DS15" s="229">
        <v>0.30159999999999998</v>
      </c>
      <c r="DT15" s="231">
        <v>2800</v>
      </c>
      <c r="DU15" s="231">
        <v>2800</v>
      </c>
      <c r="DV15" s="228">
        <v>0.64</v>
      </c>
      <c r="DW15" s="228">
        <v>0.56999999999999995</v>
      </c>
      <c r="DX15" s="228">
        <v>7.0000000000000007E-2</v>
      </c>
      <c r="DY15" s="229">
        <v>0.12280000000000001</v>
      </c>
      <c r="DZ15" s="229">
        <v>0.84019999999999995</v>
      </c>
      <c r="EA15" s="230">
        <v>1967000</v>
      </c>
      <c r="EB15" s="229">
        <v>3.5000000000000001E-3</v>
      </c>
      <c r="EC15" s="229">
        <v>0.84019999999999995</v>
      </c>
      <c r="ED15" s="228">
        <v>8.23</v>
      </c>
      <c r="EE15" s="229">
        <v>3.0999999999999999E-3</v>
      </c>
      <c r="EF15" s="230">
        <v>143218</v>
      </c>
      <c r="EG15" s="230">
        <v>131910</v>
      </c>
      <c r="EH15" s="229">
        <v>8.5699999999999998E-2</v>
      </c>
      <c r="EI15" s="229">
        <v>0.30330000000000001</v>
      </c>
      <c r="EJ15" s="231">
        <v>61406.04</v>
      </c>
      <c r="EK15" s="231">
        <v>35188.92</v>
      </c>
      <c r="EL15" s="231">
        <v>42014.12</v>
      </c>
      <c r="EM15" s="228">
        <v>0</v>
      </c>
      <c r="EN15" s="231">
        <v>138609.07999999999</v>
      </c>
      <c r="EO15" s="231">
        <v>179851.9</v>
      </c>
      <c r="EP15" s="231">
        <v>-41242.82</v>
      </c>
      <c r="EQ15" s="229">
        <v>-0.2293</v>
      </c>
      <c r="ER15" s="231">
        <v>18569</v>
      </c>
      <c r="ES15" s="231">
        <v>14212</v>
      </c>
      <c r="ET15" s="231">
        <v>55789</v>
      </c>
      <c r="EU15" s="231">
        <v>11638502</v>
      </c>
      <c r="EV15" s="231">
        <v>88569</v>
      </c>
      <c r="EW15" s="231">
        <v>197339</v>
      </c>
      <c r="EX15" s="231">
        <v>-108770</v>
      </c>
      <c r="EY15" s="229">
        <v>-0.55120000000000002</v>
      </c>
      <c r="EZ15" s="229">
        <v>0.28670000000000001</v>
      </c>
      <c r="FA15" s="227" t="s">
        <v>568</v>
      </c>
      <c r="FB15" s="161">
        <f t="shared" si="0"/>
        <v>1729750</v>
      </c>
    </row>
    <row r="16" spans="1:158" ht="17.25" thickBot="1" x14ac:dyDescent="0.3">
      <c r="A16" s="226">
        <v>45869</v>
      </c>
      <c r="B16" s="227" t="s">
        <v>227</v>
      </c>
      <c r="C16" s="227" t="s">
        <v>599</v>
      </c>
      <c r="D16" s="228">
        <v>350</v>
      </c>
      <c r="E16" s="231">
        <v>1600.6</v>
      </c>
      <c r="F16" s="231">
        <v>1568</v>
      </c>
      <c r="G16" s="228">
        <v>32.6</v>
      </c>
      <c r="H16" s="229">
        <v>2.0799999999999999E-2</v>
      </c>
      <c r="I16" s="231">
        <v>1601.2</v>
      </c>
      <c r="J16" s="231">
        <v>1566.3</v>
      </c>
      <c r="K16" s="228">
        <v>34.9</v>
      </c>
      <c r="L16" s="229">
        <v>2.23E-2</v>
      </c>
      <c r="M16" s="231">
        <v>1598.4</v>
      </c>
      <c r="N16" s="231">
        <v>1564.3</v>
      </c>
      <c r="O16" s="228">
        <v>34.1</v>
      </c>
      <c r="P16" s="229">
        <v>2.18E-2</v>
      </c>
      <c r="Q16" s="231">
        <v>1600.6</v>
      </c>
      <c r="R16" s="231">
        <v>1568</v>
      </c>
      <c r="S16" s="228">
        <v>32.6</v>
      </c>
      <c r="T16" s="229">
        <v>2.0799999999999999E-2</v>
      </c>
      <c r="U16" s="231">
        <v>1605.4</v>
      </c>
      <c r="V16" s="231">
        <v>1573.4</v>
      </c>
      <c r="W16" s="228">
        <v>32</v>
      </c>
      <c r="X16" s="229">
        <v>2.0299999999999999E-2</v>
      </c>
      <c r="Y16" s="228">
        <v>-0.6</v>
      </c>
      <c r="Z16" s="228">
        <v>-2</v>
      </c>
      <c r="AA16" s="228">
        <v>1.4</v>
      </c>
      <c r="AB16" s="229">
        <v>-4.0000000000000002E-4</v>
      </c>
      <c r="AC16" s="228">
        <v>-2.8</v>
      </c>
      <c r="AD16" s="228">
        <v>-2</v>
      </c>
      <c r="AE16" s="228">
        <v>-0.8</v>
      </c>
      <c r="AF16" s="229">
        <v>-1.6999999999999999E-3</v>
      </c>
      <c r="AG16" s="228">
        <v>-0.6</v>
      </c>
      <c r="AH16" s="228">
        <v>1.7</v>
      </c>
      <c r="AI16" s="228">
        <v>-2.2999999999999998</v>
      </c>
      <c r="AJ16" s="229">
        <v>-4.0000000000000002E-4</v>
      </c>
      <c r="AK16" s="228">
        <v>4.2</v>
      </c>
      <c r="AL16" s="228">
        <v>7.1</v>
      </c>
      <c r="AM16" s="228">
        <v>-2.9</v>
      </c>
      <c r="AN16" s="229">
        <v>2.5999999999999999E-3</v>
      </c>
      <c r="AO16" s="231">
        <v>1581.18</v>
      </c>
      <c r="AP16" s="231">
        <v>1588.61</v>
      </c>
      <c r="AQ16" s="228">
        <v>0</v>
      </c>
      <c r="AR16" s="230">
        <v>3336900</v>
      </c>
      <c r="AS16" s="230">
        <v>6347950</v>
      </c>
      <c r="AT16" s="230">
        <v>-3011050</v>
      </c>
      <c r="AU16" s="229">
        <v>-0.4743</v>
      </c>
      <c r="AV16" s="230">
        <v>1030400</v>
      </c>
      <c r="AW16" s="230">
        <v>2901850</v>
      </c>
      <c r="AX16" s="230">
        <v>-1871450</v>
      </c>
      <c r="AY16" s="229">
        <v>-0.64490000000000003</v>
      </c>
      <c r="AZ16" s="230">
        <v>2283400</v>
      </c>
      <c r="BA16" s="230">
        <v>3430350</v>
      </c>
      <c r="BB16" s="230">
        <v>-1146950</v>
      </c>
      <c r="BC16" s="229">
        <v>-0.33439999999999998</v>
      </c>
      <c r="BD16" s="230">
        <v>23100</v>
      </c>
      <c r="BE16" s="230">
        <v>15750</v>
      </c>
      <c r="BF16" s="230">
        <v>7350</v>
      </c>
      <c r="BG16" s="229">
        <v>0.4667</v>
      </c>
      <c r="BH16" s="230">
        <v>4973500</v>
      </c>
      <c r="BI16" s="230">
        <v>12246150</v>
      </c>
      <c r="BJ16" s="230">
        <v>-7272650</v>
      </c>
      <c r="BK16" s="229">
        <v>-0.59389999999999998</v>
      </c>
      <c r="BL16" s="230">
        <v>1367450</v>
      </c>
      <c r="BM16" s="230">
        <v>3340750</v>
      </c>
      <c r="BN16" s="230">
        <v>-1973300</v>
      </c>
      <c r="BO16" s="229">
        <v>-0.5907</v>
      </c>
      <c r="BP16" s="230">
        <v>9677850</v>
      </c>
      <c r="BQ16" s="230">
        <v>21934850</v>
      </c>
      <c r="BR16" s="230">
        <v>-12257000</v>
      </c>
      <c r="BS16" s="229">
        <v>-0.55879999999999996</v>
      </c>
      <c r="BT16" s="230">
        <v>1736273</v>
      </c>
      <c r="BU16" s="230">
        <v>1282818</v>
      </c>
      <c r="BV16" s="230">
        <v>453455</v>
      </c>
      <c r="BW16" s="229">
        <v>0.35349999999999998</v>
      </c>
      <c r="BX16" s="230">
        <v>4876200</v>
      </c>
      <c r="BY16" s="230">
        <v>5324550</v>
      </c>
      <c r="BZ16" s="230">
        <v>-448350</v>
      </c>
      <c r="CA16" s="229">
        <v>-8.4199999999999997E-2</v>
      </c>
      <c r="CB16" s="230">
        <v>565250</v>
      </c>
      <c r="CC16" s="230">
        <v>1001700</v>
      </c>
      <c r="CD16" s="230">
        <v>-436450</v>
      </c>
      <c r="CE16" s="229">
        <v>-0.43569999999999998</v>
      </c>
      <c r="CF16" s="230">
        <v>4792900</v>
      </c>
      <c r="CG16" s="230">
        <v>4242700</v>
      </c>
      <c r="CH16" s="230">
        <v>550200</v>
      </c>
      <c r="CI16" s="229">
        <v>0.12970000000000001</v>
      </c>
      <c r="CJ16" s="230">
        <v>83300</v>
      </c>
      <c r="CK16" s="230">
        <v>80150</v>
      </c>
      <c r="CL16" s="230">
        <v>3150</v>
      </c>
      <c r="CM16" s="229">
        <v>3.9300000000000002E-2</v>
      </c>
      <c r="CN16" s="230">
        <v>1258250</v>
      </c>
      <c r="CO16" s="230">
        <v>3651200</v>
      </c>
      <c r="CP16" s="230">
        <v>-2392950</v>
      </c>
      <c r="CQ16" s="229">
        <v>-0.65539999999999998</v>
      </c>
      <c r="CR16" s="230">
        <v>1375500</v>
      </c>
      <c r="CS16" s="230">
        <v>2630600</v>
      </c>
      <c r="CT16" s="230">
        <v>-1255100</v>
      </c>
      <c r="CU16" s="229">
        <v>-0.47710000000000002</v>
      </c>
      <c r="CV16" s="230">
        <v>7509950</v>
      </c>
      <c r="CW16" s="230">
        <v>11606350</v>
      </c>
      <c r="CX16" s="230">
        <v>-4096400</v>
      </c>
      <c r="CY16" s="229">
        <v>-0.35289999999999999</v>
      </c>
      <c r="CZ16" s="228">
        <v>22.97</v>
      </c>
      <c r="DA16" s="228">
        <v>23.97</v>
      </c>
      <c r="DB16" s="228">
        <v>-1</v>
      </c>
      <c r="DC16" s="228">
        <v>-1</v>
      </c>
      <c r="DD16" s="228">
        <v>38.21</v>
      </c>
      <c r="DE16" s="228">
        <v>38.21</v>
      </c>
      <c r="DF16" s="228">
        <v>-15.24</v>
      </c>
      <c r="DG16" s="228">
        <v>0</v>
      </c>
      <c r="DH16" s="228">
        <v>22.85</v>
      </c>
      <c r="DI16" s="228">
        <v>24.15</v>
      </c>
      <c r="DJ16" s="228">
        <v>-1.3</v>
      </c>
      <c r="DK16" s="228">
        <v>-1.3</v>
      </c>
      <c r="DL16" s="228">
        <v>23.34</v>
      </c>
      <c r="DM16" s="228">
        <v>23.41</v>
      </c>
      <c r="DN16" s="228">
        <v>-7.0000000000000007E-2</v>
      </c>
      <c r="DO16" s="228">
        <v>-7.0000000000000007E-2</v>
      </c>
      <c r="DP16" s="228">
        <v>1.0900000000000001</v>
      </c>
      <c r="DQ16" s="228">
        <v>0.72</v>
      </c>
      <c r="DR16" s="228">
        <v>0.37</v>
      </c>
      <c r="DS16" s="229">
        <v>0.51390000000000002</v>
      </c>
      <c r="DT16" s="231">
        <v>1800</v>
      </c>
      <c r="DU16" s="231">
        <v>1600</v>
      </c>
      <c r="DV16" s="228">
        <v>0.27</v>
      </c>
      <c r="DW16" s="228">
        <v>0.27</v>
      </c>
      <c r="DX16" s="228">
        <v>0</v>
      </c>
      <c r="DY16" s="229">
        <v>0</v>
      </c>
      <c r="DZ16" s="229">
        <v>0.89610000000000001</v>
      </c>
      <c r="EA16" s="230">
        <v>4322850</v>
      </c>
      <c r="EB16" s="229">
        <v>1.4E-3</v>
      </c>
      <c r="EC16" s="229">
        <v>0.89610000000000001</v>
      </c>
      <c r="ED16" s="228">
        <v>7.43</v>
      </c>
      <c r="EE16" s="229">
        <v>4.7000000000000002E-3</v>
      </c>
      <c r="EF16" s="230">
        <v>1056676</v>
      </c>
      <c r="EG16" s="230">
        <v>562758</v>
      </c>
      <c r="EH16" s="229">
        <v>0.87770000000000004</v>
      </c>
      <c r="EI16" s="229">
        <v>0.60860000000000003</v>
      </c>
      <c r="EJ16" s="231">
        <v>82172.61</v>
      </c>
      <c r="EK16" s="231">
        <v>21756.61</v>
      </c>
      <c r="EL16" s="231">
        <v>52936.800000000003</v>
      </c>
      <c r="EM16" s="228">
        <v>0</v>
      </c>
      <c r="EN16" s="231">
        <v>156866.01999999999</v>
      </c>
      <c r="EO16" s="231">
        <v>351610.46</v>
      </c>
      <c r="EP16" s="231">
        <v>-194744.44</v>
      </c>
      <c r="EQ16" s="229">
        <v>-0.55389999999999995</v>
      </c>
      <c r="ER16" s="231">
        <v>20791</v>
      </c>
      <c r="ES16" s="231">
        <v>21771</v>
      </c>
      <c r="ET16" s="231">
        <v>78052</v>
      </c>
      <c r="EU16" s="231">
        <v>39789217</v>
      </c>
      <c r="EV16" s="231">
        <v>120614</v>
      </c>
      <c r="EW16" s="231">
        <v>188021</v>
      </c>
      <c r="EX16" s="231">
        <v>-67407</v>
      </c>
      <c r="EY16" s="229">
        <v>-0.35849999999999999</v>
      </c>
      <c r="EZ16" s="229">
        <v>0.18870000000000001</v>
      </c>
      <c r="FA16" s="227" t="s">
        <v>556</v>
      </c>
      <c r="FB16" s="161">
        <f t="shared" si="0"/>
        <v>4310950</v>
      </c>
    </row>
    <row r="17" spans="1:158" ht="17.25" thickBot="1" x14ac:dyDescent="0.3">
      <c r="A17" s="226">
        <v>45869</v>
      </c>
      <c r="B17" s="227" t="s">
        <v>170</v>
      </c>
      <c r="C17" s="227" t="s">
        <v>165</v>
      </c>
      <c r="D17" s="228">
        <v>125</v>
      </c>
      <c r="E17" s="231">
        <v>7517.5</v>
      </c>
      <c r="F17" s="231">
        <v>7473</v>
      </c>
      <c r="G17" s="228">
        <v>44.5</v>
      </c>
      <c r="H17" s="229">
        <v>6.0000000000000001E-3</v>
      </c>
      <c r="I17" s="231">
        <v>7498</v>
      </c>
      <c r="J17" s="231">
        <v>7450</v>
      </c>
      <c r="K17" s="228">
        <v>48</v>
      </c>
      <c r="L17" s="229">
        <v>6.4000000000000003E-3</v>
      </c>
      <c r="M17" s="231">
        <v>7485.5</v>
      </c>
      <c r="N17" s="231">
        <v>7442</v>
      </c>
      <c r="O17" s="228">
        <v>43.5</v>
      </c>
      <c r="P17" s="229">
        <v>5.7999999999999996E-3</v>
      </c>
      <c r="Q17" s="231">
        <v>7517.5</v>
      </c>
      <c r="R17" s="231">
        <v>7473</v>
      </c>
      <c r="S17" s="228">
        <v>44.5</v>
      </c>
      <c r="T17" s="229">
        <v>6.0000000000000001E-3</v>
      </c>
      <c r="U17" s="231">
        <v>7553</v>
      </c>
      <c r="V17" s="231">
        <v>7507</v>
      </c>
      <c r="W17" s="228">
        <v>46</v>
      </c>
      <c r="X17" s="229">
        <v>6.1000000000000004E-3</v>
      </c>
      <c r="Y17" s="228">
        <v>19.5</v>
      </c>
      <c r="Z17" s="228">
        <v>-8</v>
      </c>
      <c r="AA17" s="228">
        <v>27.5</v>
      </c>
      <c r="AB17" s="229">
        <v>2.5999999999999999E-3</v>
      </c>
      <c r="AC17" s="228">
        <v>-12.5</v>
      </c>
      <c r="AD17" s="228">
        <v>-8</v>
      </c>
      <c r="AE17" s="228">
        <v>-4.5</v>
      </c>
      <c r="AF17" s="229">
        <v>-1.6999999999999999E-3</v>
      </c>
      <c r="AG17" s="228">
        <v>19.5</v>
      </c>
      <c r="AH17" s="228">
        <v>23</v>
      </c>
      <c r="AI17" s="228">
        <v>-3.5</v>
      </c>
      <c r="AJ17" s="229">
        <v>2.5999999999999999E-3</v>
      </c>
      <c r="AK17" s="228">
        <v>55</v>
      </c>
      <c r="AL17" s="228">
        <v>57</v>
      </c>
      <c r="AM17" s="228">
        <v>-2</v>
      </c>
      <c r="AN17" s="229">
        <v>7.3000000000000001E-3</v>
      </c>
      <c r="AO17" s="231">
        <v>7443.8</v>
      </c>
      <c r="AP17" s="231">
        <v>7472.92</v>
      </c>
      <c r="AQ17" s="228">
        <v>0</v>
      </c>
      <c r="AR17" s="230">
        <v>1136375</v>
      </c>
      <c r="AS17" s="230">
        <v>1329000</v>
      </c>
      <c r="AT17" s="230">
        <v>-192625</v>
      </c>
      <c r="AU17" s="229">
        <v>-0.1449</v>
      </c>
      <c r="AV17" s="230">
        <v>537250</v>
      </c>
      <c r="AW17" s="230">
        <v>651375</v>
      </c>
      <c r="AX17" s="230">
        <v>-114125</v>
      </c>
      <c r="AY17" s="229">
        <v>-0.17519999999999999</v>
      </c>
      <c r="AZ17" s="230">
        <v>593625</v>
      </c>
      <c r="BA17" s="230">
        <v>670875</v>
      </c>
      <c r="BB17" s="230">
        <v>-77250</v>
      </c>
      <c r="BC17" s="229">
        <v>-0.11509999999999999</v>
      </c>
      <c r="BD17" s="230">
        <v>5500</v>
      </c>
      <c r="BE17" s="230">
        <v>6750</v>
      </c>
      <c r="BF17" s="230">
        <v>-1250</v>
      </c>
      <c r="BG17" s="229">
        <v>-0.1852</v>
      </c>
      <c r="BH17" s="230">
        <v>1271375</v>
      </c>
      <c r="BI17" s="230">
        <v>1267125</v>
      </c>
      <c r="BJ17" s="230">
        <v>4250</v>
      </c>
      <c r="BK17" s="229">
        <v>3.3999999999999998E-3</v>
      </c>
      <c r="BL17" s="230">
        <v>466125</v>
      </c>
      <c r="BM17" s="230">
        <v>632375</v>
      </c>
      <c r="BN17" s="230">
        <v>-166250</v>
      </c>
      <c r="BO17" s="229">
        <v>-0.26290000000000002</v>
      </c>
      <c r="BP17" s="230">
        <v>2873875</v>
      </c>
      <c r="BQ17" s="230">
        <v>3228500</v>
      </c>
      <c r="BR17" s="230">
        <v>-354625</v>
      </c>
      <c r="BS17" s="229">
        <v>-0.10979999999999999</v>
      </c>
      <c r="BT17" s="230">
        <v>346269</v>
      </c>
      <c r="BU17" s="230">
        <v>299364</v>
      </c>
      <c r="BV17" s="230">
        <v>46905</v>
      </c>
      <c r="BW17" s="229">
        <v>0.15670000000000001</v>
      </c>
      <c r="BX17" s="230">
        <v>2454125</v>
      </c>
      <c r="BY17" s="230">
        <v>2629625</v>
      </c>
      <c r="BZ17" s="230">
        <v>-175500</v>
      </c>
      <c r="CA17" s="229">
        <v>-6.6699999999999995E-2</v>
      </c>
      <c r="CB17" s="230">
        <v>180000</v>
      </c>
      <c r="CC17" s="230">
        <v>442125</v>
      </c>
      <c r="CD17" s="230">
        <v>-262125</v>
      </c>
      <c r="CE17" s="229">
        <v>-0.59289999999999998</v>
      </c>
      <c r="CF17" s="230">
        <v>2437875</v>
      </c>
      <c r="CG17" s="230">
        <v>2172000</v>
      </c>
      <c r="CH17" s="230">
        <v>265875</v>
      </c>
      <c r="CI17" s="229">
        <v>0.12239999999999999</v>
      </c>
      <c r="CJ17" s="230">
        <v>16250</v>
      </c>
      <c r="CK17" s="230">
        <v>15500</v>
      </c>
      <c r="CL17" s="228">
        <v>750</v>
      </c>
      <c r="CM17" s="229">
        <v>4.8399999999999999E-2</v>
      </c>
      <c r="CN17" s="230">
        <v>216750</v>
      </c>
      <c r="CO17" s="230">
        <v>1578500</v>
      </c>
      <c r="CP17" s="230">
        <v>-1361750</v>
      </c>
      <c r="CQ17" s="229">
        <v>-0.86270000000000002</v>
      </c>
      <c r="CR17" s="230">
        <v>139250</v>
      </c>
      <c r="CS17" s="230">
        <v>876750</v>
      </c>
      <c r="CT17" s="230">
        <v>-737500</v>
      </c>
      <c r="CU17" s="229">
        <v>-0.84119999999999995</v>
      </c>
      <c r="CV17" s="230">
        <v>2810125</v>
      </c>
      <c r="CW17" s="230">
        <v>5084875</v>
      </c>
      <c r="CX17" s="230">
        <v>-2274750</v>
      </c>
      <c r="CY17" s="229">
        <v>-0.44740000000000002</v>
      </c>
      <c r="CZ17" s="228">
        <v>24.77</v>
      </c>
      <c r="DA17" s="228">
        <v>24.28</v>
      </c>
      <c r="DB17" s="228">
        <v>0.49</v>
      </c>
      <c r="DC17" s="228">
        <v>0.49</v>
      </c>
      <c r="DD17" s="228">
        <v>26.52</v>
      </c>
      <c r="DE17" s="228">
        <v>26.57</v>
      </c>
      <c r="DF17" s="228">
        <v>-1.75</v>
      </c>
      <c r="DG17" s="228">
        <v>-0.05</v>
      </c>
      <c r="DH17" s="228">
        <v>24.84</v>
      </c>
      <c r="DI17" s="228">
        <v>24.19</v>
      </c>
      <c r="DJ17" s="228">
        <v>0.65</v>
      </c>
      <c r="DK17" s="228">
        <v>0.65</v>
      </c>
      <c r="DL17" s="228">
        <v>24.6</v>
      </c>
      <c r="DM17" s="228">
        <v>24.47</v>
      </c>
      <c r="DN17" s="228">
        <v>0.13</v>
      </c>
      <c r="DO17" s="228">
        <v>0.13</v>
      </c>
      <c r="DP17" s="228">
        <v>0.64</v>
      </c>
      <c r="DQ17" s="228">
        <v>0.56000000000000005</v>
      </c>
      <c r="DR17" s="228">
        <v>0.08</v>
      </c>
      <c r="DS17" s="229">
        <v>0.1429</v>
      </c>
      <c r="DT17" s="231">
        <v>8000</v>
      </c>
      <c r="DU17" s="231">
        <v>7000</v>
      </c>
      <c r="DV17" s="228">
        <v>0.37</v>
      </c>
      <c r="DW17" s="228">
        <v>0.5</v>
      </c>
      <c r="DX17" s="228">
        <v>-0.13</v>
      </c>
      <c r="DY17" s="229">
        <v>-0.26</v>
      </c>
      <c r="DZ17" s="229">
        <v>0.93169999999999997</v>
      </c>
      <c r="EA17" s="230">
        <v>2187500</v>
      </c>
      <c r="EB17" s="229">
        <v>4.3E-3</v>
      </c>
      <c r="EC17" s="229">
        <v>0.93169999999999997</v>
      </c>
      <c r="ED17" s="228">
        <v>29.12</v>
      </c>
      <c r="EE17" s="229">
        <v>3.8999999999999998E-3</v>
      </c>
      <c r="EF17" s="230">
        <v>212128</v>
      </c>
      <c r="EG17" s="230">
        <v>228105</v>
      </c>
      <c r="EH17" s="229">
        <v>-7.0000000000000007E-2</v>
      </c>
      <c r="EI17" s="229">
        <v>0.61260000000000003</v>
      </c>
      <c r="EJ17" s="231">
        <v>97930.95</v>
      </c>
      <c r="EK17" s="231">
        <v>33984.519999999997</v>
      </c>
      <c r="EL17" s="231">
        <v>84766.71</v>
      </c>
      <c r="EM17" s="228">
        <v>0</v>
      </c>
      <c r="EN17" s="231">
        <v>216682.18</v>
      </c>
      <c r="EO17" s="231">
        <v>242007</v>
      </c>
      <c r="EP17" s="231">
        <v>-25324.82</v>
      </c>
      <c r="EQ17" s="229">
        <v>-0.1046</v>
      </c>
      <c r="ER17" s="231">
        <v>16657</v>
      </c>
      <c r="ES17" s="231">
        <v>10051</v>
      </c>
      <c r="ET17" s="231">
        <v>184495</v>
      </c>
      <c r="EU17" s="231">
        <v>20320323</v>
      </c>
      <c r="EV17" s="231">
        <v>211203</v>
      </c>
      <c r="EW17" s="231">
        <v>381296</v>
      </c>
      <c r="EX17" s="231">
        <v>-170093</v>
      </c>
      <c r="EY17" s="229">
        <v>-0.4461</v>
      </c>
      <c r="EZ17" s="229">
        <v>0.13830000000000001</v>
      </c>
      <c r="FA17" s="227" t="s">
        <v>556</v>
      </c>
      <c r="FB17" s="161">
        <f t="shared" si="0"/>
        <v>2274125</v>
      </c>
    </row>
    <row r="18" spans="1:158" ht="17.25" thickBot="1" x14ac:dyDescent="0.3">
      <c r="A18" s="226">
        <v>45869</v>
      </c>
      <c r="B18" s="227" t="s">
        <v>162</v>
      </c>
      <c r="C18" s="227" t="s">
        <v>167</v>
      </c>
      <c r="D18" s="228">
        <v>5000</v>
      </c>
      <c r="E18" s="228">
        <v>121.75</v>
      </c>
      <c r="F18" s="228">
        <v>122.75</v>
      </c>
      <c r="G18" s="228">
        <v>-1</v>
      </c>
      <c r="H18" s="229">
        <v>-8.0999999999999996E-3</v>
      </c>
      <c r="I18" s="228">
        <v>121.05</v>
      </c>
      <c r="J18" s="228">
        <v>121.9</v>
      </c>
      <c r="K18" s="228">
        <v>-0.85</v>
      </c>
      <c r="L18" s="229">
        <v>-7.0000000000000001E-3</v>
      </c>
      <c r="M18" s="228">
        <v>121.3</v>
      </c>
      <c r="N18" s="228">
        <v>122.25</v>
      </c>
      <c r="O18" s="228">
        <v>-0.95</v>
      </c>
      <c r="P18" s="229">
        <v>-7.7999999999999996E-3</v>
      </c>
      <c r="Q18" s="228">
        <v>121.75</v>
      </c>
      <c r="R18" s="228">
        <v>122.75</v>
      </c>
      <c r="S18" s="228">
        <v>-1</v>
      </c>
      <c r="T18" s="229">
        <v>-8.0999999999999996E-3</v>
      </c>
      <c r="U18" s="228">
        <v>122.45</v>
      </c>
      <c r="V18" s="228">
        <v>123.7</v>
      </c>
      <c r="W18" s="228">
        <v>-1.25</v>
      </c>
      <c r="X18" s="229">
        <v>-1.01E-2</v>
      </c>
      <c r="Y18" s="228">
        <v>0.7</v>
      </c>
      <c r="Z18" s="228">
        <v>0.35</v>
      </c>
      <c r="AA18" s="228">
        <v>0.35</v>
      </c>
      <c r="AB18" s="229">
        <v>5.7999999999999996E-3</v>
      </c>
      <c r="AC18" s="228">
        <v>0.25</v>
      </c>
      <c r="AD18" s="228">
        <v>0.35</v>
      </c>
      <c r="AE18" s="228">
        <v>-0.1</v>
      </c>
      <c r="AF18" s="229">
        <v>2.0999999999999999E-3</v>
      </c>
      <c r="AG18" s="228">
        <v>0.7</v>
      </c>
      <c r="AH18" s="228">
        <v>0.85</v>
      </c>
      <c r="AI18" s="228">
        <v>-0.15</v>
      </c>
      <c r="AJ18" s="229">
        <v>5.7999999999999996E-3</v>
      </c>
      <c r="AK18" s="228">
        <v>1.4</v>
      </c>
      <c r="AL18" s="228">
        <v>1.8</v>
      </c>
      <c r="AM18" s="228">
        <v>-0.4</v>
      </c>
      <c r="AN18" s="229">
        <v>1.1599999999999999E-2</v>
      </c>
      <c r="AO18" s="228">
        <v>121.18</v>
      </c>
      <c r="AP18" s="228">
        <v>121.73</v>
      </c>
      <c r="AQ18" s="228">
        <v>0</v>
      </c>
      <c r="AR18" s="230">
        <v>47915000</v>
      </c>
      <c r="AS18" s="230">
        <v>51135000</v>
      </c>
      <c r="AT18" s="230">
        <v>-3220000</v>
      </c>
      <c r="AU18" s="229">
        <v>-6.3E-2</v>
      </c>
      <c r="AV18" s="230">
        <v>20595000</v>
      </c>
      <c r="AW18" s="230">
        <v>23940000</v>
      </c>
      <c r="AX18" s="230">
        <v>-3345000</v>
      </c>
      <c r="AY18" s="229">
        <v>-0.13969999999999999</v>
      </c>
      <c r="AZ18" s="230">
        <v>26915000</v>
      </c>
      <c r="BA18" s="230">
        <v>27055000</v>
      </c>
      <c r="BB18" s="230">
        <v>-140000</v>
      </c>
      <c r="BC18" s="229">
        <v>-5.1999999999999998E-3</v>
      </c>
      <c r="BD18" s="230">
        <v>405000</v>
      </c>
      <c r="BE18" s="230">
        <v>140000</v>
      </c>
      <c r="BF18" s="230">
        <v>265000</v>
      </c>
      <c r="BG18" s="229">
        <v>1.8929</v>
      </c>
      <c r="BH18" s="230">
        <v>21050000</v>
      </c>
      <c r="BI18" s="230">
        <v>18220000</v>
      </c>
      <c r="BJ18" s="230">
        <v>2830000</v>
      </c>
      <c r="BK18" s="229">
        <v>0.15529999999999999</v>
      </c>
      <c r="BL18" s="230">
        <v>20890000</v>
      </c>
      <c r="BM18" s="230">
        <v>13630000</v>
      </c>
      <c r="BN18" s="230">
        <v>7260000</v>
      </c>
      <c r="BO18" s="229">
        <v>0.53259999999999996</v>
      </c>
      <c r="BP18" s="230">
        <v>89855000</v>
      </c>
      <c r="BQ18" s="230">
        <v>82985000</v>
      </c>
      <c r="BR18" s="230">
        <v>6870000</v>
      </c>
      <c r="BS18" s="229">
        <v>8.2799999999999999E-2</v>
      </c>
      <c r="BT18" s="230">
        <v>11620594</v>
      </c>
      <c r="BU18" s="230">
        <v>5657017</v>
      </c>
      <c r="BV18" s="230">
        <v>5963577</v>
      </c>
      <c r="BW18" s="229">
        <v>1.0542</v>
      </c>
      <c r="BX18" s="230">
        <v>84740000</v>
      </c>
      <c r="BY18" s="230">
        <v>90715000</v>
      </c>
      <c r="BZ18" s="230">
        <v>-5975000</v>
      </c>
      <c r="CA18" s="229">
        <v>-6.59E-2</v>
      </c>
      <c r="CB18" s="230">
        <v>3420000</v>
      </c>
      <c r="CC18" s="230">
        <v>16655000</v>
      </c>
      <c r="CD18" s="230">
        <v>-13235000</v>
      </c>
      <c r="CE18" s="229">
        <v>-0.79469999999999996</v>
      </c>
      <c r="CF18" s="230">
        <v>83870000</v>
      </c>
      <c r="CG18" s="230">
        <v>73390000</v>
      </c>
      <c r="CH18" s="230">
        <v>10480000</v>
      </c>
      <c r="CI18" s="229">
        <v>0.14280000000000001</v>
      </c>
      <c r="CJ18" s="230">
        <v>870000</v>
      </c>
      <c r="CK18" s="230">
        <v>670000</v>
      </c>
      <c r="CL18" s="230">
        <v>200000</v>
      </c>
      <c r="CM18" s="229">
        <v>0.29849999999999999</v>
      </c>
      <c r="CN18" s="230">
        <v>10595000</v>
      </c>
      <c r="CO18" s="230">
        <v>30400000</v>
      </c>
      <c r="CP18" s="230">
        <v>-19805000</v>
      </c>
      <c r="CQ18" s="229">
        <v>-0.65149999999999997</v>
      </c>
      <c r="CR18" s="230">
        <v>8385000</v>
      </c>
      <c r="CS18" s="230">
        <v>20635000</v>
      </c>
      <c r="CT18" s="230">
        <v>-12250000</v>
      </c>
      <c r="CU18" s="229">
        <v>-0.59370000000000001</v>
      </c>
      <c r="CV18" s="230">
        <v>103720000</v>
      </c>
      <c r="CW18" s="230">
        <v>141750000</v>
      </c>
      <c r="CX18" s="230">
        <v>-38030000</v>
      </c>
      <c r="CY18" s="229">
        <v>-0.26829999999999998</v>
      </c>
      <c r="CZ18" s="228">
        <v>25.11</v>
      </c>
      <c r="DA18" s="228">
        <v>25.42</v>
      </c>
      <c r="DB18" s="228">
        <v>-0.31</v>
      </c>
      <c r="DC18" s="228">
        <v>-0.31</v>
      </c>
      <c r="DD18" s="228">
        <v>35.01</v>
      </c>
      <c r="DE18" s="228">
        <v>35.090000000000003</v>
      </c>
      <c r="DF18" s="228">
        <v>-9.9</v>
      </c>
      <c r="DG18" s="228">
        <v>-0.08</v>
      </c>
      <c r="DH18" s="228">
        <v>25.33</v>
      </c>
      <c r="DI18" s="228">
        <v>25.38</v>
      </c>
      <c r="DJ18" s="228">
        <v>-0.05</v>
      </c>
      <c r="DK18" s="228">
        <v>-0.05</v>
      </c>
      <c r="DL18" s="228">
        <v>24.82</v>
      </c>
      <c r="DM18" s="228">
        <v>25.46</v>
      </c>
      <c r="DN18" s="228">
        <v>-0.64</v>
      </c>
      <c r="DO18" s="228">
        <v>-0.64</v>
      </c>
      <c r="DP18" s="228">
        <v>0.79</v>
      </c>
      <c r="DQ18" s="228">
        <v>0.68</v>
      </c>
      <c r="DR18" s="228">
        <v>0.11</v>
      </c>
      <c r="DS18" s="229">
        <v>0.1618</v>
      </c>
      <c r="DT18" s="228">
        <v>130</v>
      </c>
      <c r="DU18" s="228">
        <v>125</v>
      </c>
      <c r="DV18" s="228">
        <v>0.99</v>
      </c>
      <c r="DW18" s="228">
        <v>0.75</v>
      </c>
      <c r="DX18" s="228">
        <v>0.24</v>
      </c>
      <c r="DY18" s="229">
        <v>0.32</v>
      </c>
      <c r="DZ18" s="229">
        <v>0.96120000000000005</v>
      </c>
      <c r="EA18" s="230">
        <v>74060000</v>
      </c>
      <c r="EB18" s="229">
        <v>3.7000000000000002E-3</v>
      </c>
      <c r="EC18" s="229">
        <v>0.96120000000000005</v>
      </c>
      <c r="ED18" s="228">
        <v>0.55000000000000004</v>
      </c>
      <c r="EE18" s="229">
        <v>4.4999999999999997E-3</v>
      </c>
      <c r="EF18" s="230">
        <v>6091859</v>
      </c>
      <c r="EG18" s="230">
        <v>3539406</v>
      </c>
      <c r="EH18" s="229">
        <v>0.72119999999999995</v>
      </c>
      <c r="EI18" s="229">
        <v>0.5242</v>
      </c>
      <c r="EJ18" s="231">
        <v>26563.18</v>
      </c>
      <c r="EK18" s="231">
        <v>25843.52</v>
      </c>
      <c r="EL18" s="231">
        <v>58215.42</v>
      </c>
      <c r="EM18" s="228">
        <v>0</v>
      </c>
      <c r="EN18" s="231">
        <v>110622.12</v>
      </c>
      <c r="EO18" s="231">
        <v>102382.55</v>
      </c>
      <c r="EP18" s="231">
        <v>8239.57</v>
      </c>
      <c r="EQ18" s="229">
        <v>8.0500000000000002E-2</v>
      </c>
      <c r="ER18" s="231">
        <v>13491</v>
      </c>
      <c r="ES18" s="231">
        <v>10071</v>
      </c>
      <c r="ET18" s="231">
        <v>103177</v>
      </c>
      <c r="EU18" s="231">
        <v>564878806</v>
      </c>
      <c r="EV18" s="231">
        <v>126739</v>
      </c>
      <c r="EW18" s="231">
        <v>175029</v>
      </c>
      <c r="EX18" s="231">
        <v>-48290</v>
      </c>
      <c r="EY18" s="229">
        <v>-0.27589999999999998</v>
      </c>
      <c r="EZ18" s="229">
        <v>0.18360000000000001</v>
      </c>
      <c r="FA18" s="227" t="s">
        <v>568</v>
      </c>
      <c r="FB18" s="161">
        <f t="shared" si="0"/>
        <v>81320000</v>
      </c>
    </row>
    <row r="19" spans="1:158" ht="17.25" thickBot="1" x14ac:dyDescent="0.3">
      <c r="A19" s="226">
        <v>45869</v>
      </c>
      <c r="B19" s="227" t="s">
        <v>168</v>
      </c>
      <c r="C19" s="227" t="s">
        <v>169</v>
      </c>
      <c r="D19" s="228">
        <v>250</v>
      </c>
      <c r="E19" s="231">
        <v>2404.6</v>
      </c>
      <c r="F19" s="231">
        <v>2426</v>
      </c>
      <c r="G19" s="228">
        <v>-21.4</v>
      </c>
      <c r="H19" s="229">
        <v>-8.8000000000000005E-3</v>
      </c>
      <c r="I19" s="231">
        <v>2396.1</v>
      </c>
      <c r="J19" s="231">
        <v>2415.8000000000002</v>
      </c>
      <c r="K19" s="228">
        <v>-19.7</v>
      </c>
      <c r="L19" s="229">
        <v>-8.2000000000000007E-3</v>
      </c>
      <c r="M19" s="231">
        <v>2394.3000000000002</v>
      </c>
      <c r="N19" s="231">
        <v>2414</v>
      </c>
      <c r="O19" s="228">
        <v>-19.7</v>
      </c>
      <c r="P19" s="229">
        <v>-8.2000000000000007E-3</v>
      </c>
      <c r="Q19" s="231">
        <v>2404.6</v>
      </c>
      <c r="R19" s="231">
        <v>2426</v>
      </c>
      <c r="S19" s="228">
        <v>-21.4</v>
      </c>
      <c r="T19" s="229">
        <v>-8.8000000000000005E-3</v>
      </c>
      <c r="U19" s="231">
        <v>2417.3000000000002</v>
      </c>
      <c r="V19" s="231">
        <v>2439</v>
      </c>
      <c r="W19" s="228">
        <v>-21.7</v>
      </c>
      <c r="X19" s="229">
        <v>-8.8999999999999999E-3</v>
      </c>
      <c r="Y19" s="228">
        <v>8.5</v>
      </c>
      <c r="Z19" s="228">
        <v>-1.8</v>
      </c>
      <c r="AA19" s="228">
        <v>10.3</v>
      </c>
      <c r="AB19" s="229">
        <v>3.5000000000000001E-3</v>
      </c>
      <c r="AC19" s="228">
        <v>-1.8</v>
      </c>
      <c r="AD19" s="228">
        <v>-1.8</v>
      </c>
      <c r="AE19" s="228">
        <v>0</v>
      </c>
      <c r="AF19" s="229">
        <v>-8.0000000000000004E-4</v>
      </c>
      <c r="AG19" s="228">
        <v>8.5</v>
      </c>
      <c r="AH19" s="228">
        <v>10.199999999999999</v>
      </c>
      <c r="AI19" s="228">
        <v>-1.7</v>
      </c>
      <c r="AJ19" s="229">
        <v>3.5000000000000001E-3</v>
      </c>
      <c r="AK19" s="228">
        <v>21.2</v>
      </c>
      <c r="AL19" s="228">
        <v>23.2</v>
      </c>
      <c r="AM19" s="228">
        <v>-2</v>
      </c>
      <c r="AN19" s="229">
        <v>8.8000000000000005E-3</v>
      </c>
      <c r="AO19" s="231">
        <v>2397.92</v>
      </c>
      <c r="AP19" s="231">
        <v>2407.67</v>
      </c>
      <c r="AQ19" s="228">
        <v>0</v>
      </c>
      <c r="AR19" s="230">
        <v>4339250</v>
      </c>
      <c r="AS19" s="230">
        <v>10270250</v>
      </c>
      <c r="AT19" s="230">
        <v>-5931000</v>
      </c>
      <c r="AU19" s="229">
        <v>-0.57750000000000001</v>
      </c>
      <c r="AV19" s="230">
        <v>1748750</v>
      </c>
      <c r="AW19" s="230">
        <v>4376000</v>
      </c>
      <c r="AX19" s="230">
        <v>-2627250</v>
      </c>
      <c r="AY19" s="229">
        <v>-0.60040000000000004</v>
      </c>
      <c r="AZ19" s="230">
        <v>2524000</v>
      </c>
      <c r="BA19" s="230">
        <v>5780000</v>
      </c>
      <c r="BB19" s="230">
        <v>-3256000</v>
      </c>
      <c r="BC19" s="229">
        <v>-0.56330000000000002</v>
      </c>
      <c r="BD19" s="230">
        <v>66500</v>
      </c>
      <c r="BE19" s="230">
        <v>114250</v>
      </c>
      <c r="BF19" s="230">
        <v>-47750</v>
      </c>
      <c r="BG19" s="229">
        <v>-0.41789999999999999</v>
      </c>
      <c r="BH19" s="230">
        <v>6012750</v>
      </c>
      <c r="BI19" s="230">
        <v>23591000</v>
      </c>
      <c r="BJ19" s="230">
        <v>-17578250</v>
      </c>
      <c r="BK19" s="229">
        <v>-0.74509999999999998</v>
      </c>
      <c r="BL19" s="230">
        <v>4515250</v>
      </c>
      <c r="BM19" s="230">
        <v>11553000</v>
      </c>
      <c r="BN19" s="230">
        <v>-7037750</v>
      </c>
      <c r="BO19" s="229">
        <v>-0.60919999999999996</v>
      </c>
      <c r="BP19" s="230">
        <v>14867250</v>
      </c>
      <c r="BQ19" s="230">
        <v>45414250</v>
      </c>
      <c r="BR19" s="230">
        <v>-30547000</v>
      </c>
      <c r="BS19" s="229">
        <v>-0.67259999999999998</v>
      </c>
      <c r="BT19" s="230">
        <v>1296275</v>
      </c>
      <c r="BU19" s="230">
        <v>1758511</v>
      </c>
      <c r="BV19" s="230">
        <v>-462236</v>
      </c>
      <c r="BW19" s="229">
        <v>-0.26290000000000002</v>
      </c>
      <c r="BX19" s="230">
        <v>13881750</v>
      </c>
      <c r="BY19" s="230">
        <v>15308750</v>
      </c>
      <c r="BZ19" s="230">
        <v>-1427000</v>
      </c>
      <c r="CA19" s="229">
        <v>-9.3200000000000005E-2</v>
      </c>
      <c r="CB19" s="230">
        <v>1436250</v>
      </c>
      <c r="CC19" s="230">
        <v>2052750</v>
      </c>
      <c r="CD19" s="230">
        <v>-616500</v>
      </c>
      <c r="CE19" s="229">
        <v>-0.30030000000000001</v>
      </c>
      <c r="CF19" s="230">
        <v>13645500</v>
      </c>
      <c r="CG19" s="230">
        <v>13037500</v>
      </c>
      <c r="CH19" s="230">
        <v>608000</v>
      </c>
      <c r="CI19" s="229">
        <v>4.6600000000000003E-2</v>
      </c>
      <c r="CJ19" s="230">
        <v>236250</v>
      </c>
      <c r="CK19" s="230">
        <v>218500</v>
      </c>
      <c r="CL19" s="230">
        <v>17750</v>
      </c>
      <c r="CM19" s="229">
        <v>8.1199999999999994E-2</v>
      </c>
      <c r="CN19" s="230">
        <v>2684000</v>
      </c>
      <c r="CO19" s="230">
        <v>8145000</v>
      </c>
      <c r="CP19" s="230">
        <v>-5461000</v>
      </c>
      <c r="CQ19" s="229">
        <v>-0.67049999999999998</v>
      </c>
      <c r="CR19" s="230">
        <v>2102250</v>
      </c>
      <c r="CS19" s="230">
        <v>4677000</v>
      </c>
      <c r="CT19" s="230">
        <v>-2574750</v>
      </c>
      <c r="CU19" s="229">
        <v>-0.55049999999999999</v>
      </c>
      <c r="CV19" s="230">
        <v>18668000</v>
      </c>
      <c r="CW19" s="230">
        <v>28130750</v>
      </c>
      <c r="CX19" s="230">
        <v>-9462750</v>
      </c>
      <c r="CY19" s="229">
        <v>-0.33639999999999998</v>
      </c>
      <c r="CZ19" s="228">
        <v>19.12</v>
      </c>
      <c r="DA19" s="228">
        <v>19.420000000000002</v>
      </c>
      <c r="DB19" s="228">
        <v>-0.3</v>
      </c>
      <c r="DC19" s="228">
        <v>-0.3</v>
      </c>
      <c r="DD19" s="228">
        <v>24.21</v>
      </c>
      <c r="DE19" s="228">
        <v>24.24</v>
      </c>
      <c r="DF19" s="228">
        <v>-5.09</v>
      </c>
      <c r="DG19" s="228">
        <v>-0.03</v>
      </c>
      <c r="DH19" s="228">
        <v>19.16</v>
      </c>
      <c r="DI19" s="228">
        <v>19.2</v>
      </c>
      <c r="DJ19" s="228">
        <v>-0.04</v>
      </c>
      <c r="DK19" s="228">
        <v>-0.04</v>
      </c>
      <c r="DL19" s="228">
        <v>19.05</v>
      </c>
      <c r="DM19" s="228">
        <v>19.89</v>
      </c>
      <c r="DN19" s="228">
        <v>-0.84</v>
      </c>
      <c r="DO19" s="228">
        <v>-0.84</v>
      </c>
      <c r="DP19" s="228">
        <v>0.78</v>
      </c>
      <c r="DQ19" s="228">
        <v>0.56999999999999995</v>
      </c>
      <c r="DR19" s="228">
        <v>0.21</v>
      </c>
      <c r="DS19" s="229">
        <v>0.36840000000000001</v>
      </c>
      <c r="DT19" s="231">
        <v>2500</v>
      </c>
      <c r="DU19" s="231">
        <v>2400</v>
      </c>
      <c r="DV19" s="228">
        <v>0.75</v>
      </c>
      <c r="DW19" s="228">
        <v>0.49</v>
      </c>
      <c r="DX19" s="228">
        <v>0.26</v>
      </c>
      <c r="DY19" s="229">
        <v>0.53059999999999996</v>
      </c>
      <c r="DZ19" s="229">
        <v>0.90620000000000001</v>
      </c>
      <c r="EA19" s="230">
        <v>13256000</v>
      </c>
      <c r="EB19" s="229">
        <v>4.3E-3</v>
      </c>
      <c r="EC19" s="229">
        <v>0.90620000000000001</v>
      </c>
      <c r="ED19" s="228">
        <v>9.75</v>
      </c>
      <c r="EE19" s="229">
        <v>4.1000000000000003E-3</v>
      </c>
      <c r="EF19" s="230">
        <v>802347</v>
      </c>
      <c r="EG19" s="230">
        <v>847538</v>
      </c>
      <c r="EH19" s="229">
        <v>-5.33E-2</v>
      </c>
      <c r="EI19" s="229">
        <v>0.61899999999999999</v>
      </c>
      <c r="EJ19" s="231">
        <v>149640.76</v>
      </c>
      <c r="EK19" s="231">
        <v>107869.25</v>
      </c>
      <c r="EL19" s="231">
        <v>104314.6</v>
      </c>
      <c r="EM19" s="228">
        <v>0</v>
      </c>
      <c r="EN19" s="231">
        <v>361824.61</v>
      </c>
      <c r="EO19" s="231">
        <v>1108171.7</v>
      </c>
      <c r="EP19" s="231">
        <v>-746347.09</v>
      </c>
      <c r="EQ19" s="229">
        <v>-0.67349999999999999</v>
      </c>
      <c r="ER19" s="231">
        <v>67186</v>
      </c>
      <c r="ES19" s="231">
        <v>49561</v>
      </c>
      <c r="ET19" s="231">
        <v>333831</v>
      </c>
      <c r="EU19" s="231">
        <v>90791585</v>
      </c>
      <c r="EV19" s="231">
        <v>450577</v>
      </c>
      <c r="EW19" s="231">
        <v>683664</v>
      </c>
      <c r="EX19" s="231">
        <v>-233087</v>
      </c>
      <c r="EY19" s="229">
        <v>-0.34089999999999998</v>
      </c>
      <c r="EZ19" s="229">
        <v>0.2056</v>
      </c>
      <c r="FA19" s="227" t="s">
        <v>568</v>
      </c>
      <c r="FB19" s="161">
        <f t="shared" si="0"/>
        <v>12445500</v>
      </c>
    </row>
    <row r="20" spans="1:158" ht="17.25" thickBot="1" x14ac:dyDescent="0.3">
      <c r="A20" s="226">
        <v>45869</v>
      </c>
      <c r="B20" s="227" t="s">
        <v>184</v>
      </c>
      <c r="C20" s="227" t="s">
        <v>503</v>
      </c>
      <c r="D20" s="228">
        <v>425</v>
      </c>
      <c r="E20" s="231">
        <v>1408.6</v>
      </c>
      <c r="F20" s="231">
        <v>1427.2</v>
      </c>
      <c r="G20" s="228">
        <v>-18.600000000000001</v>
      </c>
      <c r="H20" s="229">
        <v>-1.2999999999999999E-2</v>
      </c>
      <c r="I20" s="231">
        <v>1401.2</v>
      </c>
      <c r="J20" s="231">
        <v>1430.7</v>
      </c>
      <c r="K20" s="228">
        <v>-29.5</v>
      </c>
      <c r="L20" s="229">
        <v>-2.06E-2</v>
      </c>
      <c r="M20" s="231">
        <v>1401.9</v>
      </c>
      <c r="N20" s="231">
        <v>1434.6</v>
      </c>
      <c r="O20" s="228">
        <v>-32.700000000000003</v>
      </c>
      <c r="P20" s="229">
        <v>-2.2800000000000001E-2</v>
      </c>
      <c r="Q20" s="231">
        <v>1408.6</v>
      </c>
      <c r="R20" s="231">
        <v>1427.2</v>
      </c>
      <c r="S20" s="228">
        <v>-18.600000000000001</v>
      </c>
      <c r="T20" s="229">
        <v>-1.2999999999999999E-2</v>
      </c>
      <c r="U20" s="231">
        <v>1410.8</v>
      </c>
      <c r="V20" s="231">
        <v>1429</v>
      </c>
      <c r="W20" s="228">
        <v>-18.2</v>
      </c>
      <c r="X20" s="229">
        <v>-1.2699999999999999E-2</v>
      </c>
      <c r="Y20" s="228">
        <v>7.4</v>
      </c>
      <c r="Z20" s="228">
        <v>3.9</v>
      </c>
      <c r="AA20" s="228">
        <v>3.5</v>
      </c>
      <c r="AB20" s="229">
        <v>5.3E-3</v>
      </c>
      <c r="AC20" s="228">
        <v>0.7</v>
      </c>
      <c r="AD20" s="228">
        <v>3.9</v>
      </c>
      <c r="AE20" s="228">
        <v>-3.2</v>
      </c>
      <c r="AF20" s="229">
        <v>5.0000000000000001E-4</v>
      </c>
      <c r="AG20" s="228">
        <v>7.4</v>
      </c>
      <c r="AH20" s="228">
        <v>-3.5</v>
      </c>
      <c r="AI20" s="228">
        <v>10.9</v>
      </c>
      <c r="AJ20" s="229">
        <v>5.3E-3</v>
      </c>
      <c r="AK20" s="228">
        <v>9.6</v>
      </c>
      <c r="AL20" s="228">
        <v>-1.7</v>
      </c>
      <c r="AM20" s="228">
        <v>11.3</v>
      </c>
      <c r="AN20" s="229">
        <v>6.8999999999999999E-3</v>
      </c>
      <c r="AO20" s="231">
        <v>1409.24</v>
      </c>
      <c r="AP20" s="231">
        <v>1413.19</v>
      </c>
      <c r="AQ20" s="228">
        <v>0</v>
      </c>
      <c r="AR20" s="230">
        <v>2963100</v>
      </c>
      <c r="AS20" s="230">
        <v>3894275</v>
      </c>
      <c r="AT20" s="230">
        <v>-931175</v>
      </c>
      <c r="AU20" s="229">
        <v>-0.23910000000000001</v>
      </c>
      <c r="AV20" s="230">
        <v>1243125</v>
      </c>
      <c r="AW20" s="230">
        <v>1907825</v>
      </c>
      <c r="AX20" s="230">
        <v>-664700</v>
      </c>
      <c r="AY20" s="229">
        <v>-0.34839999999999999</v>
      </c>
      <c r="AZ20" s="230">
        <v>1650700</v>
      </c>
      <c r="BA20" s="230">
        <v>1923975</v>
      </c>
      <c r="BB20" s="230">
        <v>-273275</v>
      </c>
      <c r="BC20" s="229">
        <v>-0.14199999999999999</v>
      </c>
      <c r="BD20" s="230">
        <v>69275</v>
      </c>
      <c r="BE20" s="230">
        <v>62475</v>
      </c>
      <c r="BF20" s="230">
        <v>6800</v>
      </c>
      <c r="BG20" s="229">
        <v>0.10879999999999999</v>
      </c>
      <c r="BH20" s="230">
        <v>1235050</v>
      </c>
      <c r="BI20" s="230">
        <v>1265225</v>
      </c>
      <c r="BJ20" s="230">
        <v>-30175</v>
      </c>
      <c r="BK20" s="229">
        <v>-2.3800000000000002E-2</v>
      </c>
      <c r="BL20" s="230">
        <v>759050</v>
      </c>
      <c r="BM20" s="230">
        <v>833000</v>
      </c>
      <c r="BN20" s="230">
        <v>-73950</v>
      </c>
      <c r="BO20" s="229">
        <v>-8.8800000000000004E-2</v>
      </c>
      <c r="BP20" s="230">
        <v>4957200</v>
      </c>
      <c r="BQ20" s="230">
        <v>5992500</v>
      </c>
      <c r="BR20" s="230">
        <v>-1035300</v>
      </c>
      <c r="BS20" s="229">
        <v>-0.17280000000000001</v>
      </c>
      <c r="BT20" s="230">
        <v>881026</v>
      </c>
      <c r="BU20" s="230">
        <v>713838</v>
      </c>
      <c r="BV20" s="230">
        <v>167188</v>
      </c>
      <c r="BW20" s="229">
        <v>0.23419999999999999</v>
      </c>
      <c r="BX20" s="230">
        <v>5674175</v>
      </c>
      <c r="BY20" s="230">
        <v>6211375</v>
      </c>
      <c r="BZ20" s="230">
        <v>-537200</v>
      </c>
      <c r="CA20" s="229">
        <v>-8.6499999999999994E-2</v>
      </c>
      <c r="CB20" s="230">
        <v>521475</v>
      </c>
      <c r="CC20" s="230">
        <v>960925</v>
      </c>
      <c r="CD20" s="230">
        <v>-439450</v>
      </c>
      <c r="CE20" s="229">
        <v>-0.45729999999999998</v>
      </c>
      <c r="CF20" s="230">
        <v>5437450</v>
      </c>
      <c r="CG20" s="230">
        <v>5049000</v>
      </c>
      <c r="CH20" s="230">
        <v>388450</v>
      </c>
      <c r="CI20" s="229">
        <v>7.6899999999999996E-2</v>
      </c>
      <c r="CJ20" s="230">
        <v>236725</v>
      </c>
      <c r="CK20" s="230">
        <v>201450</v>
      </c>
      <c r="CL20" s="230">
        <v>35275</v>
      </c>
      <c r="CM20" s="229">
        <v>0.17510000000000001</v>
      </c>
      <c r="CN20" s="230">
        <v>1009800</v>
      </c>
      <c r="CO20" s="230">
        <v>3141175</v>
      </c>
      <c r="CP20" s="230">
        <v>-2131375</v>
      </c>
      <c r="CQ20" s="229">
        <v>-0.67849999999999999</v>
      </c>
      <c r="CR20" s="230">
        <v>767125</v>
      </c>
      <c r="CS20" s="230">
        <v>1391875</v>
      </c>
      <c r="CT20" s="230">
        <v>-624750</v>
      </c>
      <c r="CU20" s="229">
        <v>-0.44890000000000002</v>
      </c>
      <c r="CV20" s="230">
        <v>7451100</v>
      </c>
      <c r="CW20" s="230">
        <v>10744425</v>
      </c>
      <c r="CX20" s="230">
        <v>-3293325</v>
      </c>
      <c r="CY20" s="229">
        <v>-0.30649999999999999</v>
      </c>
      <c r="CZ20" s="228">
        <v>28.43</v>
      </c>
      <c r="DA20" s="228">
        <v>28.32</v>
      </c>
      <c r="DB20" s="228">
        <v>0.11</v>
      </c>
      <c r="DC20" s="228">
        <v>0.11</v>
      </c>
      <c r="DD20" s="228">
        <v>32.96</v>
      </c>
      <c r="DE20" s="228">
        <v>32.99</v>
      </c>
      <c r="DF20" s="228">
        <v>-4.53</v>
      </c>
      <c r="DG20" s="228">
        <v>-0.03</v>
      </c>
      <c r="DH20" s="228">
        <v>28.2</v>
      </c>
      <c r="DI20" s="228">
        <v>28.27</v>
      </c>
      <c r="DJ20" s="228">
        <v>-7.0000000000000007E-2</v>
      </c>
      <c r="DK20" s="228">
        <v>-7.0000000000000007E-2</v>
      </c>
      <c r="DL20" s="228">
        <v>28.88</v>
      </c>
      <c r="DM20" s="228">
        <v>28.39</v>
      </c>
      <c r="DN20" s="228">
        <v>0.49</v>
      </c>
      <c r="DO20" s="228">
        <v>0.49</v>
      </c>
      <c r="DP20" s="228">
        <v>0.76</v>
      </c>
      <c r="DQ20" s="228">
        <v>0.44</v>
      </c>
      <c r="DR20" s="228">
        <v>0.32</v>
      </c>
      <c r="DS20" s="229">
        <v>0.72729999999999995</v>
      </c>
      <c r="DT20" s="231">
        <v>1600</v>
      </c>
      <c r="DU20" s="231">
        <v>1400</v>
      </c>
      <c r="DV20" s="228">
        <v>0.61</v>
      </c>
      <c r="DW20" s="228">
        <v>0.66</v>
      </c>
      <c r="DX20" s="228">
        <v>-0.05</v>
      </c>
      <c r="DY20" s="229">
        <v>-7.5800000000000006E-2</v>
      </c>
      <c r="DZ20" s="229">
        <v>0.91579999999999995</v>
      </c>
      <c r="EA20" s="230">
        <v>5250450</v>
      </c>
      <c r="EB20" s="229">
        <v>4.7999999999999996E-3</v>
      </c>
      <c r="EC20" s="229">
        <v>0.91579999999999995</v>
      </c>
      <c r="ED20" s="228">
        <v>3.95</v>
      </c>
      <c r="EE20" s="229">
        <v>2.8E-3</v>
      </c>
      <c r="EF20" s="230">
        <v>567991</v>
      </c>
      <c r="EG20" s="230">
        <v>446253</v>
      </c>
      <c r="EH20" s="229">
        <v>0.27279999999999999</v>
      </c>
      <c r="EI20" s="229">
        <v>0.64470000000000005</v>
      </c>
      <c r="EJ20" s="231">
        <v>18371.79</v>
      </c>
      <c r="EK20" s="231">
        <v>10861.22</v>
      </c>
      <c r="EL20" s="231">
        <v>41827.65</v>
      </c>
      <c r="EM20" s="228">
        <v>0</v>
      </c>
      <c r="EN20" s="231">
        <v>71060.66</v>
      </c>
      <c r="EO20" s="231">
        <v>86462.01</v>
      </c>
      <c r="EP20" s="231">
        <v>-15401.35</v>
      </c>
      <c r="EQ20" s="229">
        <v>-0.17810000000000001</v>
      </c>
      <c r="ER20" s="231">
        <v>15223</v>
      </c>
      <c r="ES20" s="231">
        <v>10814</v>
      </c>
      <c r="ET20" s="231">
        <v>79932</v>
      </c>
      <c r="EU20" s="231">
        <v>24660712</v>
      </c>
      <c r="EV20" s="231">
        <v>105969</v>
      </c>
      <c r="EW20" s="231">
        <v>157352</v>
      </c>
      <c r="EX20" s="231">
        <v>-51383</v>
      </c>
      <c r="EY20" s="229">
        <v>-0.32650000000000001</v>
      </c>
      <c r="EZ20" s="229">
        <v>0.30209999999999998</v>
      </c>
      <c r="FA20" s="227" t="s">
        <v>568</v>
      </c>
      <c r="FB20" s="161">
        <f t="shared" si="0"/>
        <v>5152700</v>
      </c>
    </row>
    <row r="21" spans="1:158" ht="17.25" thickBot="1" x14ac:dyDescent="0.3">
      <c r="A21" s="226">
        <v>45869</v>
      </c>
      <c r="B21" s="227" t="s">
        <v>193</v>
      </c>
      <c r="C21" s="227" t="s">
        <v>590</v>
      </c>
      <c r="D21" s="228">
        <v>875</v>
      </c>
      <c r="E21" s="228">
        <v>605.75</v>
      </c>
      <c r="F21" s="228">
        <v>628.35</v>
      </c>
      <c r="G21" s="228">
        <v>-22.6</v>
      </c>
      <c r="H21" s="229">
        <v>-3.5999999999999997E-2</v>
      </c>
      <c r="I21" s="228">
        <v>604.1</v>
      </c>
      <c r="J21" s="228">
        <v>625.15</v>
      </c>
      <c r="K21" s="228">
        <v>-21.05</v>
      </c>
      <c r="L21" s="229">
        <v>-3.3700000000000001E-2</v>
      </c>
      <c r="M21" s="228">
        <v>603.9</v>
      </c>
      <c r="N21" s="228">
        <v>626.15</v>
      </c>
      <c r="O21" s="228">
        <v>-22.25</v>
      </c>
      <c r="P21" s="229">
        <v>-3.5499999999999997E-2</v>
      </c>
      <c r="Q21" s="228">
        <v>605.75</v>
      </c>
      <c r="R21" s="228">
        <v>628.35</v>
      </c>
      <c r="S21" s="228">
        <v>-22.6</v>
      </c>
      <c r="T21" s="229">
        <v>-3.5999999999999997E-2</v>
      </c>
      <c r="U21" s="228">
        <v>0</v>
      </c>
      <c r="V21" s="228">
        <v>0</v>
      </c>
      <c r="W21" s="228">
        <v>0</v>
      </c>
      <c r="X21" s="229">
        <v>0</v>
      </c>
      <c r="Y21" s="228">
        <v>1.65</v>
      </c>
      <c r="Z21" s="228">
        <v>1</v>
      </c>
      <c r="AA21" s="228">
        <v>0.65</v>
      </c>
      <c r="AB21" s="229">
        <v>2.7000000000000001E-3</v>
      </c>
      <c r="AC21" s="228">
        <v>-0.2</v>
      </c>
      <c r="AD21" s="228">
        <v>1</v>
      </c>
      <c r="AE21" s="228">
        <v>-1.2</v>
      </c>
      <c r="AF21" s="229">
        <v>-2.9999999999999997E-4</v>
      </c>
      <c r="AG21" s="228">
        <v>1.65</v>
      </c>
      <c r="AH21" s="228">
        <v>3.2</v>
      </c>
      <c r="AI21" s="228">
        <v>-1.55</v>
      </c>
      <c r="AJ21" s="229">
        <v>2.7000000000000001E-3</v>
      </c>
      <c r="AK21" s="228">
        <v>0</v>
      </c>
      <c r="AL21" s="228">
        <v>0</v>
      </c>
      <c r="AM21" s="228">
        <v>0</v>
      </c>
      <c r="AN21" s="229">
        <v>0</v>
      </c>
      <c r="AO21" s="228">
        <v>613.6</v>
      </c>
      <c r="AP21" s="228">
        <v>615.22</v>
      </c>
      <c r="AQ21" s="228">
        <v>0</v>
      </c>
      <c r="AR21" s="230">
        <v>3696000</v>
      </c>
      <c r="AS21" s="230">
        <v>3694250</v>
      </c>
      <c r="AT21" s="230">
        <v>1750</v>
      </c>
      <c r="AU21" s="229">
        <v>5.0000000000000001E-4</v>
      </c>
      <c r="AV21" s="230">
        <v>1797250</v>
      </c>
      <c r="AW21" s="230">
        <v>1887375</v>
      </c>
      <c r="AX21" s="230">
        <v>-90125</v>
      </c>
      <c r="AY21" s="229">
        <v>-4.7800000000000002E-2</v>
      </c>
      <c r="AZ21" s="230">
        <v>1898750</v>
      </c>
      <c r="BA21" s="230">
        <v>1806875</v>
      </c>
      <c r="BB21" s="230">
        <v>91875</v>
      </c>
      <c r="BC21" s="229">
        <v>5.0799999999999998E-2</v>
      </c>
      <c r="BD21" s="228">
        <v>0</v>
      </c>
      <c r="BE21" s="228">
        <v>0</v>
      </c>
      <c r="BF21" s="228">
        <v>0</v>
      </c>
      <c r="BG21" s="229">
        <v>0</v>
      </c>
      <c r="BH21" s="230">
        <v>1263500</v>
      </c>
      <c r="BI21" s="230">
        <v>1808625</v>
      </c>
      <c r="BJ21" s="230">
        <v>-545125</v>
      </c>
      <c r="BK21" s="229">
        <v>-0.3014</v>
      </c>
      <c r="BL21" s="230">
        <v>1141875</v>
      </c>
      <c r="BM21" s="230">
        <v>579250</v>
      </c>
      <c r="BN21" s="230">
        <v>562625</v>
      </c>
      <c r="BO21" s="229">
        <v>0.97130000000000005</v>
      </c>
      <c r="BP21" s="230">
        <v>6101375</v>
      </c>
      <c r="BQ21" s="230">
        <v>6082125</v>
      </c>
      <c r="BR21" s="230">
        <v>19250</v>
      </c>
      <c r="BS21" s="229">
        <v>3.2000000000000002E-3</v>
      </c>
      <c r="BT21" s="230">
        <v>1099715</v>
      </c>
      <c r="BU21" s="230">
        <v>396864</v>
      </c>
      <c r="BV21" s="230">
        <v>702851</v>
      </c>
      <c r="BW21" s="229">
        <v>1.7709999999999999</v>
      </c>
      <c r="BX21" s="230">
        <v>3759000</v>
      </c>
      <c r="BY21" s="230">
        <v>5101250</v>
      </c>
      <c r="BZ21" s="230">
        <v>-1342250</v>
      </c>
      <c r="CA21" s="229">
        <v>-0.2631</v>
      </c>
      <c r="CB21" s="230">
        <v>810250</v>
      </c>
      <c r="CC21" s="230">
        <v>1636250</v>
      </c>
      <c r="CD21" s="230">
        <v>-826000</v>
      </c>
      <c r="CE21" s="229">
        <v>-0.50480000000000003</v>
      </c>
      <c r="CF21" s="230">
        <v>3759000</v>
      </c>
      <c r="CG21" s="230">
        <v>3465000</v>
      </c>
      <c r="CH21" s="230">
        <v>294000</v>
      </c>
      <c r="CI21" s="229">
        <v>8.48E-2</v>
      </c>
      <c r="CJ21" s="228">
        <v>0</v>
      </c>
      <c r="CK21" s="228">
        <v>0</v>
      </c>
      <c r="CL21" s="228">
        <v>0</v>
      </c>
      <c r="CM21" s="229">
        <v>0</v>
      </c>
      <c r="CN21" s="230">
        <v>755125</v>
      </c>
      <c r="CO21" s="230">
        <v>3121125</v>
      </c>
      <c r="CP21" s="230">
        <v>-2366000</v>
      </c>
      <c r="CQ21" s="229">
        <v>-0.7581</v>
      </c>
      <c r="CR21" s="230">
        <v>588875</v>
      </c>
      <c r="CS21" s="230">
        <v>1619625</v>
      </c>
      <c r="CT21" s="230">
        <v>-1030750</v>
      </c>
      <c r="CU21" s="229">
        <v>-0.63639999999999997</v>
      </c>
      <c r="CV21" s="230">
        <v>5103000</v>
      </c>
      <c r="CW21" s="230">
        <v>9842000</v>
      </c>
      <c r="CX21" s="230">
        <v>-4739000</v>
      </c>
      <c r="CY21" s="229">
        <v>-0.48149999999999998</v>
      </c>
      <c r="CZ21" s="228">
        <v>36.4</v>
      </c>
      <c r="DA21" s="228">
        <v>33.57</v>
      </c>
      <c r="DB21" s="228">
        <v>2.83</v>
      </c>
      <c r="DC21" s="228">
        <v>2.83</v>
      </c>
      <c r="DD21" s="228">
        <v>56.02</v>
      </c>
      <c r="DE21" s="228">
        <v>55.94</v>
      </c>
      <c r="DF21" s="228">
        <v>-19.62</v>
      </c>
      <c r="DG21" s="228">
        <v>0.08</v>
      </c>
      <c r="DH21" s="228">
        <v>36.29</v>
      </c>
      <c r="DI21" s="228">
        <v>33.81</v>
      </c>
      <c r="DJ21" s="228">
        <v>2.48</v>
      </c>
      <c r="DK21" s="228">
        <v>2.48</v>
      </c>
      <c r="DL21" s="228">
        <v>36.49</v>
      </c>
      <c r="DM21" s="228">
        <v>32.89</v>
      </c>
      <c r="DN21" s="228">
        <v>3.6</v>
      </c>
      <c r="DO21" s="228">
        <v>3.6</v>
      </c>
      <c r="DP21" s="228">
        <v>0.78</v>
      </c>
      <c r="DQ21" s="228">
        <v>0.52</v>
      </c>
      <c r="DR21" s="228">
        <v>0.26</v>
      </c>
      <c r="DS21" s="229">
        <v>0.5</v>
      </c>
      <c r="DT21" s="228">
        <v>700</v>
      </c>
      <c r="DU21" s="228">
        <v>600</v>
      </c>
      <c r="DV21" s="228">
        <v>0.9</v>
      </c>
      <c r="DW21" s="228">
        <v>0.32</v>
      </c>
      <c r="DX21" s="228">
        <v>0.57999999999999996</v>
      </c>
      <c r="DY21" s="229">
        <v>1.8125</v>
      </c>
      <c r="DZ21" s="229">
        <v>0.82269999999999999</v>
      </c>
      <c r="EA21" s="230">
        <v>3465000</v>
      </c>
      <c r="EB21" s="229">
        <v>3.0999999999999999E-3</v>
      </c>
      <c r="EC21" s="229">
        <v>0.82269999999999999</v>
      </c>
      <c r="ED21" s="228">
        <v>1.62</v>
      </c>
      <c r="EE21" s="229">
        <v>2.5999999999999999E-3</v>
      </c>
      <c r="EF21" s="230">
        <v>486138</v>
      </c>
      <c r="EG21" s="230">
        <v>114689</v>
      </c>
      <c r="EH21" s="229">
        <v>3.2387999999999999</v>
      </c>
      <c r="EI21" s="229">
        <v>0.44209999999999999</v>
      </c>
      <c r="EJ21" s="231">
        <v>8438.52</v>
      </c>
      <c r="EK21" s="231">
        <v>7280.2</v>
      </c>
      <c r="EL21" s="231">
        <v>22709.31</v>
      </c>
      <c r="EM21" s="228">
        <v>0</v>
      </c>
      <c r="EN21" s="231">
        <v>38428.03</v>
      </c>
      <c r="EO21" s="231">
        <v>38916.43</v>
      </c>
      <c r="EP21" s="228">
        <v>-488.4</v>
      </c>
      <c r="EQ21" s="229">
        <v>-1.2500000000000001E-2</v>
      </c>
      <c r="ER21" s="231">
        <v>5018</v>
      </c>
      <c r="ES21" s="231">
        <v>3668</v>
      </c>
      <c r="ET21" s="231">
        <v>22770</v>
      </c>
      <c r="EU21" s="231">
        <v>55429320</v>
      </c>
      <c r="EV21" s="231">
        <v>31456</v>
      </c>
      <c r="EW21" s="231">
        <v>64267</v>
      </c>
      <c r="EX21" s="231">
        <v>-32811</v>
      </c>
      <c r="EY21" s="229">
        <v>-0.51049999999999995</v>
      </c>
      <c r="EZ21" s="229">
        <v>9.2100000000000001E-2</v>
      </c>
      <c r="FA21" s="227" t="s">
        <v>568</v>
      </c>
      <c r="FB21" s="161">
        <f t="shared" si="0"/>
        <v>2948750</v>
      </c>
    </row>
    <row r="22" spans="1:158" ht="17.25" thickBot="1" x14ac:dyDescent="0.3">
      <c r="A22" s="226">
        <v>45869</v>
      </c>
      <c r="B22" s="227" t="s">
        <v>172</v>
      </c>
      <c r="C22" s="227" t="s">
        <v>495</v>
      </c>
      <c r="D22" s="228">
        <v>1000</v>
      </c>
      <c r="E22" s="228">
        <v>746.05</v>
      </c>
      <c r="F22" s="228">
        <v>750.95</v>
      </c>
      <c r="G22" s="228">
        <v>-4.9000000000000004</v>
      </c>
      <c r="H22" s="229">
        <v>-6.4999999999999997E-3</v>
      </c>
      <c r="I22" s="228">
        <v>741.5</v>
      </c>
      <c r="J22" s="228">
        <v>746.3</v>
      </c>
      <c r="K22" s="228">
        <v>-4.8</v>
      </c>
      <c r="L22" s="229">
        <v>-6.4000000000000003E-3</v>
      </c>
      <c r="M22" s="228">
        <v>742.55</v>
      </c>
      <c r="N22" s="228">
        <v>748.3</v>
      </c>
      <c r="O22" s="228">
        <v>-5.75</v>
      </c>
      <c r="P22" s="229">
        <v>-7.7000000000000002E-3</v>
      </c>
      <c r="Q22" s="228">
        <v>746.05</v>
      </c>
      <c r="R22" s="228">
        <v>750.95</v>
      </c>
      <c r="S22" s="228">
        <v>-4.9000000000000004</v>
      </c>
      <c r="T22" s="229">
        <v>-6.4999999999999997E-3</v>
      </c>
      <c r="U22" s="228">
        <v>746.25</v>
      </c>
      <c r="V22" s="228">
        <v>752.5</v>
      </c>
      <c r="W22" s="228">
        <v>-6.25</v>
      </c>
      <c r="X22" s="229">
        <v>-8.3000000000000001E-3</v>
      </c>
      <c r="Y22" s="228">
        <v>4.55</v>
      </c>
      <c r="Z22" s="228">
        <v>2</v>
      </c>
      <c r="AA22" s="228">
        <v>2.5499999999999998</v>
      </c>
      <c r="AB22" s="229">
        <v>6.1000000000000004E-3</v>
      </c>
      <c r="AC22" s="228">
        <v>1.05</v>
      </c>
      <c r="AD22" s="228">
        <v>2</v>
      </c>
      <c r="AE22" s="228">
        <v>-0.95</v>
      </c>
      <c r="AF22" s="229">
        <v>1.4E-3</v>
      </c>
      <c r="AG22" s="228">
        <v>4.55</v>
      </c>
      <c r="AH22" s="228">
        <v>4.6500000000000004</v>
      </c>
      <c r="AI22" s="228">
        <v>-0.1</v>
      </c>
      <c r="AJ22" s="229">
        <v>6.1000000000000004E-3</v>
      </c>
      <c r="AK22" s="228">
        <v>4.75</v>
      </c>
      <c r="AL22" s="228">
        <v>6.2</v>
      </c>
      <c r="AM22" s="228">
        <v>-1.45</v>
      </c>
      <c r="AN22" s="229">
        <v>6.4000000000000003E-3</v>
      </c>
      <c r="AO22" s="228">
        <v>744.32</v>
      </c>
      <c r="AP22" s="228">
        <v>747.95</v>
      </c>
      <c r="AQ22" s="228">
        <v>0</v>
      </c>
      <c r="AR22" s="230">
        <v>14846000</v>
      </c>
      <c r="AS22" s="230">
        <v>17236000</v>
      </c>
      <c r="AT22" s="230">
        <v>-2390000</v>
      </c>
      <c r="AU22" s="229">
        <v>-0.13869999999999999</v>
      </c>
      <c r="AV22" s="230">
        <v>4912000</v>
      </c>
      <c r="AW22" s="230">
        <v>7320000</v>
      </c>
      <c r="AX22" s="230">
        <v>-2408000</v>
      </c>
      <c r="AY22" s="229">
        <v>-0.32900000000000001</v>
      </c>
      <c r="AZ22" s="230">
        <v>9815000</v>
      </c>
      <c r="BA22" s="230">
        <v>9809000</v>
      </c>
      <c r="BB22" s="230">
        <v>6000</v>
      </c>
      <c r="BC22" s="229">
        <v>5.9999999999999995E-4</v>
      </c>
      <c r="BD22" s="230">
        <v>119000</v>
      </c>
      <c r="BE22" s="230">
        <v>107000</v>
      </c>
      <c r="BF22" s="230">
        <v>12000</v>
      </c>
      <c r="BG22" s="229">
        <v>0.11210000000000001</v>
      </c>
      <c r="BH22" s="230">
        <v>9320000</v>
      </c>
      <c r="BI22" s="230">
        <v>16067000</v>
      </c>
      <c r="BJ22" s="230">
        <v>-6747000</v>
      </c>
      <c r="BK22" s="229">
        <v>-0.4199</v>
      </c>
      <c r="BL22" s="230">
        <v>4632000</v>
      </c>
      <c r="BM22" s="230">
        <v>7764000</v>
      </c>
      <c r="BN22" s="230">
        <v>-3132000</v>
      </c>
      <c r="BO22" s="229">
        <v>-0.40339999999999998</v>
      </c>
      <c r="BP22" s="230">
        <v>28798000</v>
      </c>
      <c r="BQ22" s="230">
        <v>41067000</v>
      </c>
      <c r="BR22" s="230">
        <v>-12269000</v>
      </c>
      <c r="BS22" s="229">
        <v>-0.29880000000000001</v>
      </c>
      <c r="BT22" s="230">
        <v>4771252</v>
      </c>
      <c r="BU22" s="230">
        <v>3090660</v>
      </c>
      <c r="BV22" s="230">
        <v>1680592</v>
      </c>
      <c r="BW22" s="229">
        <v>0.54379999999999995</v>
      </c>
      <c r="BX22" s="230">
        <v>18866000</v>
      </c>
      <c r="BY22" s="230">
        <v>18970000</v>
      </c>
      <c r="BZ22" s="230">
        <v>-104000</v>
      </c>
      <c r="CA22" s="229">
        <v>-5.4999999999999997E-3</v>
      </c>
      <c r="CB22" s="230">
        <v>796000</v>
      </c>
      <c r="CC22" s="230">
        <v>3292000</v>
      </c>
      <c r="CD22" s="230">
        <v>-2496000</v>
      </c>
      <c r="CE22" s="229">
        <v>-0.75819999999999999</v>
      </c>
      <c r="CF22" s="230">
        <v>18615000</v>
      </c>
      <c r="CG22" s="230">
        <v>15434000</v>
      </c>
      <c r="CH22" s="230">
        <v>3181000</v>
      </c>
      <c r="CI22" s="229">
        <v>0.20610000000000001</v>
      </c>
      <c r="CJ22" s="230">
        <v>251000</v>
      </c>
      <c r="CK22" s="230">
        <v>244000</v>
      </c>
      <c r="CL22" s="230">
        <v>7000</v>
      </c>
      <c r="CM22" s="229">
        <v>2.87E-2</v>
      </c>
      <c r="CN22" s="230">
        <v>3031000</v>
      </c>
      <c r="CO22" s="230">
        <v>8784000</v>
      </c>
      <c r="CP22" s="230">
        <v>-5753000</v>
      </c>
      <c r="CQ22" s="229">
        <v>-0.65490000000000004</v>
      </c>
      <c r="CR22" s="230">
        <v>2647000</v>
      </c>
      <c r="CS22" s="230">
        <v>5417000</v>
      </c>
      <c r="CT22" s="230">
        <v>-2770000</v>
      </c>
      <c r="CU22" s="229">
        <v>-0.51139999999999997</v>
      </c>
      <c r="CV22" s="230">
        <v>24544000</v>
      </c>
      <c r="CW22" s="230">
        <v>33171000</v>
      </c>
      <c r="CX22" s="230">
        <v>-8627000</v>
      </c>
      <c r="CY22" s="229">
        <v>-0.2601</v>
      </c>
      <c r="CZ22" s="228">
        <v>28.97</v>
      </c>
      <c r="DA22" s="228">
        <v>27.98</v>
      </c>
      <c r="DB22" s="228">
        <v>0.99</v>
      </c>
      <c r="DC22" s="228">
        <v>0.99</v>
      </c>
      <c r="DD22" s="228">
        <v>38.44</v>
      </c>
      <c r="DE22" s="228">
        <v>38.520000000000003</v>
      </c>
      <c r="DF22" s="228">
        <v>-9.4700000000000006</v>
      </c>
      <c r="DG22" s="228">
        <v>-0.08</v>
      </c>
      <c r="DH22" s="228">
        <v>28.87</v>
      </c>
      <c r="DI22" s="228">
        <v>28.02</v>
      </c>
      <c r="DJ22" s="228">
        <v>0.85</v>
      </c>
      <c r="DK22" s="228">
        <v>0.85</v>
      </c>
      <c r="DL22" s="228">
        <v>29.16</v>
      </c>
      <c r="DM22" s="228">
        <v>27.9</v>
      </c>
      <c r="DN22" s="228">
        <v>1.26</v>
      </c>
      <c r="DO22" s="228">
        <v>1.26</v>
      </c>
      <c r="DP22" s="228">
        <v>0.87</v>
      </c>
      <c r="DQ22" s="228">
        <v>0.62</v>
      </c>
      <c r="DR22" s="228">
        <v>0.25</v>
      </c>
      <c r="DS22" s="229">
        <v>0.4032</v>
      </c>
      <c r="DT22" s="228">
        <v>750</v>
      </c>
      <c r="DU22" s="228">
        <v>750</v>
      </c>
      <c r="DV22" s="228">
        <v>0.5</v>
      </c>
      <c r="DW22" s="228">
        <v>0.48</v>
      </c>
      <c r="DX22" s="228">
        <v>0.02</v>
      </c>
      <c r="DY22" s="229">
        <v>4.1700000000000001E-2</v>
      </c>
      <c r="DZ22" s="229">
        <v>0.95950000000000002</v>
      </c>
      <c r="EA22" s="230">
        <v>15678000</v>
      </c>
      <c r="EB22" s="229">
        <v>4.7000000000000002E-3</v>
      </c>
      <c r="EC22" s="229">
        <v>0.95950000000000002</v>
      </c>
      <c r="ED22" s="228">
        <v>3.63</v>
      </c>
      <c r="EE22" s="229">
        <v>4.8999999999999998E-3</v>
      </c>
      <c r="EF22" s="230">
        <v>3180642</v>
      </c>
      <c r="EG22" s="230">
        <v>1813057</v>
      </c>
      <c r="EH22" s="229">
        <v>0.75429999999999997</v>
      </c>
      <c r="EI22" s="229">
        <v>0.66659999999999997</v>
      </c>
      <c r="EJ22" s="231">
        <v>71958.509999999995</v>
      </c>
      <c r="EK22" s="231">
        <v>34686.870000000003</v>
      </c>
      <c r="EL22" s="231">
        <v>110864.26</v>
      </c>
      <c r="EM22" s="228">
        <v>0</v>
      </c>
      <c r="EN22" s="231">
        <v>217509.64</v>
      </c>
      <c r="EO22" s="231">
        <v>311867.8</v>
      </c>
      <c r="EP22" s="231">
        <v>-94358.16</v>
      </c>
      <c r="EQ22" s="229">
        <v>-0.30259999999999998</v>
      </c>
      <c r="ER22" s="231">
        <v>23595</v>
      </c>
      <c r="ES22" s="231">
        <v>19313</v>
      </c>
      <c r="ET22" s="231">
        <v>140750</v>
      </c>
      <c r="EU22" s="231">
        <v>114846423</v>
      </c>
      <c r="EV22" s="231">
        <v>183658</v>
      </c>
      <c r="EW22" s="231">
        <v>252878</v>
      </c>
      <c r="EX22" s="231">
        <v>-69220</v>
      </c>
      <c r="EY22" s="229">
        <v>-0.2737</v>
      </c>
      <c r="EZ22" s="229">
        <v>0.2137</v>
      </c>
      <c r="FA22" s="227" t="s">
        <v>568</v>
      </c>
      <c r="FB22" s="161">
        <f t="shared" si="0"/>
        <v>18070000</v>
      </c>
    </row>
    <row r="23" spans="1:158" ht="17.25" thickBot="1" x14ac:dyDescent="0.3">
      <c r="A23" s="226">
        <v>45869</v>
      </c>
      <c r="B23" s="227" t="s">
        <v>170</v>
      </c>
      <c r="C23" s="227" t="s">
        <v>171</v>
      </c>
      <c r="D23" s="228">
        <v>550</v>
      </c>
      <c r="E23" s="231">
        <v>1145.9000000000001</v>
      </c>
      <c r="F23" s="231">
        <v>1161.5</v>
      </c>
      <c r="G23" s="228">
        <v>-15.6</v>
      </c>
      <c r="H23" s="229">
        <v>-1.34E-2</v>
      </c>
      <c r="I23" s="231">
        <v>1139.8</v>
      </c>
      <c r="J23" s="231">
        <v>1158</v>
      </c>
      <c r="K23" s="228">
        <v>-18.2</v>
      </c>
      <c r="L23" s="229">
        <v>-1.5699999999999999E-2</v>
      </c>
      <c r="M23" s="231">
        <v>1143.5999999999999</v>
      </c>
      <c r="N23" s="231">
        <v>1157.3</v>
      </c>
      <c r="O23" s="228">
        <v>-13.7</v>
      </c>
      <c r="P23" s="229">
        <v>-1.18E-2</v>
      </c>
      <c r="Q23" s="231">
        <v>1145.9000000000001</v>
      </c>
      <c r="R23" s="231">
        <v>1161.5</v>
      </c>
      <c r="S23" s="228">
        <v>-15.6</v>
      </c>
      <c r="T23" s="229">
        <v>-1.34E-2</v>
      </c>
      <c r="U23" s="231">
        <v>1150.9000000000001</v>
      </c>
      <c r="V23" s="231">
        <v>1167.2</v>
      </c>
      <c r="W23" s="228">
        <v>-16.3</v>
      </c>
      <c r="X23" s="229">
        <v>-1.4E-2</v>
      </c>
      <c r="Y23" s="228">
        <v>6.1</v>
      </c>
      <c r="Z23" s="228">
        <v>-0.7</v>
      </c>
      <c r="AA23" s="228">
        <v>6.8</v>
      </c>
      <c r="AB23" s="229">
        <v>5.4000000000000003E-3</v>
      </c>
      <c r="AC23" s="228">
        <v>3.8</v>
      </c>
      <c r="AD23" s="228">
        <v>-0.7</v>
      </c>
      <c r="AE23" s="228">
        <v>4.5</v>
      </c>
      <c r="AF23" s="229">
        <v>3.3E-3</v>
      </c>
      <c r="AG23" s="228">
        <v>6.1</v>
      </c>
      <c r="AH23" s="228">
        <v>3.5</v>
      </c>
      <c r="AI23" s="228">
        <v>2.6</v>
      </c>
      <c r="AJ23" s="229">
        <v>5.4000000000000003E-3</v>
      </c>
      <c r="AK23" s="228">
        <v>11.1</v>
      </c>
      <c r="AL23" s="228">
        <v>9.1999999999999993</v>
      </c>
      <c r="AM23" s="228">
        <v>1.9</v>
      </c>
      <c r="AN23" s="229">
        <v>9.7000000000000003E-3</v>
      </c>
      <c r="AO23" s="231">
        <v>1153.49</v>
      </c>
      <c r="AP23" s="231">
        <v>1158.17</v>
      </c>
      <c r="AQ23" s="228">
        <v>0</v>
      </c>
      <c r="AR23" s="230">
        <v>10082050</v>
      </c>
      <c r="AS23" s="230">
        <v>6671500</v>
      </c>
      <c r="AT23" s="230">
        <v>3410550</v>
      </c>
      <c r="AU23" s="229">
        <v>0.51119999999999999</v>
      </c>
      <c r="AV23" s="230">
        <v>3956700</v>
      </c>
      <c r="AW23" s="230">
        <v>3397350</v>
      </c>
      <c r="AX23" s="230">
        <v>559350</v>
      </c>
      <c r="AY23" s="229">
        <v>0.1646</v>
      </c>
      <c r="AZ23" s="230">
        <v>6062100</v>
      </c>
      <c r="BA23" s="230">
        <v>3253250</v>
      </c>
      <c r="BB23" s="230">
        <v>2808850</v>
      </c>
      <c r="BC23" s="229">
        <v>0.86339999999999995</v>
      </c>
      <c r="BD23" s="230">
        <v>63250</v>
      </c>
      <c r="BE23" s="230">
        <v>20900</v>
      </c>
      <c r="BF23" s="230">
        <v>42350</v>
      </c>
      <c r="BG23" s="229">
        <v>2.0263</v>
      </c>
      <c r="BH23" s="230">
        <v>7521800</v>
      </c>
      <c r="BI23" s="230">
        <v>2498650</v>
      </c>
      <c r="BJ23" s="230">
        <v>5023150</v>
      </c>
      <c r="BK23" s="229">
        <v>2.0103</v>
      </c>
      <c r="BL23" s="230">
        <v>4320250</v>
      </c>
      <c r="BM23" s="230">
        <v>2116400</v>
      </c>
      <c r="BN23" s="230">
        <v>2203850</v>
      </c>
      <c r="BO23" s="229">
        <v>1.0412999999999999</v>
      </c>
      <c r="BP23" s="230">
        <v>21924100</v>
      </c>
      <c r="BQ23" s="230">
        <v>11286550</v>
      </c>
      <c r="BR23" s="230">
        <v>10637550</v>
      </c>
      <c r="BS23" s="229">
        <v>0.9425</v>
      </c>
      <c r="BT23" s="230">
        <v>5537589</v>
      </c>
      <c r="BU23" s="230">
        <v>703859</v>
      </c>
      <c r="BV23" s="230">
        <v>4833730</v>
      </c>
      <c r="BW23" s="229">
        <v>6.8674999999999997</v>
      </c>
      <c r="BX23" s="230">
        <v>18579550</v>
      </c>
      <c r="BY23" s="230">
        <v>20389050</v>
      </c>
      <c r="BZ23" s="230">
        <v>-1809500</v>
      </c>
      <c r="CA23" s="229">
        <v>-8.8700000000000001E-2</v>
      </c>
      <c r="CB23" s="230">
        <v>1951400</v>
      </c>
      <c r="CC23" s="230">
        <v>3583800</v>
      </c>
      <c r="CD23" s="230">
        <v>-1632400</v>
      </c>
      <c r="CE23" s="229">
        <v>-0.45550000000000002</v>
      </c>
      <c r="CF23" s="230">
        <v>18492100</v>
      </c>
      <c r="CG23" s="230">
        <v>16738150</v>
      </c>
      <c r="CH23" s="230">
        <v>1753950</v>
      </c>
      <c r="CI23" s="229">
        <v>0.1048</v>
      </c>
      <c r="CJ23" s="230">
        <v>87450</v>
      </c>
      <c r="CK23" s="230">
        <v>67100</v>
      </c>
      <c r="CL23" s="230">
        <v>20350</v>
      </c>
      <c r="CM23" s="229">
        <v>0.30330000000000001</v>
      </c>
      <c r="CN23" s="230">
        <v>1371700</v>
      </c>
      <c r="CO23" s="230">
        <v>3494700</v>
      </c>
      <c r="CP23" s="230">
        <v>-2123000</v>
      </c>
      <c r="CQ23" s="229">
        <v>-0.60750000000000004</v>
      </c>
      <c r="CR23" s="230">
        <v>1570800</v>
      </c>
      <c r="CS23" s="230">
        <v>2942500</v>
      </c>
      <c r="CT23" s="230">
        <v>-1371700</v>
      </c>
      <c r="CU23" s="229">
        <v>-0.4662</v>
      </c>
      <c r="CV23" s="230">
        <v>21522050</v>
      </c>
      <c r="CW23" s="230">
        <v>26826250</v>
      </c>
      <c r="CX23" s="230">
        <v>-5304200</v>
      </c>
      <c r="CY23" s="229">
        <v>-0.19769999999999999</v>
      </c>
      <c r="CZ23" s="228">
        <v>33.94</v>
      </c>
      <c r="DA23" s="228">
        <v>34.93</v>
      </c>
      <c r="DB23" s="228">
        <v>-0.99</v>
      </c>
      <c r="DC23" s="228">
        <v>-0.99</v>
      </c>
      <c r="DD23" s="228">
        <v>35.19</v>
      </c>
      <c r="DE23" s="228">
        <v>35.24</v>
      </c>
      <c r="DF23" s="228">
        <v>-1.25</v>
      </c>
      <c r="DG23" s="228">
        <v>-0.05</v>
      </c>
      <c r="DH23" s="228">
        <v>33.049999999999997</v>
      </c>
      <c r="DI23" s="228">
        <v>32.14</v>
      </c>
      <c r="DJ23" s="228">
        <v>0.91</v>
      </c>
      <c r="DK23" s="228">
        <v>0.91</v>
      </c>
      <c r="DL23" s="228">
        <v>35.39</v>
      </c>
      <c r="DM23" s="228">
        <v>36.409999999999997</v>
      </c>
      <c r="DN23" s="228">
        <v>-1.02</v>
      </c>
      <c r="DO23" s="228">
        <v>-1.02</v>
      </c>
      <c r="DP23" s="228">
        <v>1.1499999999999999</v>
      </c>
      <c r="DQ23" s="228">
        <v>0.84</v>
      </c>
      <c r="DR23" s="228">
        <v>0.31</v>
      </c>
      <c r="DS23" s="229">
        <v>0.36899999999999999</v>
      </c>
      <c r="DT23" s="231">
        <v>1200</v>
      </c>
      <c r="DU23" s="231">
        <v>1000</v>
      </c>
      <c r="DV23" s="228">
        <v>0.56999999999999995</v>
      </c>
      <c r="DW23" s="228">
        <v>0.85</v>
      </c>
      <c r="DX23" s="228">
        <v>-0.28000000000000003</v>
      </c>
      <c r="DY23" s="229">
        <v>-0.32940000000000003</v>
      </c>
      <c r="DZ23" s="229">
        <v>0.90500000000000003</v>
      </c>
      <c r="EA23" s="230">
        <v>16805250</v>
      </c>
      <c r="EB23" s="229">
        <v>2E-3</v>
      </c>
      <c r="EC23" s="229">
        <v>0.90500000000000003</v>
      </c>
      <c r="ED23" s="228">
        <v>4.68</v>
      </c>
      <c r="EE23" s="229">
        <v>4.1000000000000003E-3</v>
      </c>
      <c r="EF23" s="230">
        <v>3545148</v>
      </c>
      <c r="EG23" s="230">
        <v>356966</v>
      </c>
      <c r="EH23" s="229">
        <v>8.9313000000000002</v>
      </c>
      <c r="EI23" s="229">
        <v>0.64019999999999999</v>
      </c>
      <c r="EJ23" s="231">
        <v>91264.6</v>
      </c>
      <c r="EK23" s="231">
        <v>48288.37</v>
      </c>
      <c r="EL23" s="231">
        <v>116586.49</v>
      </c>
      <c r="EM23" s="228">
        <v>0</v>
      </c>
      <c r="EN23" s="231">
        <v>256139.46</v>
      </c>
      <c r="EO23" s="231">
        <v>130274.98</v>
      </c>
      <c r="EP23" s="231">
        <v>125864.48</v>
      </c>
      <c r="EQ23" s="229">
        <v>0.96609999999999996</v>
      </c>
      <c r="ER23" s="231">
        <v>16351</v>
      </c>
      <c r="ES23" s="231">
        <v>17303</v>
      </c>
      <c r="ET23" s="231">
        <v>212907</v>
      </c>
      <c r="EU23" s="231">
        <v>55970580</v>
      </c>
      <c r="EV23" s="231">
        <v>246561</v>
      </c>
      <c r="EW23" s="231">
        <v>310697</v>
      </c>
      <c r="EX23" s="231">
        <v>-64136</v>
      </c>
      <c r="EY23" s="229">
        <v>-0.2064</v>
      </c>
      <c r="EZ23" s="229">
        <v>0.38450000000000001</v>
      </c>
      <c r="FA23" s="227" t="s">
        <v>568</v>
      </c>
      <c r="FB23" s="161">
        <f t="shared" si="0"/>
        <v>16628150</v>
      </c>
    </row>
    <row r="24" spans="1:158" ht="17.25" thickBot="1" x14ac:dyDescent="0.3">
      <c r="A24" s="226">
        <v>45869</v>
      </c>
      <c r="B24" s="227" t="s">
        <v>172</v>
      </c>
      <c r="C24" s="227" t="s">
        <v>173</v>
      </c>
      <c r="D24" s="228">
        <v>625</v>
      </c>
      <c r="E24" s="231">
        <v>1074.4000000000001</v>
      </c>
      <c r="F24" s="231">
        <v>1079.7</v>
      </c>
      <c r="G24" s="228">
        <v>-5.3</v>
      </c>
      <c r="H24" s="229">
        <v>-4.8999999999999998E-3</v>
      </c>
      <c r="I24" s="231">
        <v>1068.4000000000001</v>
      </c>
      <c r="J24" s="231">
        <v>1073.3</v>
      </c>
      <c r="K24" s="228">
        <v>-4.9000000000000004</v>
      </c>
      <c r="L24" s="229">
        <v>-4.5999999999999999E-3</v>
      </c>
      <c r="M24" s="231">
        <v>1068.9000000000001</v>
      </c>
      <c r="N24" s="231">
        <v>1073.9000000000001</v>
      </c>
      <c r="O24" s="228">
        <v>-5</v>
      </c>
      <c r="P24" s="229">
        <v>-4.7000000000000002E-3</v>
      </c>
      <c r="Q24" s="231">
        <v>1074.4000000000001</v>
      </c>
      <c r="R24" s="231">
        <v>1079.7</v>
      </c>
      <c r="S24" s="228">
        <v>-5.3</v>
      </c>
      <c r="T24" s="229">
        <v>-4.8999999999999998E-3</v>
      </c>
      <c r="U24" s="231">
        <v>1081</v>
      </c>
      <c r="V24" s="231">
        <v>1085.8</v>
      </c>
      <c r="W24" s="228">
        <v>-4.8</v>
      </c>
      <c r="X24" s="229">
        <v>-4.4000000000000003E-3</v>
      </c>
      <c r="Y24" s="228">
        <v>6</v>
      </c>
      <c r="Z24" s="228">
        <v>0.6</v>
      </c>
      <c r="AA24" s="228">
        <v>5.4</v>
      </c>
      <c r="AB24" s="229">
        <v>5.5999999999999999E-3</v>
      </c>
      <c r="AC24" s="228">
        <v>0.5</v>
      </c>
      <c r="AD24" s="228">
        <v>0.6</v>
      </c>
      <c r="AE24" s="228">
        <v>-0.1</v>
      </c>
      <c r="AF24" s="229">
        <v>5.0000000000000001E-4</v>
      </c>
      <c r="AG24" s="228">
        <v>6</v>
      </c>
      <c r="AH24" s="228">
        <v>6.4</v>
      </c>
      <c r="AI24" s="228">
        <v>-0.4</v>
      </c>
      <c r="AJ24" s="229">
        <v>5.5999999999999999E-3</v>
      </c>
      <c r="AK24" s="228">
        <v>12.6</v>
      </c>
      <c r="AL24" s="228">
        <v>12.5</v>
      </c>
      <c r="AM24" s="228">
        <v>0.1</v>
      </c>
      <c r="AN24" s="229">
        <v>1.18E-2</v>
      </c>
      <c r="AO24" s="231">
        <v>1072.46</v>
      </c>
      <c r="AP24" s="231">
        <v>1077.95</v>
      </c>
      <c r="AQ24" s="228">
        <v>0</v>
      </c>
      <c r="AR24" s="230">
        <v>29401250</v>
      </c>
      <c r="AS24" s="230">
        <v>38010000</v>
      </c>
      <c r="AT24" s="230">
        <v>-8608750</v>
      </c>
      <c r="AU24" s="229">
        <v>-0.22650000000000001</v>
      </c>
      <c r="AV24" s="230">
        <v>10944375</v>
      </c>
      <c r="AW24" s="230">
        <v>17583125</v>
      </c>
      <c r="AX24" s="230">
        <v>-6638750</v>
      </c>
      <c r="AY24" s="229">
        <v>-0.37759999999999999</v>
      </c>
      <c r="AZ24" s="230">
        <v>18113750</v>
      </c>
      <c r="BA24" s="230">
        <v>20221250</v>
      </c>
      <c r="BB24" s="230">
        <v>-2107500</v>
      </c>
      <c r="BC24" s="229">
        <v>-0.1042</v>
      </c>
      <c r="BD24" s="230">
        <v>343125</v>
      </c>
      <c r="BE24" s="230">
        <v>205625</v>
      </c>
      <c r="BF24" s="230">
        <v>137500</v>
      </c>
      <c r="BG24" s="229">
        <v>0.66869999999999996</v>
      </c>
      <c r="BH24" s="230">
        <v>23364375</v>
      </c>
      <c r="BI24" s="230">
        <v>33304375</v>
      </c>
      <c r="BJ24" s="230">
        <v>-9940000</v>
      </c>
      <c r="BK24" s="229">
        <v>-0.29849999999999999</v>
      </c>
      <c r="BL24" s="230">
        <v>14813125</v>
      </c>
      <c r="BM24" s="230">
        <v>16860000</v>
      </c>
      <c r="BN24" s="230">
        <v>-2046875</v>
      </c>
      <c r="BO24" s="229">
        <v>-0.12139999999999999</v>
      </c>
      <c r="BP24" s="230">
        <v>67578750</v>
      </c>
      <c r="BQ24" s="230">
        <v>88174375</v>
      </c>
      <c r="BR24" s="230">
        <v>-20595625</v>
      </c>
      <c r="BS24" s="229">
        <v>-0.2336</v>
      </c>
      <c r="BT24" s="230">
        <v>7679394</v>
      </c>
      <c r="BU24" s="230">
        <v>8332598</v>
      </c>
      <c r="BV24" s="230">
        <v>-653204</v>
      </c>
      <c r="BW24" s="229">
        <v>-7.8399999999999997E-2</v>
      </c>
      <c r="BX24" s="230">
        <v>97119375</v>
      </c>
      <c r="BY24" s="230">
        <v>97183750</v>
      </c>
      <c r="BZ24" s="230">
        <v>-64375</v>
      </c>
      <c r="CA24" s="229">
        <v>-6.9999999999999999E-4</v>
      </c>
      <c r="CB24" s="230">
        <v>3285625</v>
      </c>
      <c r="CC24" s="230">
        <v>10296250</v>
      </c>
      <c r="CD24" s="230">
        <v>-7010625</v>
      </c>
      <c r="CE24" s="229">
        <v>-0.68089999999999995</v>
      </c>
      <c r="CF24" s="230">
        <v>95781875</v>
      </c>
      <c r="CG24" s="230">
        <v>85688125</v>
      </c>
      <c r="CH24" s="230">
        <v>10093750</v>
      </c>
      <c r="CI24" s="229">
        <v>0.1178</v>
      </c>
      <c r="CJ24" s="230">
        <v>1337500</v>
      </c>
      <c r="CK24" s="230">
        <v>1199375</v>
      </c>
      <c r="CL24" s="230">
        <v>138125</v>
      </c>
      <c r="CM24" s="229">
        <v>0.1152</v>
      </c>
      <c r="CN24" s="230">
        <v>13629375</v>
      </c>
      <c r="CO24" s="230">
        <v>44806250</v>
      </c>
      <c r="CP24" s="230">
        <v>-31176875</v>
      </c>
      <c r="CQ24" s="229">
        <v>-0.69579999999999997</v>
      </c>
      <c r="CR24" s="230">
        <v>8191875</v>
      </c>
      <c r="CS24" s="230">
        <v>17768125</v>
      </c>
      <c r="CT24" s="230">
        <v>-9576250</v>
      </c>
      <c r="CU24" s="229">
        <v>-0.53900000000000003</v>
      </c>
      <c r="CV24" s="230">
        <v>118940625</v>
      </c>
      <c r="CW24" s="230">
        <v>159758125</v>
      </c>
      <c r="CX24" s="230">
        <v>-40817500</v>
      </c>
      <c r="CY24" s="229">
        <v>-0.2555</v>
      </c>
      <c r="CZ24" s="228">
        <v>20.32</v>
      </c>
      <c r="DA24" s="228">
        <v>21.09</v>
      </c>
      <c r="DB24" s="228">
        <v>-0.77</v>
      </c>
      <c r="DC24" s="228">
        <v>-0.77</v>
      </c>
      <c r="DD24" s="228">
        <v>28.17</v>
      </c>
      <c r="DE24" s="228">
        <v>28.24</v>
      </c>
      <c r="DF24" s="228">
        <v>-7.85</v>
      </c>
      <c r="DG24" s="228">
        <v>-7.0000000000000007E-2</v>
      </c>
      <c r="DH24" s="228">
        <v>20.64</v>
      </c>
      <c r="DI24" s="228">
        <v>21.24</v>
      </c>
      <c r="DJ24" s="228">
        <v>-0.6</v>
      </c>
      <c r="DK24" s="228">
        <v>-0.6</v>
      </c>
      <c r="DL24" s="228">
        <v>19.739999999999998</v>
      </c>
      <c r="DM24" s="228">
        <v>20.72</v>
      </c>
      <c r="DN24" s="228">
        <v>-0.98</v>
      </c>
      <c r="DO24" s="228">
        <v>-0.98</v>
      </c>
      <c r="DP24" s="228">
        <v>0.6</v>
      </c>
      <c r="DQ24" s="228">
        <v>0.4</v>
      </c>
      <c r="DR24" s="228">
        <v>0.2</v>
      </c>
      <c r="DS24" s="229">
        <v>0.5</v>
      </c>
      <c r="DT24" s="231">
        <v>1200</v>
      </c>
      <c r="DU24" s="231">
        <v>1100</v>
      </c>
      <c r="DV24" s="228">
        <v>0.63</v>
      </c>
      <c r="DW24" s="228">
        <v>0.51</v>
      </c>
      <c r="DX24" s="228">
        <v>0.12</v>
      </c>
      <c r="DY24" s="229">
        <v>0.23530000000000001</v>
      </c>
      <c r="DZ24" s="229">
        <v>0.96730000000000005</v>
      </c>
      <c r="EA24" s="230">
        <v>86887500</v>
      </c>
      <c r="EB24" s="229">
        <v>5.1000000000000004E-3</v>
      </c>
      <c r="EC24" s="229">
        <v>0.96730000000000005</v>
      </c>
      <c r="ED24" s="228">
        <v>5.49</v>
      </c>
      <c r="EE24" s="229">
        <v>5.1000000000000004E-3</v>
      </c>
      <c r="EF24" s="230">
        <v>4772787</v>
      </c>
      <c r="EG24" s="230">
        <v>6056551</v>
      </c>
      <c r="EH24" s="229">
        <v>-0.21199999999999999</v>
      </c>
      <c r="EI24" s="229">
        <v>0.62150000000000005</v>
      </c>
      <c r="EJ24" s="231">
        <v>262162.31</v>
      </c>
      <c r="EK24" s="231">
        <v>162625.31</v>
      </c>
      <c r="EL24" s="231">
        <v>316348.74</v>
      </c>
      <c r="EM24" s="228">
        <v>0</v>
      </c>
      <c r="EN24" s="231">
        <v>741136.36</v>
      </c>
      <c r="EO24" s="231">
        <v>965151.19</v>
      </c>
      <c r="EP24" s="231">
        <v>-224014.83</v>
      </c>
      <c r="EQ24" s="229">
        <v>-0.2321</v>
      </c>
      <c r="ER24" s="231">
        <v>156570</v>
      </c>
      <c r="ES24" s="231">
        <v>88097</v>
      </c>
      <c r="ET24" s="231">
        <v>1043539</v>
      </c>
      <c r="EU24" s="231">
        <v>549885930</v>
      </c>
      <c r="EV24" s="231">
        <v>1288206</v>
      </c>
      <c r="EW24" s="231">
        <v>1771402</v>
      </c>
      <c r="EX24" s="231">
        <v>-483196</v>
      </c>
      <c r="EY24" s="229">
        <v>-0.27279999999999999</v>
      </c>
      <c r="EZ24" s="229">
        <v>0.21629999999999999</v>
      </c>
      <c r="FA24" s="227" t="s">
        <v>568</v>
      </c>
      <c r="FB24" s="161">
        <f t="shared" si="0"/>
        <v>93833750</v>
      </c>
    </row>
    <row r="25" spans="1:158" ht="17.25" thickBot="1" x14ac:dyDescent="0.3">
      <c r="A25" s="226">
        <v>45869</v>
      </c>
      <c r="B25" s="227" t="s">
        <v>162</v>
      </c>
      <c r="C25" s="227" t="s">
        <v>174</v>
      </c>
      <c r="D25" s="228">
        <v>75</v>
      </c>
      <c r="E25" s="231">
        <v>8051</v>
      </c>
      <c r="F25" s="231">
        <v>8087</v>
      </c>
      <c r="G25" s="228">
        <v>-36</v>
      </c>
      <c r="H25" s="229">
        <v>-4.4999999999999997E-3</v>
      </c>
      <c r="I25" s="231">
        <v>8008</v>
      </c>
      <c r="J25" s="231">
        <v>8043.5</v>
      </c>
      <c r="K25" s="228">
        <v>-35.5</v>
      </c>
      <c r="L25" s="229">
        <v>-4.4000000000000003E-3</v>
      </c>
      <c r="M25" s="231">
        <v>8002</v>
      </c>
      <c r="N25" s="231">
        <v>8056</v>
      </c>
      <c r="O25" s="228">
        <v>-54</v>
      </c>
      <c r="P25" s="229">
        <v>-6.7000000000000002E-3</v>
      </c>
      <c r="Q25" s="231">
        <v>8051</v>
      </c>
      <c r="R25" s="231">
        <v>8087</v>
      </c>
      <c r="S25" s="228">
        <v>-36</v>
      </c>
      <c r="T25" s="229">
        <v>-4.4999999999999997E-3</v>
      </c>
      <c r="U25" s="231">
        <v>8096</v>
      </c>
      <c r="V25" s="231">
        <v>8138</v>
      </c>
      <c r="W25" s="228">
        <v>-42</v>
      </c>
      <c r="X25" s="229">
        <v>-5.1999999999999998E-3</v>
      </c>
      <c r="Y25" s="228">
        <v>43</v>
      </c>
      <c r="Z25" s="228">
        <v>12.5</v>
      </c>
      <c r="AA25" s="228">
        <v>30.5</v>
      </c>
      <c r="AB25" s="229">
        <v>5.4000000000000003E-3</v>
      </c>
      <c r="AC25" s="228">
        <v>-6</v>
      </c>
      <c r="AD25" s="228">
        <v>12.5</v>
      </c>
      <c r="AE25" s="228">
        <v>-18.5</v>
      </c>
      <c r="AF25" s="229">
        <v>-6.9999999999999999E-4</v>
      </c>
      <c r="AG25" s="228">
        <v>43</v>
      </c>
      <c r="AH25" s="228">
        <v>43.5</v>
      </c>
      <c r="AI25" s="228">
        <v>-0.5</v>
      </c>
      <c r="AJ25" s="229">
        <v>5.4000000000000003E-3</v>
      </c>
      <c r="AK25" s="228">
        <v>88</v>
      </c>
      <c r="AL25" s="228">
        <v>94.5</v>
      </c>
      <c r="AM25" s="228">
        <v>-6.5</v>
      </c>
      <c r="AN25" s="229">
        <v>1.0999999999999999E-2</v>
      </c>
      <c r="AO25" s="231">
        <v>8021.52</v>
      </c>
      <c r="AP25" s="231">
        <v>8064.6</v>
      </c>
      <c r="AQ25" s="228">
        <v>0</v>
      </c>
      <c r="AR25" s="230">
        <v>1395450</v>
      </c>
      <c r="AS25" s="230">
        <v>1778100</v>
      </c>
      <c r="AT25" s="230">
        <v>-382650</v>
      </c>
      <c r="AU25" s="229">
        <v>-0.2152</v>
      </c>
      <c r="AV25" s="230">
        <v>558225</v>
      </c>
      <c r="AW25" s="230">
        <v>856800</v>
      </c>
      <c r="AX25" s="230">
        <v>-298575</v>
      </c>
      <c r="AY25" s="229">
        <v>-0.34849999999999998</v>
      </c>
      <c r="AZ25" s="230">
        <v>816150</v>
      </c>
      <c r="BA25" s="230">
        <v>911475</v>
      </c>
      <c r="BB25" s="230">
        <v>-95325</v>
      </c>
      <c r="BC25" s="229">
        <v>-0.1046</v>
      </c>
      <c r="BD25" s="230">
        <v>21075</v>
      </c>
      <c r="BE25" s="230">
        <v>9825</v>
      </c>
      <c r="BF25" s="230">
        <v>11250</v>
      </c>
      <c r="BG25" s="229">
        <v>1.145</v>
      </c>
      <c r="BH25" s="230">
        <v>1663500</v>
      </c>
      <c r="BI25" s="230">
        <v>1523175</v>
      </c>
      <c r="BJ25" s="230">
        <v>140325</v>
      </c>
      <c r="BK25" s="229">
        <v>9.2100000000000001E-2</v>
      </c>
      <c r="BL25" s="230">
        <v>1323300</v>
      </c>
      <c r="BM25" s="230">
        <v>837000</v>
      </c>
      <c r="BN25" s="230">
        <v>486300</v>
      </c>
      <c r="BO25" s="229">
        <v>0.58099999999999996</v>
      </c>
      <c r="BP25" s="230">
        <v>4382250</v>
      </c>
      <c r="BQ25" s="230">
        <v>4138275</v>
      </c>
      <c r="BR25" s="230">
        <v>243975</v>
      </c>
      <c r="BS25" s="229">
        <v>5.8999999999999997E-2</v>
      </c>
      <c r="BT25" s="230">
        <v>308619</v>
      </c>
      <c r="BU25" s="230">
        <v>237630</v>
      </c>
      <c r="BV25" s="230">
        <v>70989</v>
      </c>
      <c r="BW25" s="229">
        <v>0.29870000000000002</v>
      </c>
      <c r="BX25" s="230">
        <v>2737425</v>
      </c>
      <c r="BY25" s="230">
        <v>2901450</v>
      </c>
      <c r="BZ25" s="230">
        <v>-164025</v>
      </c>
      <c r="CA25" s="229">
        <v>-5.6500000000000002E-2</v>
      </c>
      <c r="CB25" s="230">
        <v>221400</v>
      </c>
      <c r="CC25" s="230">
        <v>494025</v>
      </c>
      <c r="CD25" s="230">
        <v>-272625</v>
      </c>
      <c r="CE25" s="229">
        <v>-0.55179999999999996</v>
      </c>
      <c r="CF25" s="230">
        <v>2689275</v>
      </c>
      <c r="CG25" s="230">
        <v>2370375</v>
      </c>
      <c r="CH25" s="230">
        <v>318900</v>
      </c>
      <c r="CI25" s="229">
        <v>0.13450000000000001</v>
      </c>
      <c r="CJ25" s="230">
        <v>48150</v>
      </c>
      <c r="CK25" s="230">
        <v>37050</v>
      </c>
      <c r="CL25" s="230">
        <v>11100</v>
      </c>
      <c r="CM25" s="229">
        <v>0.29959999999999998</v>
      </c>
      <c r="CN25" s="230">
        <v>444300</v>
      </c>
      <c r="CO25" s="230">
        <v>1394400</v>
      </c>
      <c r="CP25" s="230">
        <v>-950100</v>
      </c>
      <c r="CQ25" s="229">
        <v>-0.68140000000000001</v>
      </c>
      <c r="CR25" s="230">
        <v>416850</v>
      </c>
      <c r="CS25" s="230">
        <v>917100</v>
      </c>
      <c r="CT25" s="230">
        <v>-500250</v>
      </c>
      <c r="CU25" s="229">
        <v>-0.54549999999999998</v>
      </c>
      <c r="CV25" s="230">
        <v>3598575</v>
      </c>
      <c r="CW25" s="230">
        <v>5212950</v>
      </c>
      <c r="CX25" s="230">
        <v>-1614375</v>
      </c>
      <c r="CY25" s="229">
        <v>-0.30969999999999998</v>
      </c>
      <c r="CZ25" s="228">
        <v>26.65</v>
      </c>
      <c r="DA25" s="228">
        <v>27.12</v>
      </c>
      <c r="DB25" s="228">
        <v>-0.47</v>
      </c>
      <c r="DC25" s="228">
        <v>-0.47</v>
      </c>
      <c r="DD25" s="228">
        <v>31.82</v>
      </c>
      <c r="DE25" s="228">
        <v>31.9</v>
      </c>
      <c r="DF25" s="228">
        <v>-5.17</v>
      </c>
      <c r="DG25" s="228">
        <v>-0.08</v>
      </c>
      <c r="DH25" s="228">
        <v>26.52</v>
      </c>
      <c r="DI25" s="228">
        <v>27.07</v>
      </c>
      <c r="DJ25" s="228">
        <v>-0.55000000000000004</v>
      </c>
      <c r="DK25" s="228">
        <v>-0.55000000000000004</v>
      </c>
      <c r="DL25" s="228">
        <v>26.79</v>
      </c>
      <c r="DM25" s="228">
        <v>27.17</v>
      </c>
      <c r="DN25" s="228">
        <v>-0.38</v>
      </c>
      <c r="DO25" s="228">
        <v>-0.38</v>
      </c>
      <c r="DP25" s="228">
        <v>0.94</v>
      </c>
      <c r="DQ25" s="228">
        <v>0.66</v>
      </c>
      <c r="DR25" s="228">
        <v>0.28000000000000003</v>
      </c>
      <c r="DS25" s="229">
        <v>0.42420000000000002</v>
      </c>
      <c r="DT25" s="231">
        <v>9000</v>
      </c>
      <c r="DU25" s="231">
        <v>8000</v>
      </c>
      <c r="DV25" s="228">
        <v>0.8</v>
      </c>
      <c r="DW25" s="228">
        <v>0.55000000000000004</v>
      </c>
      <c r="DX25" s="228">
        <v>0.25</v>
      </c>
      <c r="DY25" s="229">
        <v>0.45450000000000002</v>
      </c>
      <c r="DZ25" s="229">
        <v>0.92520000000000002</v>
      </c>
      <c r="EA25" s="230">
        <v>2407425</v>
      </c>
      <c r="EB25" s="229">
        <v>6.1000000000000004E-3</v>
      </c>
      <c r="EC25" s="229">
        <v>0.92520000000000002</v>
      </c>
      <c r="ED25" s="228">
        <v>43.08</v>
      </c>
      <c r="EE25" s="229">
        <v>5.4000000000000003E-3</v>
      </c>
      <c r="EF25" s="230">
        <v>118269</v>
      </c>
      <c r="EG25" s="230">
        <v>135883</v>
      </c>
      <c r="EH25" s="229">
        <v>-0.12959999999999999</v>
      </c>
      <c r="EI25" s="229">
        <v>0.38319999999999999</v>
      </c>
      <c r="EJ25" s="231">
        <v>139733.98000000001</v>
      </c>
      <c r="EK25" s="231">
        <v>107223.9</v>
      </c>
      <c r="EL25" s="231">
        <v>112301.95</v>
      </c>
      <c r="EM25" s="228">
        <v>0</v>
      </c>
      <c r="EN25" s="231">
        <v>359259.83</v>
      </c>
      <c r="EO25" s="231">
        <v>339542.5</v>
      </c>
      <c r="EP25" s="231">
        <v>19717.330000000002</v>
      </c>
      <c r="EQ25" s="229">
        <v>5.8099999999999999E-2</v>
      </c>
      <c r="ER25" s="231">
        <v>37794</v>
      </c>
      <c r="ES25" s="231">
        <v>33422</v>
      </c>
      <c r="ET25" s="231">
        <v>220412</v>
      </c>
      <c r="EU25" s="231">
        <v>25086000</v>
      </c>
      <c r="EV25" s="231">
        <v>291628</v>
      </c>
      <c r="EW25" s="231">
        <v>428830</v>
      </c>
      <c r="EX25" s="231">
        <v>-137202</v>
      </c>
      <c r="EY25" s="229">
        <v>-0.31990000000000002</v>
      </c>
      <c r="EZ25" s="229">
        <v>0.1434</v>
      </c>
      <c r="FA25" s="227" t="s">
        <v>568</v>
      </c>
      <c r="FB25" s="161">
        <f t="shared" si="0"/>
        <v>2516025</v>
      </c>
    </row>
    <row r="26" spans="1:158" ht="17.25" thickBot="1" x14ac:dyDescent="0.3">
      <c r="A26" s="226">
        <v>45869</v>
      </c>
      <c r="B26" s="227" t="s">
        <v>175</v>
      </c>
      <c r="C26" s="227" t="s">
        <v>176</v>
      </c>
      <c r="D26" s="228">
        <v>500</v>
      </c>
      <c r="E26" s="231">
        <v>1954.2</v>
      </c>
      <c r="F26" s="231">
        <v>1969.1</v>
      </c>
      <c r="G26" s="228">
        <v>-14.9</v>
      </c>
      <c r="H26" s="229">
        <v>-7.6E-3</v>
      </c>
      <c r="I26" s="231">
        <v>1948</v>
      </c>
      <c r="J26" s="231">
        <v>1959.8</v>
      </c>
      <c r="K26" s="228">
        <v>-11.8</v>
      </c>
      <c r="L26" s="229">
        <v>-6.0000000000000001E-3</v>
      </c>
      <c r="M26" s="231">
        <v>1945.7</v>
      </c>
      <c r="N26" s="231">
        <v>1957.1</v>
      </c>
      <c r="O26" s="228">
        <v>-11.4</v>
      </c>
      <c r="P26" s="229">
        <v>-5.7999999999999996E-3</v>
      </c>
      <c r="Q26" s="231">
        <v>1954.2</v>
      </c>
      <c r="R26" s="231">
        <v>1969.1</v>
      </c>
      <c r="S26" s="228">
        <v>-14.9</v>
      </c>
      <c r="T26" s="229">
        <v>-7.6E-3</v>
      </c>
      <c r="U26" s="231">
        <v>1966.1</v>
      </c>
      <c r="V26" s="231">
        <v>1981</v>
      </c>
      <c r="W26" s="228">
        <v>-14.9</v>
      </c>
      <c r="X26" s="229">
        <v>-7.4999999999999997E-3</v>
      </c>
      <c r="Y26" s="228">
        <v>6.2</v>
      </c>
      <c r="Z26" s="228">
        <v>-2.7</v>
      </c>
      <c r="AA26" s="228">
        <v>8.9</v>
      </c>
      <c r="AB26" s="229">
        <v>3.2000000000000002E-3</v>
      </c>
      <c r="AC26" s="228">
        <v>-2.2999999999999998</v>
      </c>
      <c r="AD26" s="228">
        <v>-2.7</v>
      </c>
      <c r="AE26" s="228">
        <v>0.4</v>
      </c>
      <c r="AF26" s="229">
        <v>-1.1999999999999999E-3</v>
      </c>
      <c r="AG26" s="228">
        <v>6.2</v>
      </c>
      <c r="AH26" s="228">
        <v>9.3000000000000007</v>
      </c>
      <c r="AI26" s="228">
        <v>-3.1</v>
      </c>
      <c r="AJ26" s="229">
        <v>3.2000000000000002E-3</v>
      </c>
      <c r="AK26" s="228">
        <v>18.100000000000001</v>
      </c>
      <c r="AL26" s="228">
        <v>21.2</v>
      </c>
      <c r="AM26" s="228">
        <v>-3.1</v>
      </c>
      <c r="AN26" s="229">
        <v>9.2999999999999992E-3</v>
      </c>
      <c r="AO26" s="231">
        <v>1952.92</v>
      </c>
      <c r="AP26" s="231">
        <v>1962.69</v>
      </c>
      <c r="AQ26" s="228">
        <v>0</v>
      </c>
      <c r="AR26" s="230">
        <v>8645000</v>
      </c>
      <c r="AS26" s="230">
        <v>8801500</v>
      </c>
      <c r="AT26" s="230">
        <v>-156500</v>
      </c>
      <c r="AU26" s="229">
        <v>-1.78E-2</v>
      </c>
      <c r="AV26" s="230">
        <v>3930500</v>
      </c>
      <c r="AW26" s="230">
        <v>4230500</v>
      </c>
      <c r="AX26" s="230">
        <v>-300000</v>
      </c>
      <c r="AY26" s="229">
        <v>-7.0900000000000005E-2</v>
      </c>
      <c r="AZ26" s="230">
        <v>4667000</v>
      </c>
      <c r="BA26" s="230">
        <v>4496500</v>
      </c>
      <c r="BB26" s="230">
        <v>170500</v>
      </c>
      <c r="BC26" s="229">
        <v>3.7900000000000003E-2</v>
      </c>
      <c r="BD26" s="230">
        <v>47500</v>
      </c>
      <c r="BE26" s="230">
        <v>74500</v>
      </c>
      <c r="BF26" s="230">
        <v>-27000</v>
      </c>
      <c r="BG26" s="229">
        <v>-0.3624</v>
      </c>
      <c r="BH26" s="230">
        <v>7248500</v>
      </c>
      <c r="BI26" s="230">
        <v>8763500</v>
      </c>
      <c r="BJ26" s="230">
        <v>-1515000</v>
      </c>
      <c r="BK26" s="229">
        <v>-0.1729</v>
      </c>
      <c r="BL26" s="230">
        <v>3691500</v>
      </c>
      <c r="BM26" s="230">
        <v>4684500</v>
      </c>
      <c r="BN26" s="230">
        <v>-993000</v>
      </c>
      <c r="BO26" s="229">
        <v>-0.21199999999999999</v>
      </c>
      <c r="BP26" s="230">
        <v>19585000</v>
      </c>
      <c r="BQ26" s="230">
        <v>22249500</v>
      </c>
      <c r="BR26" s="230">
        <v>-2664500</v>
      </c>
      <c r="BS26" s="229">
        <v>-0.1198</v>
      </c>
      <c r="BT26" s="230">
        <v>1008038</v>
      </c>
      <c r="BU26" s="230">
        <v>963291</v>
      </c>
      <c r="BV26" s="230">
        <v>44747</v>
      </c>
      <c r="BW26" s="229">
        <v>4.65E-2</v>
      </c>
      <c r="BX26" s="230">
        <v>16236500</v>
      </c>
      <c r="BY26" s="230">
        <v>16553000</v>
      </c>
      <c r="BZ26" s="230">
        <v>-316500</v>
      </c>
      <c r="CA26" s="229">
        <v>-1.9099999999999999E-2</v>
      </c>
      <c r="CB26" s="230">
        <v>992500</v>
      </c>
      <c r="CC26" s="230">
        <v>2467500</v>
      </c>
      <c r="CD26" s="230">
        <v>-1475000</v>
      </c>
      <c r="CE26" s="229">
        <v>-0.5978</v>
      </c>
      <c r="CF26" s="230">
        <v>16103500</v>
      </c>
      <c r="CG26" s="230">
        <v>13970500</v>
      </c>
      <c r="CH26" s="230">
        <v>2133000</v>
      </c>
      <c r="CI26" s="229">
        <v>0.1527</v>
      </c>
      <c r="CJ26" s="230">
        <v>133000</v>
      </c>
      <c r="CK26" s="230">
        <v>115000</v>
      </c>
      <c r="CL26" s="230">
        <v>18000</v>
      </c>
      <c r="CM26" s="229">
        <v>0.1565</v>
      </c>
      <c r="CN26" s="230">
        <v>3290500</v>
      </c>
      <c r="CO26" s="230">
        <v>10069000</v>
      </c>
      <c r="CP26" s="230">
        <v>-6778500</v>
      </c>
      <c r="CQ26" s="229">
        <v>-0.67320000000000002</v>
      </c>
      <c r="CR26" s="230">
        <v>2060500</v>
      </c>
      <c r="CS26" s="230">
        <v>4448000</v>
      </c>
      <c r="CT26" s="230">
        <v>-2387500</v>
      </c>
      <c r="CU26" s="229">
        <v>-0.53680000000000005</v>
      </c>
      <c r="CV26" s="230">
        <v>21587500</v>
      </c>
      <c r="CW26" s="230">
        <v>31070000</v>
      </c>
      <c r="CX26" s="230">
        <v>-9482500</v>
      </c>
      <c r="CY26" s="229">
        <v>-0.30520000000000003</v>
      </c>
      <c r="CZ26" s="228">
        <v>24.05</v>
      </c>
      <c r="DA26" s="228">
        <v>24.02</v>
      </c>
      <c r="DB26" s="228">
        <v>0.03</v>
      </c>
      <c r="DC26" s="228">
        <v>0.03</v>
      </c>
      <c r="DD26" s="228">
        <v>29.92</v>
      </c>
      <c r="DE26" s="228">
        <v>29.98</v>
      </c>
      <c r="DF26" s="228">
        <v>-5.87</v>
      </c>
      <c r="DG26" s="228">
        <v>-0.06</v>
      </c>
      <c r="DH26" s="228">
        <v>24.45</v>
      </c>
      <c r="DI26" s="228">
        <v>24.1</v>
      </c>
      <c r="DJ26" s="228">
        <v>0.35</v>
      </c>
      <c r="DK26" s="228">
        <v>0.35</v>
      </c>
      <c r="DL26" s="228">
        <v>23.21</v>
      </c>
      <c r="DM26" s="228">
        <v>23.9</v>
      </c>
      <c r="DN26" s="228">
        <v>-0.69</v>
      </c>
      <c r="DO26" s="228">
        <v>-0.69</v>
      </c>
      <c r="DP26" s="228">
        <v>0.63</v>
      </c>
      <c r="DQ26" s="228">
        <v>0.44</v>
      </c>
      <c r="DR26" s="228">
        <v>0.19</v>
      </c>
      <c r="DS26" s="229">
        <v>0.43180000000000002</v>
      </c>
      <c r="DT26" s="231">
        <v>2100</v>
      </c>
      <c r="DU26" s="231">
        <v>1760</v>
      </c>
      <c r="DV26" s="228">
        <v>0.51</v>
      </c>
      <c r="DW26" s="228">
        <v>0.53</v>
      </c>
      <c r="DX26" s="228">
        <v>-0.02</v>
      </c>
      <c r="DY26" s="229">
        <v>-3.7699999999999997E-2</v>
      </c>
      <c r="DZ26" s="229">
        <v>0.94240000000000002</v>
      </c>
      <c r="EA26" s="230">
        <v>14085500</v>
      </c>
      <c r="EB26" s="229">
        <v>4.4000000000000003E-3</v>
      </c>
      <c r="EC26" s="229">
        <v>0.94240000000000002</v>
      </c>
      <c r="ED26" s="228">
        <v>9.77</v>
      </c>
      <c r="EE26" s="229">
        <v>5.0000000000000001E-3</v>
      </c>
      <c r="EF26" s="230">
        <v>476477</v>
      </c>
      <c r="EG26" s="230">
        <v>491479</v>
      </c>
      <c r="EH26" s="229">
        <v>-3.0499999999999999E-2</v>
      </c>
      <c r="EI26" s="229">
        <v>0.47270000000000001</v>
      </c>
      <c r="EJ26" s="231">
        <v>147564.31</v>
      </c>
      <c r="EK26" s="231">
        <v>73107.81</v>
      </c>
      <c r="EL26" s="231">
        <v>169295.77</v>
      </c>
      <c r="EM26" s="228">
        <v>0</v>
      </c>
      <c r="EN26" s="231">
        <v>389967.89</v>
      </c>
      <c r="EO26" s="231">
        <v>443765.56</v>
      </c>
      <c r="EP26" s="231">
        <v>-53797.67</v>
      </c>
      <c r="EQ26" s="229">
        <v>-0.1212</v>
      </c>
      <c r="ER26" s="231">
        <v>67619</v>
      </c>
      <c r="ES26" s="231">
        <v>39543</v>
      </c>
      <c r="ET26" s="231">
        <v>317310</v>
      </c>
      <c r="EU26" s="231">
        <v>125347779</v>
      </c>
      <c r="EV26" s="231">
        <v>424471</v>
      </c>
      <c r="EW26" s="231">
        <v>622348</v>
      </c>
      <c r="EX26" s="231">
        <v>-197877</v>
      </c>
      <c r="EY26" s="229">
        <v>-0.318</v>
      </c>
      <c r="EZ26" s="229">
        <v>0.17219999999999999</v>
      </c>
      <c r="FA26" s="227" t="s">
        <v>568</v>
      </c>
      <c r="FB26" s="161">
        <f t="shared" si="0"/>
        <v>15244000</v>
      </c>
    </row>
    <row r="27" spans="1:158" ht="17.25" thickBot="1" x14ac:dyDescent="0.3">
      <c r="A27" s="226">
        <v>45869</v>
      </c>
      <c r="B27" s="227" t="s">
        <v>175</v>
      </c>
      <c r="C27" s="227" t="s">
        <v>177</v>
      </c>
      <c r="D27" s="228">
        <v>750</v>
      </c>
      <c r="E27" s="228">
        <v>883.95</v>
      </c>
      <c r="F27" s="228">
        <v>890.05</v>
      </c>
      <c r="G27" s="228">
        <v>-6.1</v>
      </c>
      <c r="H27" s="229">
        <v>-6.8999999999999999E-3</v>
      </c>
      <c r="I27" s="228">
        <v>881.2</v>
      </c>
      <c r="J27" s="228">
        <v>884.85</v>
      </c>
      <c r="K27" s="228">
        <v>-3.65</v>
      </c>
      <c r="L27" s="229">
        <v>-4.1000000000000003E-3</v>
      </c>
      <c r="M27" s="228">
        <v>879.8</v>
      </c>
      <c r="N27" s="228">
        <v>884.7</v>
      </c>
      <c r="O27" s="228">
        <v>-4.9000000000000004</v>
      </c>
      <c r="P27" s="229">
        <v>-5.4999999999999997E-3</v>
      </c>
      <c r="Q27" s="228">
        <v>883.95</v>
      </c>
      <c r="R27" s="228">
        <v>890.05</v>
      </c>
      <c r="S27" s="228">
        <v>-6.1</v>
      </c>
      <c r="T27" s="229">
        <v>-6.8999999999999999E-3</v>
      </c>
      <c r="U27" s="228">
        <v>889.15</v>
      </c>
      <c r="V27" s="228">
        <v>895.55</v>
      </c>
      <c r="W27" s="228">
        <v>-6.4</v>
      </c>
      <c r="X27" s="229">
        <v>-7.1000000000000004E-3</v>
      </c>
      <c r="Y27" s="228">
        <v>2.75</v>
      </c>
      <c r="Z27" s="228">
        <v>-0.15</v>
      </c>
      <c r="AA27" s="228">
        <v>2.9</v>
      </c>
      <c r="AB27" s="229">
        <v>3.0999999999999999E-3</v>
      </c>
      <c r="AC27" s="228">
        <v>-1.4</v>
      </c>
      <c r="AD27" s="228">
        <v>-0.15</v>
      </c>
      <c r="AE27" s="228">
        <v>-1.25</v>
      </c>
      <c r="AF27" s="229">
        <v>-1.6000000000000001E-3</v>
      </c>
      <c r="AG27" s="228">
        <v>2.75</v>
      </c>
      <c r="AH27" s="228">
        <v>5.2</v>
      </c>
      <c r="AI27" s="228">
        <v>-2.4500000000000002</v>
      </c>
      <c r="AJ27" s="229">
        <v>3.0999999999999999E-3</v>
      </c>
      <c r="AK27" s="228">
        <v>7.95</v>
      </c>
      <c r="AL27" s="228">
        <v>10.7</v>
      </c>
      <c r="AM27" s="228">
        <v>-2.75</v>
      </c>
      <c r="AN27" s="229">
        <v>8.9999999999999993E-3</v>
      </c>
      <c r="AO27" s="228">
        <v>879.12</v>
      </c>
      <c r="AP27" s="228">
        <v>883.6</v>
      </c>
      <c r="AQ27" s="228">
        <v>0</v>
      </c>
      <c r="AR27" s="230">
        <v>43221000</v>
      </c>
      <c r="AS27" s="230">
        <v>41097750</v>
      </c>
      <c r="AT27" s="230">
        <v>2123250</v>
      </c>
      <c r="AU27" s="229">
        <v>5.1700000000000003E-2</v>
      </c>
      <c r="AV27" s="230">
        <v>18422250</v>
      </c>
      <c r="AW27" s="230">
        <v>19489500</v>
      </c>
      <c r="AX27" s="230">
        <v>-1067250</v>
      </c>
      <c r="AY27" s="229">
        <v>-5.4800000000000001E-2</v>
      </c>
      <c r="AZ27" s="230">
        <v>24008250</v>
      </c>
      <c r="BA27" s="230">
        <v>21337500</v>
      </c>
      <c r="BB27" s="230">
        <v>2670750</v>
      </c>
      <c r="BC27" s="229">
        <v>0.12520000000000001</v>
      </c>
      <c r="BD27" s="230">
        <v>790500</v>
      </c>
      <c r="BE27" s="230">
        <v>270750</v>
      </c>
      <c r="BF27" s="230">
        <v>519750</v>
      </c>
      <c r="BG27" s="229">
        <v>1.9197</v>
      </c>
      <c r="BH27" s="230">
        <v>24381000</v>
      </c>
      <c r="BI27" s="230">
        <v>28167750</v>
      </c>
      <c r="BJ27" s="230">
        <v>-3786750</v>
      </c>
      <c r="BK27" s="229">
        <v>-0.13439999999999999</v>
      </c>
      <c r="BL27" s="230">
        <v>14151000</v>
      </c>
      <c r="BM27" s="230">
        <v>15885000</v>
      </c>
      <c r="BN27" s="230">
        <v>-1734000</v>
      </c>
      <c r="BO27" s="229">
        <v>-0.10920000000000001</v>
      </c>
      <c r="BP27" s="230">
        <v>81753000</v>
      </c>
      <c r="BQ27" s="230">
        <v>85150500</v>
      </c>
      <c r="BR27" s="230">
        <v>-3397500</v>
      </c>
      <c r="BS27" s="229">
        <v>-3.9899999999999998E-2</v>
      </c>
      <c r="BT27" s="230">
        <v>7226802</v>
      </c>
      <c r="BU27" s="230">
        <v>5351837</v>
      </c>
      <c r="BV27" s="230">
        <v>1874965</v>
      </c>
      <c r="BW27" s="229">
        <v>0.3503</v>
      </c>
      <c r="BX27" s="230">
        <v>92869500</v>
      </c>
      <c r="BY27" s="230">
        <v>94972500</v>
      </c>
      <c r="BZ27" s="230">
        <v>-2103000</v>
      </c>
      <c r="CA27" s="229">
        <v>-2.2100000000000002E-2</v>
      </c>
      <c r="CB27" s="230">
        <v>2763750</v>
      </c>
      <c r="CC27" s="230">
        <v>13965750</v>
      </c>
      <c r="CD27" s="230">
        <v>-11202000</v>
      </c>
      <c r="CE27" s="229">
        <v>-0.80210000000000004</v>
      </c>
      <c r="CF27" s="230">
        <v>89979750</v>
      </c>
      <c r="CG27" s="230">
        <v>78220500</v>
      </c>
      <c r="CH27" s="230">
        <v>11759250</v>
      </c>
      <c r="CI27" s="229">
        <v>0.15029999999999999</v>
      </c>
      <c r="CJ27" s="230">
        <v>2889750</v>
      </c>
      <c r="CK27" s="230">
        <v>2786250</v>
      </c>
      <c r="CL27" s="230">
        <v>103500</v>
      </c>
      <c r="CM27" s="229">
        <v>3.7100000000000001E-2</v>
      </c>
      <c r="CN27" s="230">
        <v>18120750</v>
      </c>
      <c r="CO27" s="230">
        <v>33046500</v>
      </c>
      <c r="CP27" s="230">
        <v>-14925750</v>
      </c>
      <c r="CQ27" s="229">
        <v>-0.45169999999999999</v>
      </c>
      <c r="CR27" s="230">
        <v>9882000</v>
      </c>
      <c r="CS27" s="230">
        <v>16792500</v>
      </c>
      <c r="CT27" s="230">
        <v>-6910500</v>
      </c>
      <c r="CU27" s="229">
        <v>-0.41149999999999998</v>
      </c>
      <c r="CV27" s="230">
        <v>120872250</v>
      </c>
      <c r="CW27" s="230">
        <v>144811500</v>
      </c>
      <c r="CX27" s="230">
        <v>-23939250</v>
      </c>
      <c r="CY27" s="229">
        <v>-0.1653</v>
      </c>
      <c r="CZ27" s="228">
        <v>26.34</v>
      </c>
      <c r="DA27" s="228">
        <v>26.5</v>
      </c>
      <c r="DB27" s="228">
        <v>-0.16</v>
      </c>
      <c r="DC27" s="228">
        <v>-0.16</v>
      </c>
      <c r="DD27" s="228">
        <v>31.67</v>
      </c>
      <c r="DE27" s="228">
        <v>31.75</v>
      </c>
      <c r="DF27" s="228">
        <v>-5.33</v>
      </c>
      <c r="DG27" s="228">
        <v>-0.08</v>
      </c>
      <c r="DH27" s="228">
        <v>26.74</v>
      </c>
      <c r="DI27" s="228">
        <v>26.4</v>
      </c>
      <c r="DJ27" s="228">
        <v>0.34</v>
      </c>
      <c r="DK27" s="228">
        <v>0.34</v>
      </c>
      <c r="DL27" s="228">
        <v>25.64</v>
      </c>
      <c r="DM27" s="228">
        <v>26.68</v>
      </c>
      <c r="DN27" s="228">
        <v>-1.04</v>
      </c>
      <c r="DO27" s="228">
        <v>-1.04</v>
      </c>
      <c r="DP27" s="228">
        <v>0.55000000000000004</v>
      </c>
      <c r="DQ27" s="228">
        <v>0.51</v>
      </c>
      <c r="DR27" s="228">
        <v>0.04</v>
      </c>
      <c r="DS27" s="229">
        <v>7.8399999999999997E-2</v>
      </c>
      <c r="DT27" s="228">
        <v>900</v>
      </c>
      <c r="DU27" s="228">
        <v>900</v>
      </c>
      <c r="DV27" s="228">
        <v>0.57999999999999996</v>
      </c>
      <c r="DW27" s="228">
        <v>0.56000000000000005</v>
      </c>
      <c r="DX27" s="228">
        <v>0.02</v>
      </c>
      <c r="DY27" s="229">
        <v>3.5700000000000003E-2</v>
      </c>
      <c r="DZ27" s="229">
        <v>0.97109999999999996</v>
      </c>
      <c r="EA27" s="230">
        <v>81006750</v>
      </c>
      <c r="EB27" s="229">
        <v>4.7000000000000002E-3</v>
      </c>
      <c r="EC27" s="229">
        <v>0.97109999999999996</v>
      </c>
      <c r="ED27" s="228">
        <v>4.4800000000000004</v>
      </c>
      <c r="EE27" s="229">
        <v>5.1000000000000004E-3</v>
      </c>
      <c r="EF27" s="230">
        <v>4030617</v>
      </c>
      <c r="EG27" s="230">
        <v>2759706</v>
      </c>
      <c r="EH27" s="229">
        <v>0.46050000000000002</v>
      </c>
      <c r="EI27" s="229">
        <v>0.55769999999999997</v>
      </c>
      <c r="EJ27" s="231">
        <v>228929.41</v>
      </c>
      <c r="EK27" s="231">
        <v>128373.81</v>
      </c>
      <c r="EL27" s="231">
        <v>381108.26</v>
      </c>
      <c r="EM27" s="228">
        <v>0</v>
      </c>
      <c r="EN27" s="231">
        <v>738411.48</v>
      </c>
      <c r="EO27" s="231">
        <v>769369.65</v>
      </c>
      <c r="EP27" s="231">
        <v>-30958.17</v>
      </c>
      <c r="EQ27" s="229">
        <v>-4.02E-2</v>
      </c>
      <c r="ER27" s="231">
        <v>172596</v>
      </c>
      <c r="ES27" s="231">
        <v>86886</v>
      </c>
      <c r="ET27" s="231">
        <v>821070</v>
      </c>
      <c r="EU27" s="231">
        <v>562142812</v>
      </c>
      <c r="EV27" s="231">
        <v>1080553</v>
      </c>
      <c r="EW27" s="231">
        <v>1311216</v>
      </c>
      <c r="EX27" s="231">
        <v>-230663</v>
      </c>
      <c r="EY27" s="229">
        <v>-0.1759</v>
      </c>
      <c r="EZ27" s="229">
        <v>0.215</v>
      </c>
      <c r="FA27" s="227" t="s">
        <v>568</v>
      </c>
      <c r="FB27" s="161">
        <f t="shared" si="0"/>
        <v>90105750</v>
      </c>
    </row>
    <row r="28" spans="1:158" ht="17.25" thickBot="1" x14ac:dyDescent="0.3">
      <c r="A28" s="226">
        <v>45869</v>
      </c>
      <c r="B28" s="227" t="s">
        <v>162</v>
      </c>
      <c r="C28" s="227" t="s">
        <v>178</v>
      </c>
      <c r="D28" s="228">
        <v>300</v>
      </c>
      <c r="E28" s="228">
        <v>0</v>
      </c>
      <c r="F28" s="228">
        <v>0</v>
      </c>
      <c r="G28" s="228">
        <v>0</v>
      </c>
      <c r="H28" s="229">
        <v>0</v>
      </c>
      <c r="I28" s="231">
        <v>2676.2</v>
      </c>
      <c r="J28" s="231">
        <v>2759.1</v>
      </c>
      <c r="K28" s="228">
        <v>-82.9</v>
      </c>
      <c r="L28" s="229">
        <v>-0.03</v>
      </c>
      <c r="M28" s="231">
        <v>2680</v>
      </c>
      <c r="N28" s="231">
        <v>2758.7</v>
      </c>
      <c r="O28" s="228">
        <v>-78.7</v>
      </c>
      <c r="P28" s="229">
        <v>-2.8500000000000001E-2</v>
      </c>
      <c r="Q28" s="228">
        <v>0</v>
      </c>
      <c r="R28" s="228">
        <v>0</v>
      </c>
      <c r="S28" s="228">
        <v>0</v>
      </c>
      <c r="T28" s="229">
        <v>0</v>
      </c>
      <c r="U28" s="228">
        <v>0</v>
      </c>
      <c r="V28" s="228">
        <v>0</v>
      </c>
      <c r="W28" s="228">
        <v>0</v>
      </c>
      <c r="X28" s="229">
        <v>0</v>
      </c>
      <c r="Y28" s="228">
        <v>0</v>
      </c>
      <c r="Z28" s="228">
        <v>-0.4</v>
      </c>
      <c r="AA28" s="228">
        <v>0</v>
      </c>
      <c r="AB28" s="229">
        <v>0</v>
      </c>
      <c r="AC28" s="228">
        <v>3.8</v>
      </c>
      <c r="AD28" s="228">
        <v>-0.4</v>
      </c>
      <c r="AE28" s="228">
        <v>4.2</v>
      </c>
      <c r="AF28" s="229">
        <v>1.4E-3</v>
      </c>
      <c r="AG28" s="228">
        <v>0</v>
      </c>
      <c r="AH28" s="228">
        <v>0</v>
      </c>
      <c r="AI28" s="228">
        <v>0</v>
      </c>
      <c r="AJ28" s="229">
        <v>0</v>
      </c>
      <c r="AK28" s="228">
        <v>0</v>
      </c>
      <c r="AL28" s="228">
        <v>0</v>
      </c>
      <c r="AM28" s="228">
        <v>0</v>
      </c>
      <c r="AN28" s="229">
        <v>0</v>
      </c>
      <c r="AO28" s="231">
        <v>2698.09</v>
      </c>
      <c r="AP28" s="228">
        <v>0</v>
      </c>
      <c r="AQ28" s="228">
        <v>0</v>
      </c>
      <c r="AR28" s="230">
        <v>730800</v>
      </c>
      <c r="AS28" s="230">
        <v>486600</v>
      </c>
      <c r="AT28" s="230">
        <v>244200</v>
      </c>
      <c r="AU28" s="229">
        <v>0.50180000000000002</v>
      </c>
      <c r="AV28" s="230">
        <v>730800</v>
      </c>
      <c r="AW28" s="230">
        <v>486600</v>
      </c>
      <c r="AX28" s="230">
        <v>244200</v>
      </c>
      <c r="AY28" s="229">
        <v>0.50180000000000002</v>
      </c>
      <c r="AZ28" s="228">
        <v>0</v>
      </c>
      <c r="BA28" s="228">
        <v>0</v>
      </c>
      <c r="BB28" s="228">
        <v>0</v>
      </c>
      <c r="BC28" s="229">
        <v>0</v>
      </c>
      <c r="BD28" s="228">
        <v>0</v>
      </c>
      <c r="BE28" s="228">
        <v>0</v>
      </c>
      <c r="BF28" s="228">
        <v>0</v>
      </c>
      <c r="BG28" s="229">
        <v>0</v>
      </c>
      <c r="BH28" s="230">
        <v>984600</v>
      </c>
      <c r="BI28" s="230">
        <v>1098300</v>
      </c>
      <c r="BJ28" s="230">
        <v>-113700</v>
      </c>
      <c r="BK28" s="229">
        <v>-0.10349999999999999</v>
      </c>
      <c r="BL28" s="230">
        <v>904500</v>
      </c>
      <c r="BM28" s="230">
        <v>965700</v>
      </c>
      <c r="BN28" s="230">
        <v>-61200</v>
      </c>
      <c r="BO28" s="229">
        <v>-6.3399999999999998E-2</v>
      </c>
      <c r="BP28" s="230">
        <v>2619900</v>
      </c>
      <c r="BQ28" s="230">
        <v>2550600</v>
      </c>
      <c r="BR28" s="230">
        <v>69300</v>
      </c>
      <c r="BS28" s="229">
        <v>2.7199999999999998E-2</v>
      </c>
      <c r="BT28" s="230">
        <v>398139</v>
      </c>
      <c r="BU28" s="230">
        <v>386172</v>
      </c>
      <c r="BV28" s="230">
        <v>11967</v>
      </c>
      <c r="BW28" s="229">
        <v>3.1E-2</v>
      </c>
      <c r="BX28" s="228">
        <v>0</v>
      </c>
      <c r="BY28" s="230">
        <v>767400</v>
      </c>
      <c r="BZ28" s="230">
        <v>-767400</v>
      </c>
      <c r="CA28" s="229">
        <v>-1</v>
      </c>
      <c r="CB28" s="230">
        <v>650700</v>
      </c>
      <c r="CC28" s="230">
        <v>767400</v>
      </c>
      <c r="CD28" s="230">
        <v>-116700</v>
      </c>
      <c r="CE28" s="229">
        <v>-0.15210000000000001</v>
      </c>
      <c r="CF28" s="228">
        <v>0</v>
      </c>
      <c r="CG28" s="228">
        <v>0</v>
      </c>
      <c r="CH28" s="228">
        <v>0</v>
      </c>
      <c r="CI28" s="229">
        <v>0</v>
      </c>
      <c r="CJ28" s="228">
        <v>0</v>
      </c>
      <c r="CK28" s="228">
        <v>0</v>
      </c>
      <c r="CL28" s="228">
        <v>0</v>
      </c>
      <c r="CM28" s="229">
        <v>0</v>
      </c>
      <c r="CN28" s="230">
        <v>807000</v>
      </c>
      <c r="CO28" s="230">
        <v>1011000</v>
      </c>
      <c r="CP28" s="230">
        <v>-204000</v>
      </c>
      <c r="CQ28" s="229">
        <v>-0.20180000000000001</v>
      </c>
      <c r="CR28" s="230">
        <v>563700</v>
      </c>
      <c r="CS28" s="230">
        <v>775200</v>
      </c>
      <c r="CT28" s="230">
        <v>-211500</v>
      </c>
      <c r="CU28" s="229">
        <v>-0.27279999999999999</v>
      </c>
      <c r="CV28" s="230">
        <v>1370700</v>
      </c>
      <c r="CW28" s="230">
        <v>2553600</v>
      </c>
      <c r="CX28" s="230">
        <v>-1182900</v>
      </c>
      <c r="CY28" s="229">
        <v>-0.4632</v>
      </c>
      <c r="CZ28" s="228">
        <v>33.47</v>
      </c>
      <c r="DA28" s="228">
        <v>33.47</v>
      </c>
      <c r="DB28" s="228">
        <v>0</v>
      </c>
      <c r="DC28" s="228">
        <v>0</v>
      </c>
      <c r="DD28" s="228">
        <v>33.47</v>
      </c>
      <c r="DE28" s="228">
        <v>33.47</v>
      </c>
      <c r="DF28" s="228">
        <v>0</v>
      </c>
      <c r="DG28" s="228">
        <v>0</v>
      </c>
      <c r="DH28" s="228">
        <v>33.47</v>
      </c>
      <c r="DI28" s="228">
        <v>33.47</v>
      </c>
      <c r="DJ28" s="228">
        <v>0</v>
      </c>
      <c r="DK28" s="228">
        <v>0</v>
      </c>
      <c r="DL28" s="228">
        <v>33.47</v>
      </c>
      <c r="DM28" s="228">
        <v>33.47</v>
      </c>
      <c r="DN28" s="228">
        <v>0</v>
      </c>
      <c r="DO28" s="228">
        <v>0</v>
      </c>
      <c r="DP28" s="228">
        <v>0.7</v>
      </c>
      <c r="DQ28" s="228">
        <v>0.77</v>
      </c>
      <c r="DR28" s="228">
        <v>-7.0000000000000007E-2</v>
      </c>
      <c r="DS28" s="229">
        <v>-9.0899999999999995E-2</v>
      </c>
      <c r="DT28" s="231">
        <v>2700</v>
      </c>
      <c r="DU28" s="231">
        <v>2600</v>
      </c>
      <c r="DV28" s="228">
        <v>0.92</v>
      </c>
      <c r="DW28" s="228">
        <v>0.88</v>
      </c>
      <c r="DX28" s="228">
        <v>0.04</v>
      </c>
      <c r="DY28" s="229">
        <v>4.5499999999999999E-2</v>
      </c>
      <c r="DZ28" s="229">
        <v>0</v>
      </c>
      <c r="EA28" s="228">
        <v>0</v>
      </c>
      <c r="EB28" s="229">
        <v>0</v>
      </c>
      <c r="EC28" s="229">
        <v>0</v>
      </c>
      <c r="ED28" s="228">
        <v>0</v>
      </c>
      <c r="EE28" s="229">
        <v>0</v>
      </c>
      <c r="EF28" s="230">
        <v>210999</v>
      </c>
      <c r="EG28" s="230">
        <v>211253</v>
      </c>
      <c r="EH28" s="229">
        <v>-1.1999999999999999E-3</v>
      </c>
      <c r="EI28" s="229">
        <v>0.53</v>
      </c>
      <c r="EJ28" s="231">
        <v>27090.53</v>
      </c>
      <c r="EK28" s="231">
        <v>24191.47</v>
      </c>
      <c r="EL28" s="231">
        <v>19717.64</v>
      </c>
      <c r="EM28" s="228">
        <v>0</v>
      </c>
      <c r="EN28" s="231">
        <v>70999.64</v>
      </c>
      <c r="EO28" s="231">
        <v>69901.58</v>
      </c>
      <c r="EP28" s="231">
        <v>1098.06</v>
      </c>
      <c r="EQ28" s="229">
        <v>1.5699999999999999E-2</v>
      </c>
      <c r="ER28" s="228">
        <v>0</v>
      </c>
      <c r="ES28" s="228">
        <v>0</v>
      </c>
      <c r="ET28" s="228">
        <v>0</v>
      </c>
      <c r="EU28" s="231">
        <v>16125398</v>
      </c>
      <c r="EV28" s="228">
        <v>0</v>
      </c>
      <c r="EW28" s="231">
        <v>68385</v>
      </c>
      <c r="EX28" s="231">
        <v>-68385</v>
      </c>
      <c r="EY28" s="229">
        <v>-1</v>
      </c>
      <c r="EZ28" s="229">
        <v>8.5000000000000006E-2</v>
      </c>
      <c r="FA28" s="227" t="s">
        <v>237</v>
      </c>
      <c r="FB28" s="161">
        <f t="shared" si="0"/>
        <v>-650700</v>
      </c>
    </row>
    <row r="29" spans="1:158" ht="17.25" thickBot="1" x14ac:dyDescent="0.3">
      <c r="A29" s="226">
        <v>45869</v>
      </c>
      <c r="B29" s="227" t="s">
        <v>172</v>
      </c>
      <c r="C29" s="227" t="s">
        <v>179</v>
      </c>
      <c r="D29" s="228">
        <v>3600</v>
      </c>
      <c r="E29" s="228">
        <v>167.52</v>
      </c>
      <c r="F29" s="228">
        <v>167.85</v>
      </c>
      <c r="G29" s="228">
        <v>-0.33</v>
      </c>
      <c r="H29" s="229">
        <v>-2E-3</v>
      </c>
      <c r="I29" s="228">
        <v>168.08</v>
      </c>
      <c r="J29" s="228">
        <v>168.27</v>
      </c>
      <c r="K29" s="228">
        <v>-0.19</v>
      </c>
      <c r="L29" s="229">
        <v>-1.1000000000000001E-3</v>
      </c>
      <c r="M29" s="228">
        <v>168.13</v>
      </c>
      <c r="N29" s="228">
        <v>168.66</v>
      </c>
      <c r="O29" s="228">
        <v>-0.53</v>
      </c>
      <c r="P29" s="229">
        <v>-3.0999999999999999E-3</v>
      </c>
      <c r="Q29" s="228">
        <v>167.52</v>
      </c>
      <c r="R29" s="228">
        <v>167.85</v>
      </c>
      <c r="S29" s="228">
        <v>-0.33</v>
      </c>
      <c r="T29" s="229">
        <v>-2E-3</v>
      </c>
      <c r="U29" s="228">
        <v>168.71</v>
      </c>
      <c r="V29" s="228">
        <v>168.96</v>
      </c>
      <c r="W29" s="228">
        <v>-0.25</v>
      </c>
      <c r="X29" s="229">
        <v>-1.5E-3</v>
      </c>
      <c r="Y29" s="228">
        <v>-0.56000000000000005</v>
      </c>
      <c r="Z29" s="228">
        <v>0.39</v>
      </c>
      <c r="AA29" s="228">
        <v>-0.95</v>
      </c>
      <c r="AB29" s="229">
        <v>-3.3E-3</v>
      </c>
      <c r="AC29" s="228">
        <v>0.05</v>
      </c>
      <c r="AD29" s="228">
        <v>0.39</v>
      </c>
      <c r="AE29" s="228">
        <v>-0.34</v>
      </c>
      <c r="AF29" s="229">
        <v>2.9999999999999997E-4</v>
      </c>
      <c r="AG29" s="228">
        <v>-0.56000000000000005</v>
      </c>
      <c r="AH29" s="228">
        <v>-0.42</v>
      </c>
      <c r="AI29" s="228">
        <v>-0.14000000000000001</v>
      </c>
      <c r="AJ29" s="229">
        <v>-3.3E-3</v>
      </c>
      <c r="AK29" s="228">
        <v>0.63</v>
      </c>
      <c r="AL29" s="228">
        <v>0.69</v>
      </c>
      <c r="AM29" s="228">
        <v>-0.06</v>
      </c>
      <c r="AN29" s="229">
        <v>3.7000000000000002E-3</v>
      </c>
      <c r="AO29" s="228">
        <v>168.51</v>
      </c>
      <c r="AP29" s="228">
        <v>167.81</v>
      </c>
      <c r="AQ29" s="228">
        <v>0</v>
      </c>
      <c r="AR29" s="230">
        <v>47134800</v>
      </c>
      <c r="AS29" s="230">
        <v>43048800</v>
      </c>
      <c r="AT29" s="230">
        <v>4086000</v>
      </c>
      <c r="AU29" s="229">
        <v>9.4899999999999998E-2</v>
      </c>
      <c r="AV29" s="230">
        <v>20052000</v>
      </c>
      <c r="AW29" s="230">
        <v>18734400</v>
      </c>
      <c r="AX29" s="230">
        <v>1317600</v>
      </c>
      <c r="AY29" s="229">
        <v>7.0300000000000001E-2</v>
      </c>
      <c r="AZ29" s="230">
        <v>26175600</v>
      </c>
      <c r="BA29" s="230">
        <v>23616000</v>
      </c>
      <c r="BB29" s="230">
        <v>2559600</v>
      </c>
      <c r="BC29" s="229">
        <v>0.1084</v>
      </c>
      <c r="BD29" s="230">
        <v>907200</v>
      </c>
      <c r="BE29" s="230">
        <v>698400</v>
      </c>
      <c r="BF29" s="230">
        <v>208800</v>
      </c>
      <c r="BG29" s="229">
        <v>0.29899999999999999</v>
      </c>
      <c r="BH29" s="230">
        <v>18187200</v>
      </c>
      <c r="BI29" s="230">
        <v>25423200</v>
      </c>
      <c r="BJ29" s="230">
        <v>-7236000</v>
      </c>
      <c r="BK29" s="229">
        <v>-0.28460000000000002</v>
      </c>
      <c r="BL29" s="230">
        <v>13705200</v>
      </c>
      <c r="BM29" s="230">
        <v>16239600</v>
      </c>
      <c r="BN29" s="230">
        <v>-2534400</v>
      </c>
      <c r="BO29" s="229">
        <v>-0.15609999999999999</v>
      </c>
      <c r="BP29" s="230">
        <v>79027200</v>
      </c>
      <c r="BQ29" s="230">
        <v>84711600</v>
      </c>
      <c r="BR29" s="230">
        <v>-5684400</v>
      </c>
      <c r="BS29" s="229">
        <v>-6.7100000000000007E-2</v>
      </c>
      <c r="BT29" s="230">
        <v>7904311</v>
      </c>
      <c r="BU29" s="230">
        <v>5614671</v>
      </c>
      <c r="BV29" s="230">
        <v>2289640</v>
      </c>
      <c r="BW29" s="229">
        <v>0.4078</v>
      </c>
      <c r="BX29" s="230">
        <v>82087200</v>
      </c>
      <c r="BY29" s="230">
        <v>85654800</v>
      </c>
      <c r="BZ29" s="230">
        <v>-3567600</v>
      </c>
      <c r="CA29" s="229">
        <v>-4.1700000000000001E-2</v>
      </c>
      <c r="CB29" s="230">
        <v>3024000</v>
      </c>
      <c r="CC29" s="230">
        <v>14504400</v>
      </c>
      <c r="CD29" s="230">
        <v>-11480400</v>
      </c>
      <c r="CE29" s="229">
        <v>-0.79149999999999998</v>
      </c>
      <c r="CF29" s="230">
        <v>79567200</v>
      </c>
      <c r="CG29" s="230">
        <v>69170400</v>
      </c>
      <c r="CH29" s="230">
        <v>10396800</v>
      </c>
      <c r="CI29" s="229">
        <v>0.15029999999999999</v>
      </c>
      <c r="CJ29" s="230">
        <v>2520000</v>
      </c>
      <c r="CK29" s="230">
        <v>1980000</v>
      </c>
      <c r="CL29" s="230">
        <v>540000</v>
      </c>
      <c r="CM29" s="229">
        <v>0.2727</v>
      </c>
      <c r="CN29" s="230">
        <v>13996800</v>
      </c>
      <c r="CO29" s="230">
        <v>39114000</v>
      </c>
      <c r="CP29" s="230">
        <v>-25117200</v>
      </c>
      <c r="CQ29" s="229">
        <v>-0.64219999999999999</v>
      </c>
      <c r="CR29" s="230">
        <v>11221200</v>
      </c>
      <c r="CS29" s="230">
        <v>20512800</v>
      </c>
      <c r="CT29" s="230">
        <v>-9291600</v>
      </c>
      <c r="CU29" s="229">
        <v>-0.45300000000000001</v>
      </c>
      <c r="CV29" s="230">
        <v>107305200</v>
      </c>
      <c r="CW29" s="230">
        <v>145281600</v>
      </c>
      <c r="CX29" s="230">
        <v>-37976400</v>
      </c>
      <c r="CY29" s="229">
        <v>-0.26140000000000002</v>
      </c>
      <c r="CZ29" s="228">
        <v>33.520000000000003</v>
      </c>
      <c r="DA29" s="228">
        <v>34.450000000000003</v>
      </c>
      <c r="DB29" s="228">
        <v>-0.93</v>
      </c>
      <c r="DC29" s="228">
        <v>-0.93</v>
      </c>
      <c r="DD29" s="228">
        <v>44.25</v>
      </c>
      <c r="DE29" s="228">
        <v>44.36</v>
      </c>
      <c r="DF29" s="228">
        <v>-10.73</v>
      </c>
      <c r="DG29" s="228">
        <v>-0.11</v>
      </c>
      <c r="DH29" s="228">
        <v>33.86</v>
      </c>
      <c r="DI29" s="228">
        <v>34.909999999999997</v>
      </c>
      <c r="DJ29" s="228">
        <v>-1.05</v>
      </c>
      <c r="DK29" s="228">
        <v>-1.05</v>
      </c>
      <c r="DL29" s="228">
        <v>32.94</v>
      </c>
      <c r="DM29" s="228">
        <v>33.64</v>
      </c>
      <c r="DN29" s="228">
        <v>-0.7</v>
      </c>
      <c r="DO29" s="228">
        <v>-0.7</v>
      </c>
      <c r="DP29" s="228">
        <v>0.8</v>
      </c>
      <c r="DQ29" s="228">
        <v>0.52</v>
      </c>
      <c r="DR29" s="228">
        <v>0.28000000000000003</v>
      </c>
      <c r="DS29" s="229">
        <v>0.53849999999999998</v>
      </c>
      <c r="DT29" s="228">
        <v>190</v>
      </c>
      <c r="DU29" s="228">
        <v>170</v>
      </c>
      <c r="DV29" s="228">
        <v>0.75</v>
      </c>
      <c r="DW29" s="228">
        <v>0.64</v>
      </c>
      <c r="DX29" s="228">
        <v>0.11</v>
      </c>
      <c r="DY29" s="229">
        <v>0.1719</v>
      </c>
      <c r="DZ29" s="229">
        <v>0.96450000000000002</v>
      </c>
      <c r="EA29" s="230">
        <v>71150400</v>
      </c>
      <c r="EB29" s="229">
        <v>-3.5999999999999999E-3</v>
      </c>
      <c r="EC29" s="229">
        <v>0.96450000000000002</v>
      </c>
      <c r="ED29" s="228">
        <v>-0.7</v>
      </c>
      <c r="EE29" s="229">
        <v>-4.1999999999999997E-3</v>
      </c>
      <c r="EF29" s="230">
        <v>3549375</v>
      </c>
      <c r="EG29" s="230">
        <v>2479255</v>
      </c>
      <c r="EH29" s="229">
        <v>0.43159999999999998</v>
      </c>
      <c r="EI29" s="229">
        <v>0.44900000000000001</v>
      </c>
      <c r="EJ29" s="231">
        <v>32618.59</v>
      </c>
      <c r="EK29" s="231">
        <v>24019.53</v>
      </c>
      <c r="EL29" s="231">
        <v>79243.31</v>
      </c>
      <c r="EM29" s="228">
        <v>0</v>
      </c>
      <c r="EN29" s="231">
        <v>135881.43</v>
      </c>
      <c r="EO29" s="231">
        <v>148432.19</v>
      </c>
      <c r="EP29" s="231">
        <v>-12550.76</v>
      </c>
      <c r="EQ29" s="229">
        <v>-8.4599999999999995E-2</v>
      </c>
      <c r="ER29" s="231">
        <v>25592</v>
      </c>
      <c r="ES29" s="231">
        <v>19227</v>
      </c>
      <c r="ET29" s="231">
        <v>137542</v>
      </c>
      <c r="EU29" s="231">
        <v>193371109</v>
      </c>
      <c r="EV29" s="231">
        <v>182361</v>
      </c>
      <c r="EW29" s="231">
        <v>253912</v>
      </c>
      <c r="EX29" s="231">
        <v>-71551</v>
      </c>
      <c r="EY29" s="229">
        <v>-0.28179999999999999</v>
      </c>
      <c r="EZ29" s="229">
        <v>0.55489999999999995</v>
      </c>
      <c r="FA29" s="227" t="s">
        <v>568</v>
      </c>
      <c r="FB29" s="161">
        <f t="shared" si="0"/>
        <v>79063200</v>
      </c>
    </row>
    <row r="30" spans="1:158" ht="17.25" thickBot="1" x14ac:dyDescent="0.3">
      <c r="A30" s="226">
        <v>45869</v>
      </c>
      <c r="B30" s="227" t="s">
        <v>172</v>
      </c>
      <c r="C30" s="227" t="s">
        <v>180</v>
      </c>
      <c r="D30" s="228">
        <v>2925</v>
      </c>
      <c r="E30" s="228">
        <v>239.02</v>
      </c>
      <c r="F30" s="228">
        <v>241.03</v>
      </c>
      <c r="G30" s="228">
        <v>-2.0099999999999998</v>
      </c>
      <c r="H30" s="229">
        <v>-8.3000000000000001E-3</v>
      </c>
      <c r="I30" s="228">
        <v>237.87</v>
      </c>
      <c r="J30" s="228">
        <v>239.67</v>
      </c>
      <c r="K30" s="228">
        <v>-1.8</v>
      </c>
      <c r="L30" s="229">
        <v>-7.4999999999999997E-3</v>
      </c>
      <c r="M30" s="228">
        <v>237.86</v>
      </c>
      <c r="N30" s="228">
        <v>239.81</v>
      </c>
      <c r="O30" s="228">
        <v>-1.95</v>
      </c>
      <c r="P30" s="229">
        <v>-8.0999999999999996E-3</v>
      </c>
      <c r="Q30" s="228">
        <v>239.02</v>
      </c>
      <c r="R30" s="228">
        <v>241.03</v>
      </c>
      <c r="S30" s="228">
        <v>-2.0099999999999998</v>
      </c>
      <c r="T30" s="229">
        <v>-8.3000000000000001E-3</v>
      </c>
      <c r="U30" s="228">
        <v>240.57</v>
      </c>
      <c r="V30" s="228">
        <v>242.47</v>
      </c>
      <c r="W30" s="228">
        <v>-1.9</v>
      </c>
      <c r="X30" s="229">
        <v>-7.7999999999999996E-3</v>
      </c>
      <c r="Y30" s="228">
        <v>1.1499999999999999</v>
      </c>
      <c r="Z30" s="228">
        <v>0.14000000000000001</v>
      </c>
      <c r="AA30" s="228">
        <v>1.01</v>
      </c>
      <c r="AB30" s="229">
        <v>4.7999999999999996E-3</v>
      </c>
      <c r="AC30" s="228">
        <v>-0.01</v>
      </c>
      <c r="AD30" s="228">
        <v>0.14000000000000001</v>
      </c>
      <c r="AE30" s="228">
        <v>-0.15</v>
      </c>
      <c r="AF30" s="229">
        <v>0</v>
      </c>
      <c r="AG30" s="228">
        <v>1.1499999999999999</v>
      </c>
      <c r="AH30" s="228">
        <v>1.36</v>
      </c>
      <c r="AI30" s="228">
        <v>-0.21</v>
      </c>
      <c r="AJ30" s="229">
        <v>4.7999999999999996E-3</v>
      </c>
      <c r="AK30" s="228">
        <v>2.7</v>
      </c>
      <c r="AL30" s="228">
        <v>2.8</v>
      </c>
      <c r="AM30" s="228">
        <v>-0.1</v>
      </c>
      <c r="AN30" s="229">
        <v>1.14E-2</v>
      </c>
      <c r="AO30" s="228">
        <v>238.72</v>
      </c>
      <c r="AP30" s="228">
        <v>239.83</v>
      </c>
      <c r="AQ30" s="228">
        <v>0</v>
      </c>
      <c r="AR30" s="230">
        <v>51058800</v>
      </c>
      <c r="AS30" s="230">
        <v>54024750</v>
      </c>
      <c r="AT30" s="230">
        <v>-2965950</v>
      </c>
      <c r="AU30" s="229">
        <v>-5.4899999999999997E-2</v>
      </c>
      <c r="AV30" s="230">
        <v>19030050</v>
      </c>
      <c r="AW30" s="230">
        <v>25195950</v>
      </c>
      <c r="AX30" s="230">
        <v>-6165900</v>
      </c>
      <c r="AY30" s="229">
        <v>-0.2447</v>
      </c>
      <c r="AZ30" s="230">
        <v>31262400</v>
      </c>
      <c r="BA30" s="230">
        <v>28439775</v>
      </c>
      <c r="BB30" s="230">
        <v>2822625</v>
      </c>
      <c r="BC30" s="229">
        <v>9.9199999999999997E-2</v>
      </c>
      <c r="BD30" s="230">
        <v>766350</v>
      </c>
      <c r="BE30" s="230">
        <v>389025</v>
      </c>
      <c r="BF30" s="230">
        <v>377325</v>
      </c>
      <c r="BG30" s="229">
        <v>0.96989999999999998</v>
      </c>
      <c r="BH30" s="230">
        <v>31920525</v>
      </c>
      <c r="BI30" s="230">
        <v>38270700</v>
      </c>
      <c r="BJ30" s="230">
        <v>-6350175</v>
      </c>
      <c r="BK30" s="229">
        <v>-0.16589999999999999</v>
      </c>
      <c r="BL30" s="230">
        <v>25470900</v>
      </c>
      <c r="BM30" s="230">
        <v>25389000</v>
      </c>
      <c r="BN30" s="230">
        <v>81900</v>
      </c>
      <c r="BO30" s="229">
        <v>3.2000000000000002E-3</v>
      </c>
      <c r="BP30" s="230">
        <v>108450225</v>
      </c>
      <c r="BQ30" s="230">
        <v>117684450</v>
      </c>
      <c r="BR30" s="230">
        <v>-9234225</v>
      </c>
      <c r="BS30" s="229">
        <v>-7.85E-2</v>
      </c>
      <c r="BT30" s="230">
        <v>6039740</v>
      </c>
      <c r="BU30" s="230">
        <v>3228147</v>
      </c>
      <c r="BV30" s="230">
        <v>2811593</v>
      </c>
      <c r="BW30" s="229">
        <v>0.871</v>
      </c>
      <c r="BX30" s="230">
        <v>103784850</v>
      </c>
      <c r="BY30" s="230">
        <v>107347500</v>
      </c>
      <c r="BZ30" s="230">
        <v>-3562650</v>
      </c>
      <c r="CA30" s="229">
        <v>-3.32E-2</v>
      </c>
      <c r="CB30" s="230">
        <v>5452200</v>
      </c>
      <c r="CC30" s="230">
        <v>16517475</v>
      </c>
      <c r="CD30" s="230">
        <v>-11065275</v>
      </c>
      <c r="CE30" s="229">
        <v>-0.66990000000000005</v>
      </c>
      <c r="CF30" s="230">
        <v>102351600</v>
      </c>
      <c r="CG30" s="230">
        <v>89765325</v>
      </c>
      <c r="CH30" s="230">
        <v>12586275</v>
      </c>
      <c r="CI30" s="229">
        <v>0.14019999999999999</v>
      </c>
      <c r="CJ30" s="230">
        <v>1433250</v>
      </c>
      <c r="CK30" s="230">
        <v>1064700</v>
      </c>
      <c r="CL30" s="230">
        <v>368550</v>
      </c>
      <c r="CM30" s="229">
        <v>0.34620000000000001</v>
      </c>
      <c r="CN30" s="230">
        <v>23628150</v>
      </c>
      <c r="CO30" s="230">
        <v>45954675</v>
      </c>
      <c r="CP30" s="230">
        <v>-22326525</v>
      </c>
      <c r="CQ30" s="229">
        <v>-0.48580000000000001</v>
      </c>
      <c r="CR30" s="230">
        <v>24122475</v>
      </c>
      <c r="CS30" s="230">
        <v>40599000</v>
      </c>
      <c r="CT30" s="230">
        <v>-16476525</v>
      </c>
      <c r="CU30" s="229">
        <v>-0.40579999999999999</v>
      </c>
      <c r="CV30" s="230">
        <v>151535475</v>
      </c>
      <c r="CW30" s="230">
        <v>193901175</v>
      </c>
      <c r="CX30" s="230">
        <v>-42365700</v>
      </c>
      <c r="CY30" s="229">
        <v>-0.2185</v>
      </c>
      <c r="CZ30" s="228">
        <v>24.16</v>
      </c>
      <c r="DA30" s="228">
        <v>24.21</v>
      </c>
      <c r="DB30" s="228">
        <v>-0.05</v>
      </c>
      <c r="DC30" s="228">
        <v>-0.05</v>
      </c>
      <c r="DD30" s="228">
        <v>38.28</v>
      </c>
      <c r="DE30" s="228">
        <v>38.36</v>
      </c>
      <c r="DF30" s="228">
        <v>-14.12</v>
      </c>
      <c r="DG30" s="228">
        <v>-0.08</v>
      </c>
      <c r="DH30" s="228">
        <v>24.44</v>
      </c>
      <c r="DI30" s="228">
        <v>24.36</v>
      </c>
      <c r="DJ30" s="228">
        <v>0.08</v>
      </c>
      <c r="DK30" s="228">
        <v>0.08</v>
      </c>
      <c r="DL30" s="228">
        <v>23.81</v>
      </c>
      <c r="DM30" s="228">
        <v>23.96</v>
      </c>
      <c r="DN30" s="228">
        <v>-0.15</v>
      </c>
      <c r="DO30" s="228">
        <v>-0.15</v>
      </c>
      <c r="DP30" s="228">
        <v>1.02</v>
      </c>
      <c r="DQ30" s="228">
        <v>0.88</v>
      </c>
      <c r="DR30" s="228">
        <v>0.14000000000000001</v>
      </c>
      <c r="DS30" s="229">
        <v>0.15909999999999999</v>
      </c>
      <c r="DT30" s="228">
        <v>250</v>
      </c>
      <c r="DU30" s="228">
        <v>220</v>
      </c>
      <c r="DV30" s="228">
        <v>0.8</v>
      </c>
      <c r="DW30" s="228">
        <v>0.66</v>
      </c>
      <c r="DX30" s="228">
        <v>0.14000000000000001</v>
      </c>
      <c r="DY30" s="229">
        <v>0.21210000000000001</v>
      </c>
      <c r="DZ30" s="229">
        <v>0.95009999999999994</v>
      </c>
      <c r="EA30" s="230">
        <v>90830025</v>
      </c>
      <c r="EB30" s="229">
        <v>4.8999999999999998E-3</v>
      </c>
      <c r="EC30" s="229">
        <v>0.95009999999999994</v>
      </c>
      <c r="ED30" s="228">
        <v>1.1100000000000001</v>
      </c>
      <c r="EE30" s="229">
        <v>4.5999999999999999E-3</v>
      </c>
      <c r="EF30" s="230">
        <v>1984387</v>
      </c>
      <c r="EG30" s="230">
        <v>1132876</v>
      </c>
      <c r="EH30" s="229">
        <v>0.75160000000000005</v>
      </c>
      <c r="EI30" s="229">
        <v>0.3286</v>
      </c>
      <c r="EJ30" s="231">
        <v>79508.7</v>
      </c>
      <c r="EK30" s="231">
        <v>61629.8</v>
      </c>
      <c r="EL30" s="231">
        <v>122253.43</v>
      </c>
      <c r="EM30" s="228">
        <v>0</v>
      </c>
      <c r="EN30" s="231">
        <v>263391.93</v>
      </c>
      <c r="EO30" s="231">
        <v>287801.8</v>
      </c>
      <c r="EP30" s="231">
        <v>-24409.87</v>
      </c>
      <c r="EQ30" s="229">
        <v>-8.48E-2</v>
      </c>
      <c r="ER30" s="231">
        <v>58325</v>
      </c>
      <c r="ES30" s="231">
        <v>57846</v>
      </c>
      <c r="ET30" s="231">
        <v>248089</v>
      </c>
      <c r="EU30" s="231">
        <v>372635498</v>
      </c>
      <c r="EV30" s="231">
        <v>364259</v>
      </c>
      <c r="EW30" s="231">
        <v>469669</v>
      </c>
      <c r="EX30" s="231">
        <v>-105410</v>
      </c>
      <c r="EY30" s="229">
        <v>-0.22439999999999999</v>
      </c>
      <c r="EZ30" s="229">
        <v>0.40670000000000001</v>
      </c>
      <c r="FA30" s="227" t="s">
        <v>568</v>
      </c>
      <c r="FB30" s="161">
        <f t="shared" si="0"/>
        <v>98332650</v>
      </c>
    </row>
    <row r="31" spans="1:158" ht="17.25" thickBot="1" x14ac:dyDescent="0.3">
      <c r="A31" s="226">
        <v>45869</v>
      </c>
      <c r="B31" s="227" t="s">
        <v>172</v>
      </c>
      <c r="C31" s="227" t="s">
        <v>603</v>
      </c>
      <c r="D31" s="228">
        <v>5200</v>
      </c>
      <c r="E31" s="228">
        <v>111.89</v>
      </c>
      <c r="F31" s="228">
        <v>114.76</v>
      </c>
      <c r="G31" s="228">
        <v>-2.87</v>
      </c>
      <c r="H31" s="229">
        <v>-2.5000000000000001E-2</v>
      </c>
      <c r="I31" s="228">
        <v>111.38</v>
      </c>
      <c r="J31" s="228">
        <v>114.14</v>
      </c>
      <c r="K31" s="228">
        <v>-2.76</v>
      </c>
      <c r="L31" s="229">
        <v>-2.4199999999999999E-2</v>
      </c>
      <c r="M31" s="228">
        <v>111.41</v>
      </c>
      <c r="N31" s="228">
        <v>114.52</v>
      </c>
      <c r="O31" s="228">
        <v>-3.11</v>
      </c>
      <c r="P31" s="229">
        <v>-2.7199999999999998E-2</v>
      </c>
      <c r="Q31" s="228">
        <v>111.89</v>
      </c>
      <c r="R31" s="228">
        <v>114.76</v>
      </c>
      <c r="S31" s="228">
        <v>-2.87</v>
      </c>
      <c r="T31" s="229">
        <v>-2.5000000000000001E-2</v>
      </c>
      <c r="U31" s="228">
        <v>112.4</v>
      </c>
      <c r="V31" s="228">
        <v>115.24</v>
      </c>
      <c r="W31" s="228">
        <v>-2.84</v>
      </c>
      <c r="X31" s="229">
        <v>-2.46E-2</v>
      </c>
      <c r="Y31" s="228">
        <v>0.51</v>
      </c>
      <c r="Z31" s="228">
        <v>0.38</v>
      </c>
      <c r="AA31" s="228">
        <v>0.13</v>
      </c>
      <c r="AB31" s="229">
        <v>4.5999999999999999E-3</v>
      </c>
      <c r="AC31" s="228">
        <v>0.03</v>
      </c>
      <c r="AD31" s="228">
        <v>0.38</v>
      </c>
      <c r="AE31" s="228">
        <v>-0.35</v>
      </c>
      <c r="AF31" s="229">
        <v>2.9999999999999997E-4</v>
      </c>
      <c r="AG31" s="228">
        <v>0.51</v>
      </c>
      <c r="AH31" s="228">
        <v>0.62</v>
      </c>
      <c r="AI31" s="228">
        <v>-0.11</v>
      </c>
      <c r="AJ31" s="229">
        <v>4.5999999999999999E-3</v>
      </c>
      <c r="AK31" s="228">
        <v>1.02</v>
      </c>
      <c r="AL31" s="228">
        <v>1.1000000000000001</v>
      </c>
      <c r="AM31" s="228">
        <v>-0.08</v>
      </c>
      <c r="AN31" s="229">
        <v>9.1999999999999998E-3</v>
      </c>
      <c r="AO31" s="228">
        <v>112.1</v>
      </c>
      <c r="AP31" s="228">
        <v>112.71</v>
      </c>
      <c r="AQ31" s="228">
        <v>0</v>
      </c>
      <c r="AR31" s="230">
        <v>56414800</v>
      </c>
      <c r="AS31" s="230">
        <v>75316800</v>
      </c>
      <c r="AT31" s="230">
        <v>-18902000</v>
      </c>
      <c r="AU31" s="229">
        <v>-0.251</v>
      </c>
      <c r="AV31" s="230">
        <v>21309600</v>
      </c>
      <c r="AW31" s="230">
        <v>33306000</v>
      </c>
      <c r="AX31" s="230">
        <v>-11996400</v>
      </c>
      <c r="AY31" s="229">
        <v>-0.36020000000000002</v>
      </c>
      <c r="AZ31" s="230">
        <v>34252400</v>
      </c>
      <c r="BA31" s="230">
        <v>41059200</v>
      </c>
      <c r="BB31" s="230">
        <v>-6806800</v>
      </c>
      <c r="BC31" s="229">
        <v>-0.1658</v>
      </c>
      <c r="BD31" s="230">
        <v>852800</v>
      </c>
      <c r="BE31" s="230">
        <v>951600</v>
      </c>
      <c r="BF31" s="230">
        <v>-98800</v>
      </c>
      <c r="BG31" s="229">
        <v>-0.1038</v>
      </c>
      <c r="BH31" s="230">
        <v>21918000</v>
      </c>
      <c r="BI31" s="230">
        <v>59540000</v>
      </c>
      <c r="BJ31" s="230">
        <v>-37622000</v>
      </c>
      <c r="BK31" s="229">
        <v>-0.63190000000000002</v>
      </c>
      <c r="BL31" s="230">
        <v>13416000</v>
      </c>
      <c r="BM31" s="230">
        <v>33831200</v>
      </c>
      <c r="BN31" s="230">
        <v>-20415200</v>
      </c>
      <c r="BO31" s="229">
        <v>-0.60340000000000005</v>
      </c>
      <c r="BP31" s="230">
        <v>91748800</v>
      </c>
      <c r="BQ31" s="230">
        <v>168688000</v>
      </c>
      <c r="BR31" s="230">
        <v>-76939200</v>
      </c>
      <c r="BS31" s="229">
        <v>-0.45610000000000001</v>
      </c>
      <c r="BT31" s="230">
        <v>8509195</v>
      </c>
      <c r="BU31" s="230">
        <v>23423436</v>
      </c>
      <c r="BV31" s="230">
        <v>-14914241</v>
      </c>
      <c r="BW31" s="229">
        <v>-0.63670000000000004</v>
      </c>
      <c r="BX31" s="230">
        <v>64194000</v>
      </c>
      <c r="BY31" s="230">
        <v>63611600</v>
      </c>
      <c r="BZ31" s="230">
        <v>582400</v>
      </c>
      <c r="CA31" s="229">
        <v>9.1999999999999998E-3</v>
      </c>
      <c r="CB31" s="230">
        <v>2740400</v>
      </c>
      <c r="CC31" s="230">
        <v>13213200</v>
      </c>
      <c r="CD31" s="230">
        <v>-10472800</v>
      </c>
      <c r="CE31" s="229">
        <v>-0.79259999999999997</v>
      </c>
      <c r="CF31" s="230">
        <v>62316800</v>
      </c>
      <c r="CG31" s="230">
        <v>48947600</v>
      </c>
      <c r="CH31" s="230">
        <v>13369200</v>
      </c>
      <c r="CI31" s="229">
        <v>0.27310000000000001</v>
      </c>
      <c r="CJ31" s="230">
        <v>1877200</v>
      </c>
      <c r="CK31" s="230">
        <v>1450800</v>
      </c>
      <c r="CL31" s="230">
        <v>426400</v>
      </c>
      <c r="CM31" s="229">
        <v>0.29389999999999999</v>
      </c>
      <c r="CN31" s="230">
        <v>11892400</v>
      </c>
      <c r="CO31" s="230">
        <v>34751600</v>
      </c>
      <c r="CP31" s="230">
        <v>-22859200</v>
      </c>
      <c r="CQ31" s="229">
        <v>-0.65780000000000005</v>
      </c>
      <c r="CR31" s="230">
        <v>9521200</v>
      </c>
      <c r="CS31" s="230">
        <v>21470800</v>
      </c>
      <c r="CT31" s="230">
        <v>-11949600</v>
      </c>
      <c r="CU31" s="229">
        <v>-0.55659999999999998</v>
      </c>
      <c r="CV31" s="230">
        <v>85607600</v>
      </c>
      <c r="CW31" s="230">
        <v>119834000</v>
      </c>
      <c r="CX31" s="230">
        <v>-34226400</v>
      </c>
      <c r="CY31" s="229">
        <v>-0.28560000000000002</v>
      </c>
      <c r="CZ31" s="228">
        <v>30.26</v>
      </c>
      <c r="DA31" s="228">
        <v>30.8</v>
      </c>
      <c r="DB31" s="228">
        <v>-0.54</v>
      </c>
      <c r="DC31" s="228">
        <v>-0.54</v>
      </c>
      <c r="DD31" s="228">
        <v>42.16</v>
      </c>
      <c r="DE31" s="228">
        <v>42.13</v>
      </c>
      <c r="DF31" s="228">
        <v>-11.9</v>
      </c>
      <c r="DG31" s="228">
        <v>0.03</v>
      </c>
      <c r="DH31" s="228">
        <v>30.7</v>
      </c>
      <c r="DI31" s="228">
        <v>30.36</v>
      </c>
      <c r="DJ31" s="228">
        <v>0.34</v>
      </c>
      <c r="DK31" s="228">
        <v>0.34</v>
      </c>
      <c r="DL31" s="228">
        <v>29.51</v>
      </c>
      <c r="DM31" s="228">
        <v>31.65</v>
      </c>
      <c r="DN31" s="228">
        <v>-2.14</v>
      </c>
      <c r="DO31" s="228">
        <v>-2.14</v>
      </c>
      <c r="DP31" s="228">
        <v>0.8</v>
      </c>
      <c r="DQ31" s="228">
        <v>0.62</v>
      </c>
      <c r="DR31" s="228">
        <v>0.18</v>
      </c>
      <c r="DS31" s="229">
        <v>0.2903</v>
      </c>
      <c r="DT31" s="228">
        <v>115</v>
      </c>
      <c r="DU31" s="228">
        <v>110</v>
      </c>
      <c r="DV31" s="228">
        <v>0.61</v>
      </c>
      <c r="DW31" s="228">
        <v>0.56999999999999995</v>
      </c>
      <c r="DX31" s="228">
        <v>0.04</v>
      </c>
      <c r="DY31" s="229">
        <v>7.0199999999999999E-2</v>
      </c>
      <c r="DZ31" s="229">
        <v>0.95909999999999995</v>
      </c>
      <c r="EA31" s="230">
        <v>50398400</v>
      </c>
      <c r="EB31" s="229">
        <v>4.3E-3</v>
      </c>
      <c r="EC31" s="229">
        <v>0.95909999999999995</v>
      </c>
      <c r="ED31" s="228">
        <v>0.61</v>
      </c>
      <c r="EE31" s="229">
        <v>5.4000000000000003E-3</v>
      </c>
      <c r="EF31" s="230">
        <v>2903711</v>
      </c>
      <c r="EG31" s="230">
        <v>6842574</v>
      </c>
      <c r="EH31" s="229">
        <v>-0.5756</v>
      </c>
      <c r="EI31" s="229">
        <v>0.3412</v>
      </c>
      <c r="EJ31" s="231">
        <v>25961.89</v>
      </c>
      <c r="EK31" s="231">
        <v>15312.11</v>
      </c>
      <c r="EL31" s="231">
        <v>63459.92</v>
      </c>
      <c r="EM31" s="228">
        <v>0</v>
      </c>
      <c r="EN31" s="231">
        <v>104733.92</v>
      </c>
      <c r="EO31" s="231">
        <v>196588.31</v>
      </c>
      <c r="EP31" s="231">
        <v>-91854.39</v>
      </c>
      <c r="EQ31" s="229">
        <v>-0.4672</v>
      </c>
      <c r="ER31" s="231">
        <v>13998</v>
      </c>
      <c r="ES31" s="231">
        <v>10461</v>
      </c>
      <c r="ET31" s="231">
        <v>71836</v>
      </c>
      <c r="EU31" s="231">
        <v>242361229</v>
      </c>
      <c r="EV31" s="231">
        <v>96295</v>
      </c>
      <c r="EW31" s="231">
        <v>138945</v>
      </c>
      <c r="EX31" s="231">
        <v>-42650</v>
      </c>
      <c r="EY31" s="229">
        <v>-0.307</v>
      </c>
      <c r="EZ31" s="229">
        <v>0.35320000000000001</v>
      </c>
      <c r="FA31" s="227" t="s">
        <v>567</v>
      </c>
      <c r="FB31" s="161">
        <f t="shared" si="0"/>
        <v>61453600</v>
      </c>
    </row>
    <row r="32" spans="1:158" ht="17.25" thickBot="1" x14ac:dyDescent="0.3">
      <c r="A32" s="226">
        <v>45869</v>
      </c>
      <c r="B32" s="227" t="s">
        <v>181</v>
      </c>
      <c r="C32" s="227" t="s">
        <v>182</v>
      </c>
      <c r="D32" s="228">
        <v>35</v>
      </c>
      <c r="E32" s="231">
        <v>56194</v>
      </c>
      <c r="F32" s="231">
        <v>56359.8</v>
      </c>
      <c r="G32" s="228">
        <v>-165.8</v>
      </c>
      <c r="H32" s="229">
        <v>-2.8999999999999998E-3</v>
      </c>
      <c r="I32" s="231">
        <v>55961.95</v>
      </c>
      <c r="J32" s="231">
        <v>56150.7</v>
      </c>
      <c r="K32" s="228">
        <v>-188.75</v>
      </c>
      <c r="L32" s="229">
        <v>-3.3999999999999998E-3</v>
      </c>
      <c r="M32" s="231">
        <v>55988.800000000003</v>
      </c>
      <c r="N32" s="231">
        <v>56217.599999999999</v>
      </c>
      <c r="O32" s="228">
        <v>-228.8</v>
      </c>
      <c r="P32" s="229">
        <v>-4.1000000000000003E-3</v>
      </c>
      <c r="Q32" s="231">
        <v>56194</v>
      </c>
      <c r="R32" s="231">
        <v>56359.8</v>
      </c>
      <c r="S32" s="228">
        <v>-165.8</v>
      </c>
      <c r="T32" s="229">
        <v>-2.8999999999999998E-3</v>
      </c>
      <c r="U32" s="231">
        <v>56481.4</v>
      </c>
      <c r="V32" s="231">
        <v>56650</v>
      </c>
      <c r="W32" s="228">
        <v>-168.6</v>
      </c>
      <c r="X32" s="229">
        <v>-3.0000000000000001E-3</v>
      </c>
      <c r="Y32" s="228">
        <v>232.05</v>
      </c>
      <c r="Z32" s="228">
        <v>66.900000000000006</v>
      </c>
      <c r="AA32" s="228">
        <v>165.15</v>
      </c>
      <c r="AB32" s="229">
        <v>4.1000000000000003E-3</v>
      </c>
      <c r="AC32" s="228">
        <v>26.85</v>
      </c>
      <c r="AD32" s="228">
        <v>66.900000000000006</v>
      </c>
      <c r="AE32" s="228">
        <v>-40.049999999999997</v>
      </c>
      <c r="AF32" s="229">
        <v>5.0000000000000001E-4</v>
      </c>
      <c r="AG32" s="228">
        <v>232.05</v>
      </c>
      <c r="AH32" s="228">
        <v>209.1</v>
      </c>
      <c r="AI32" s="228">
        <v>22.95</v>
      </c>
      <c r="AJ32" s="229">
        <v>4.1000000000000003E-3</v>
      </c>
      <c r="AK32" s="228">
        <v>519.45000000000005</v>
      </c>
      <c r="AL32" s="228">
        <v>499.3</v>
      </c>
      <c r="AM32" s="228">
        <v>20.149999999999999</v>
      </c>
      <c r="AN32" s="229">
        <v>9.2999999999999992E-3</v>
      </c>
      <c r="AO32" s="231">
        <v>55933.98</v>
      </c>
      <c r="AP32" s="231">
        <v>56169.71</v>
      </c>
      <c r="AQ32" s="228">
        <v>0</v>
      </c>
      <c r="AR32" s="230">
        <v>3594605</v>
      </c>
      <c r="AS32" s="230">
        <v>1496880</v>
      </c>
      <c r="AT32" s="230">
        <v>2097725</v>
      </c>
      <c r="AU32" s="229">
        <v>1.4014</v>
      </c>
      <c r="AV32" s="230">
        <v>1504650</v>
      </c>
      <c r="AW32" s="230">
        <v>866845</v>
      </c>
      <c r="AX32" s="230">
        <v>637805</v>
      </c>
      <c r="AY32" s="229">
        <v>0.73580000000000001</v>
      </c>
      <c r="AZ32" s="230">
        <v>1983590</v>
      </c>
      <c r="BA32" s="230">
        <v>603750</v>
      </c>
      <c r="BB32" s="230">
        <v>1379840</v>
      </c>
      <c r="BC32" s="229">
        <v>2.2854000000000001</v>
      </c>
      <c r="BD32" s="230">
        <v>106365</v>
      </c>
      <c r="BE32" s="230">
        <v>26285</v>
      </c>
      <c r="BF32" s="230">
        <v>80080</v>
      </c>
      <c r="BG32" s="229">
        <v>3.0466000000000002</v>
      </c>
      <c r="BH32" s="230">
        <v>1661730105</v>
      </c>
      <c r="BI32" s="230">
        <v>309610175</v>
      </c>
      <c r="BJ32" s="230">
        <v>1352119930</v>
      </c>
      <c r="BK32" s="229">
        <v>4.3672000000000004</v>
      </c>
      <c r="BL32" s="230">
        <v>1435122675</v>
      </c>
      <c r="BM32" s="230">
        <v>260198925</v>
      </c>
      <c r="BN32" s="230">
        <v>1174923750</v>
      </c>
      <c r="BO32" s="229">
        <v>4.5155000000000003</v>
      </c>
      <c r="BP32" s="230">
        <v>3100447385</v>
      </c>
      <c r="BQ32" s="230">
        <v>571305980</v>
      </c>
      <c r="BR32" s="230">
        <v>2529141405</v>
      </c>
      <c r="BS32" s="229">
        <v>4.4268999999999998</v>
      </c>
      <c r="BT32" s="228">
        <v>0</v>
      </c>
      <c r="BU32" s="228">
        <v>0</v>
      </c>
      <c r="BV32" s="228">
        <v>0</v>
      </c>
      <c r="BW32" s="229">
        <v>0</v>
      </c>
      <c r="BX32" s="230">
        <v>1955520</v>
      </c>
      <c r="BY32" s="230">
        <v>2615830</v>
      </c>
      <c r="BZ32" s="230">
        <v>-660310</v>
      </c>
      <c r="CA32" s="229">
        <v>-0.25240000000000001</v>
      </c>
      <c r="CB32" s="230">
        <v>552195</v>
      </c>
      <c r="CC32" s="230">
        <v>1115870</v>
      </c>
      <c r="CD32" s="230">
        <v>-563675</v>
      </c>
      <c r="CE32" s="229">
        <v>-0.50509999999999999</v>
      </c>
      <c r="CF32" s="230">
        <v>1826265</v>
      </c>
      <c r="CG32" s="230">
        <v>1385440</v>
      </c>
      <c r="CH32" s="230">
        <v>440825</v>
      </c>
      <c r="CI32" s="229">
        <v>0.31819999999999998</v>
      </c>
      <c r="CJ32" s="230">
        <v>129255</v>
      </c>
      <c r="CK32" s="230">
        <v>114520</v>
      </c>
      <c r="CL32" s="230">
        <v>14735</v>
      </c>
      <c r="CM32" s="229">
        <v>0.12870000000000001</v>
      </c>
      <c r="CN32" s="230">
        <v>9564050</v>
      </c>
      <c r="CO32" s="230">
        <v>35099085</v>
      </c>
      <c r="CP32" s="230">
        <v>-25535035</v>
      </c>
      <c r="CQ32" s="229">
        <v>-0.72750000000000004</v>
      </c>
      <c r="CR32" s="230">
        <v>9316980</v>
      </c>
      <c r="CS32" s="230">
        <v>23945330</v>
      </c>
      <c r="CT32" s="230">
        <v>-14628350</v>
      </c>
      <c r="CU32" s="229">
        <v>-0.6109</v>
      </c>
      <c r="CV32" s="230">
        <v>20836550</v>
      </c>
      <c r="CW32" s="230">
        <v>61660245</v>
      </c>
      <c r="CX32" s="230">
        <v>-40823695</v>
      </c>
      <c r="CY32" s="229">
        <v>-0.66210000000000002</v>
      </c>
      <c r="CZ32" s="228">
        <v>11.72</v>
      </c>
      <c r="DA32" s="228">
        <v>11.86</v>
      </c>
      <c r="DB32" s="228">
        <v>-0.14000000000000001</v>
      </c>
      <c r="DC32" s="228">
        <v>-0.14000000000000001</v>
      </c>
      <c r="DD32" s="228">
        <v>18.63</v>
      </c>
      <c r="DE32" s="228">
        <v>18.670000000000002</v>
      </c>
      <c r="DF32" s="228">
        <v>-6.91</v>
      </c>
      <c r="DG32" s="228">
        <v>-0.04</v>
      </c>
      <c r="DH32" s="228">
        <v>11.42</v>
      </c>
      <c r="DI32" s="228">
        <v>11.46</v>
      </c>
      <c r="DJ32" s="228">
        <v>-0.04</v>
      </c>
      <c r="DK32" s="228">
        <v>-0.04</v>
      </c>
      <c r="DL32" s="228">
        <v>12.06</v>
      </c>
      <c r="DM32" s="228">
        <v>12.31</v>
      </c>
      <c r="DN32" s="228">
        <v>-0.25</v>
      </c>
      <c r="DO32" s="228">
        <v>-0.25</v>
      </c>
      <c r="DP32" s="228">
        <v>0.97</v>
      </c>
      <c r="DQ32" s="228">
        <v>0.68</v>
      </c>
      <c r="DR32" s="228">
        <v>0.28999999999999998</v>
      </c>
      <c r="DS32" s="229">
        <v>0.42649999999999999</v>
      </c>
      <c r="DT32" s="231">
        <v>56000</v>
      </c>
      <c r="DU32" s="231">
        <v>56000</v>
      </c>
      <c r="DV32" s="228">
        <v>0.86</v>
      </c>
      <c r="DW32" s="228">
        <v>0.84</v>
      </c>
      <c r="DX32" s="228">
        <v>0.02</v>
      </c>
      <c r="DY32" s="229">
        <v>2.3800000000000002E-2</v>
      </c>
      <c r="DZ32" s="229">
        <v>0.77980000000000005</v>
      </c>
      <c r="EA32" s="230">
        <v>1499960</v>
      </c>
      <c r="EB32" s="229">
        <v>3.7000000000000002E-3</v>
      </c>
      <c r="EC32" s="229">
        <v>0.77980000000000005</v>
      </c>
      <c r="ED32" s="228">
        <v>235.73</v>
      </c>
      <c r="EE32" s="229">
        <v>4.1999999999999997E-3</v>
      </c>
      <c r="EF32" s="228">
        <v>0</v>
      </c>
      <c r="EG32" s="228">
        <v>0</v>
      </c>
      <c r="EH32" s="229">
        <v>0</v>
      </c>
      <c r="EI32" s="229">
        <v>0</v>
      </c>
      <c r="EJ32" s="231">
        <v>940272679.88</v>
      </c>
      <c r="EK32" s="231">
        <v>799350141.97000003</v>
      </c>
      <c r="EL32" s="231">
        <v>2015808.65</v>
      </c>
      <c r="EM32" s="228">
        <v>0</v>
      </c>
      <c r="EN32" s="231">
        <v>1741638630.5</v>
      </c>
      <c r="EO32" s="231">
        <v>322627910.25</v>
      </c>
      <c r="EP32" s="231">
        <v>1419010720.25</v>
      </c>
      <c r="EQ32" s="229">
        <v>4.3982999999999999</v>
      </c>
      <c r="ER32" s="231">
        <v>5501540</v>
      </c>
      <c r="ES32" s="231">
        <v>5120914</v>
      </c>
      <c r="ET32" s="231">
        <v>1099256</v>
      </c>
      <c r="EU32" s="228">
        <v>0</v>
      </c>
      <c r="EV32" s="231">
        <v>11721710</v>
      </c>
      <c r="EW32" s="231">
        <v>34944786</v>
      </c>
      <c r="EX32" s="231">
        <v>-23223076</v>
      </c>
      <c r="EY32" s="229">
        <v>-0.66459999999999997</v>
      </c>
      <c r="EZ32" s="229">
        <v>0</v>
      </c>
      <c r="FA32" s="227" t="s">
        <v>568</v>
      </c>
      <c r="FB32" s="161">
        <f t="shared" si="0"/>
        <v>1403325</v>
      </c>
    </row>
    <row r="33" spans="1:158" ht="17.25" thickBot="1" x14ac:dyDescent="0.3">
      <c r="A33" s="226">
        <v>45869</v>
      </c>
      <c r="B33" s="227" t="s">
        <v>184</v>
      </c>
      <c r="C33" s="227" t="s">
        <v>673</v>
      </c>
      <c r="D33" s="228">
        <v>325</v>
      </c>
      <c r="E33" s="231">
        <v>1627.1</v>
      </c>
      <c r="F33" s="231">
        <v>1630.8</v>
      </c>
      <c r="G33" s="228">
        <v>-3.7</v>
      </c>
      <c r="H33" s="229">
        <v>-2.3E-3</v>
      </c>
      <c r="I33" s="231">
        <v>1619</v>
      </c>
      <c r="J33" s="231">
        <v>1620.3</v>
      </c>
      <c r="K33" s="228">
        <v>-1.3</v>
      </c>
      <c r="L33" s="229">
        <v>-8.0000000000000004E-4</v>
      </c>
      <c r="M33" s="231">
        <v>1618.9</v>
      </c>
      <c r="N33" s="231">
        <v>1622.4</v>
      </c>
      <c r="O33" s="228">
        <v>-3.5</v>
      </c>
      <c r="P33" s="229">
        <v>-2.2000000000000001E-3</v>
      </c>
      <c r="Q33" s="231">
        <v>1627.1</v>
      </c>
      <c r="R33" s="231">
        <v>1630.8</v>
      </c>
      <c r="S33" s="228">
        <v>-3.7</v>
      </c>
      <c r="T33" s="229">
        <v>-2.3E-3</v>
      </c>
      <c r="U33" s="231">
        <v>1635.8</v>
      </c>
      <c r="V33" s="231">
        <v>1638.7</v>
      </c>
      <c r="W33" s="228">
        <v>-2.9</v>
      </c>
      <c r="X33" s="229">
        <v>-1.8E-3</v>
      </c>
      <c r="Y33" s="228">
        <v>8.1</v>
      </c>
      <c r="Z33" s="228">
        <v>2.1</v>
      </c>
      <c r="AA33" s="228">
        <v>6</v>
      </c>
      <c r="AB33" s="229">
        <v>5.0000000000000001E-3</v>
      </c>
      <c r="AC33" s="228">
        <v>-0.1</v>
      </c>
      <c r="AD33" s="228">
        <v>2.1</v>
      </c>
      <c r="AE33" s="228">
        <v>-2.2000000000000002</v>
      </c>
      <c r="AF33" s="229">
        <v>-1E-4</v>
      </c>
      <c r="AG33" s="228">
        <v>8.1</v>
      </c>
      <c r="AH33" s="228">
        <v>10.5</v>
      </c>
      <c r="AI33" s="228">
        <v>-2.4</v>
      </c>
      <c r="AJ33" s="229">
        <v>5.0000000000000001E-3</v>
      </c>
      <c r="AK33" s="228">
        <v>16.8</v>
      </c>
      <c r="AL33" s="228">
        <v>18.399999999999999</v>
      </c>
      <c r="AM33" s="228">
        <v>-1.6</v>
      </c>
      <c r="AN33" s="229">
        <v>1.04E-2</v>
      </c>
      <c r="AO33" s="231">
        <v>1619.55</v>
      </c>
      <c r="AP33" s="231">
        <v>1628.33</v>
      </c>
      <c r="AQ33" s="228">
        <v>0</v>
      </c>
      <c r="AR33" s="230">
        <v>3249025</v>
      </c>
      <c r="AS33" s="230">
        <v>2093325</v>
      </c>
      <c r="AT33" s="230">
        <v>1155700</v>
      </c>
      <c r="AU33" s="229">
        <v>0.55210000000000004</v>
      </c>
      <c r="AV33" s="230">
        <v>1446250</v>
      </c>
      <c r="AW33" s="230">
        <v>970125</v>
      </c>
      <c r="AX33" s="230">
        <v>476125</v>
      </c>
      <c r="AY33" s="229">
        <v>0.49080000000000001</v>
      </c>
      <c r="AZ33" s="230">
        <v>1783925</v>
      </c>
      <c r="BA33" s="230">
        <v>1110850</v>
      </c>
      <c r="BB33" s="230">
        <v>673075</v>
      </c>
      <c r="BC33" s="229">
        <v>0.60589999999999999</v>
      </c>
      <c r="BD33" s="230">
        <v>18850</v>
      </c>
      <c r="BE33" s="230">
        <v>12350</v>
      </c>
      <c r="BF33" s="230">
        <v>6500</v>
      </c>
      <c r="BG33" s="229">
        <v>0.52629999999999999</v>
      </c>
      <c r="BH33" s="230">
        <v>2824250</v>
      </c>
      <c r="BI33" s="230">
        <v>2931175</v>
      </c>
      <c r="BJ33" s="230">
        <v>-106925</v>
      </c>
      <c r="BK33" s="229">
        <v>-3.6499999999999998E-2</v>
      </c>
      <c r="BL33" s="230">
        <v>1102725</v>
      </c>
      <c r="BM33" s="230">
        <v>1004575</v>
      </c>
      <c r="BN33" s="230">
        <v>98150</v>
      </c>
      <c r="BO33" s="229">
        <v>9.7699999999999995E-2</v>
      </c>
      <c r="BP33" s="230">
        <v>7176000</v>
      </c>
      <c r="BQ33" s="230">
        <v>6029075</v>
      </c>
      <c r="BR33" s="230">
        <v>1146925</v>
      </c>
      <c r="BS33" s="229">
        <v>0.19020000000000001</v>
      </c>
      <c r="BT33" s="230">
        <v>908901</v>
      </c>
      <c r="BU33" s="230">
        <v>753672</v>
      </c>
      <c r="BV33" s="230">
        <v>155229</v>
      </c>
      <c r="BW33" s="229">
        <v>0.20599999999999999</v>
      </c>
      <c r="BX33" s="230">
        <v>3879200</v>
      </c>
      <c r="BY33" s="230">
        <v>4212650</v>
      </c>
      <c r="BZ33" s="230">
        <v>-333450</v>
      </c>
      <c r="CA33" s="229">
        <v>-7.9200000000000007E-2</v>
      </c>
      <c r="CB33" s="230">
        <v>313300</v>
      </c>
      <c r="CC33" s="230">
        <v>1042275</v>
      </c>
      <c r="CD33" s="230">
        <v>-728975</v>
      </c>
      <c r="CE33" s="229">
        <v>-0.69940000000000002</v>
      </c>
      <c r="CF33" s="230">
        <v>3795350</v>
      </c>
      <c r="CG33" s="230">
        <v>3092375</v>
      </c>
      <c r="CH33" s="230">
        <v>702975</v>
      </c>
      <c r="CI33" s="229">
        <v>0.2273</v>
      </c>
      <c r="CJ33" s="230">
        <v>83850</v>
      </c>
      <c r="CK33" s="230">
        <v>78000</v>
      </c>
      <c r="CL33" s="230">
        <v>5850</v>
      </c>
      <c r="CM33" s="229">
        <v>7.4999999999999997E-2</v>
      </c>
      <c r="CN33" s="230">
        <v>1099800</v>
      </c>
      <c r="CO33" s="230">
        <v>3962075</v>
      </c>
      <c r="CP33" s="230">
        <v>-2862275</v>
      </c>
      <c r="CQ33" s="229">
        <v>-0.72240000000000004</v>
      </c>
      <c r="CR33" s="230">
        <v>774150</v>
      </c>
      <c r="CS33" s="230">
        <v>1684150</v>
      </c>
      <c r="CT33" s="230">
        <v>-910000</v>
      </c>
      <c r="CU33" s="229">
        <v>-0.5403</v>
      </c>
      <c r="CV33" s="230">
        <v>5753150</v>
      </c>
      <c r="CW33" s="230">
        <v>9858875</v>
      </c>
      <c r="CX33" s="230">
        <v>-4105725</v>
      </c>
      <c r="CY33" s="229">
        <v>-0.41639999999999999</v>
      </c>
      <c r="CZ33" s="228">
        <v>35.61</v>
      </c>
      <c r="DA33" s="228">
        <v>36.36</v>
      </c>
      <c r="DB33" s="228">
        <v>-0.75</v>
      </c>
      <c r="DC33" s="228">
        <v>-0.75</v>
      </c>
      <c r="DD33" s="228">
        <v>55.65</v>
      </c>
      <c r="DE33" s="228">
        <v>55.79</v>
      </c>
      <c r="DF33" s="228">
        <v>-20.04</v>
      </c>
      <c r="DG33" s="228">
        <v>-0.14000000000000001</v>
      </c>
      <c r="DH33" s="228">
        <v>35.21</v>
      </c>
      <c r="DI33" s="228">
        <v>36.04</v>
      </c>
      <c r="DJ33" s="228">
        <v>-0.83</v>
      </c>
      <c r="DK33" s="228">
        <v>-0.83</v>
      </c>
      <c r="DL33" s="228">
        <v>36.450000000000003</v>
      </c>
      <c r="DM33" s="228">
        <v>37.11</v>
      </c>
      <c r="DN33" s="228">
        <v>-0.66</v>
      </c>
      <c r="DO33" s="228">
        <v>-0.66</v>
      </c>
      <c r="DP33" s="228">
        <v>0.7</v>
      </c>
      <c r="DQ33" s="228">
        <v>0.43</v>
      </c>
      <c r="DR33" s="228">
        <v>0.27</v>
      </c>
      <c r="DS33" s="229">
        <v>0.62790000000000001</v>
      </c>
      <c r="DT33" s="231">
        <v>2000</v>
      </c>
      <c r="DU33" s="231">
        <v>1900</v>
      </c>
      <c r="DV33" s="228">
        <v>0.39</v>
      </c>
      <c r="DW33" s="228">
        <v>0.34</v>
      </c>
      <c r="DX33" s="228">
        <v>0.05</v>
      </c>
      <c r="DY33" s="229">
        <v>0.14710000000000001</v>
      </c>
      <c r="DZ33" s="229">
        <v>0.92530000000000001</v>
      </c>
      <c r="EA33" s="230">
        <v>3170375</v>
      </c>
      <c r="EB33" s="229">
        <v>5.1000000000000004E-3</v>
      </c>
      <c r="EC33" s="229">
        <v>0.92530000000000001</v>
      </c>
      <c r="ED33" s="228">
        <v>8.7799999999999994</v>
      </c>
      <c r="EE33" s="229">
        <v>5.4000000000000003E-3</v>
      </c>
      <c r="EF33" s="230">
        <v>204559</v>
      </c>
      <c r="EG33" s="230">
        <v>210974</v>
      </c>
      <c r="EH33" s="229">
        <v>-3.04E-2</v>
      </c>
      <c r="EI33" s="229">
        <v>0.22509999999999999</v>
      </c>
      <c r="EJ33" s="231">
        <v>51205.09</v>
      </c>
      <c r="EK33" s="231">
        <v>18618.55</v>
      </c>
      <c r="EL33" s="231">
        <v>52778.98</v>
      </c>
      <c r="EM33" s="228">
        <v>0</v>
      </c>
      <c r="EN33" s="231">
        <v>122602.62</v>
      </c>
      <c r="EO33" s="231">
        <v>103350.99</v>
      </c>
      <c r="EP33" s="231">
        <v>19251.63</v>
      </c>
      <c r="EQ33" s="229">
        <v>0.18629999999999999</v>
      </c>
      <c r="ER33" s="231">
        <v>20028</v>
      </c>
      <c r="ES33" s="231">
        <v>13070</v>
      </c>
      <c r="ET33" s="231">
        <v>63126</v>
      </c>
      <c r="EU33" s="231">
        <v>18382289</v>
      </c>
      <c r="EV33" s="231">
        <v>96224</v>
      </c>
      <c r="EW33" s="231">
        <v>173311</v>
      </c>
      <c r="EX33" s="231">
        <v>-77087</v>
      </c>
      <c r="EY33" s="229">
        <v>-0.44479999999999997</v>
      </c>
      <c r="EZ33" s="229">
        <v>0.313</v>
      </c>
      <c r="FA33" s="227" t="s">
        <v>568</v>
      </c>
      <c r="FB33" s="161">
        <f t="shared" si="0"/>
        <v>3565900</v>
      </c>
    </row>
    <row r="34" spans="1:158" ht="17.25" thickBot="1" x14ac:dyDescent="0.3">
      <c r="A34" s="226">
        <v>45869</v>
      </c>
      <c r="B34" s="227" t="s">
        <v>184</v>
      </c>
      <c r="C34" s="227" t="s">
        <v>185</v>
      </c>
      <c r="D34" s="228">
        <v>2850</v>
      </c>
      <c r="E34" s="228">
        <v>384.9</v>
      </c>
      <c r="F34" s="228">
        <v>388.2</v>
      </c>
      <c r="G34" s="228">
        <v>-3.3</v>
      </c>
      <c r="H34" s="229">
        <v>-8.5000000000000006E-3</v>
      </c>
      <c r="I34" s="228">
        <v>383.1</v>
      </c>
      <c r="J34" s="228">
        <v>386.5</v>
      </c>
      <c r="K34" s="228">
        <v>-3.4</v>
      </c>
      <c r="L34" s="229">
        <v>-8.8000000000000005E-3</v>
      </c>
      <c r="M34" s="228">
        <v>383.25</v>
      </c>
      <c r="N34" s="228">
        <v>386.65</v>
      </c>
      <c r="O34" s="228">
        <v>-3.4</v>
      </c>
      <c r="P34" s="229">
        <v>-8.8000000000000005E-3</v>
      </c>
      <c r="Q34" s="228">
        <v>384.9</v>
      </c>
      <c r="R34" s="228">
        <v>388.2</v>
      </c>
      <c r="S34" s="228">
        <v>-3.3</v>
      </c>
      <c r="T34" s="229">
        <v>-8.5000000000000006E-3</v>
      </c>
      <c r="U34" s="228">
        <v>386.75</v>
      </c>
      <c r="V34" s="228">
        <v>390.15</v>
      </c>
      <c r="W34" s="228">
        <v>-3.4</v>
      </c>
      <c r="X34" s="229">
        <v>-8.6999999999999994E-3</v>
      </c>
      <c r="Y34" s="228">
        <v>1.8</v>
      </c>
      <c r="Z34" s="228">
        <v>0.15</v>
      </c>
      <c r="AA34" s="228">
        <v>1.65</v>
      </c>
      <c r="AB34" s="229">
        <v>4.7000000000000002E-3</v>
      </c>
      <c r="AC34" s="228">
        <v>0.15</v>
      </c>
      <c r="AD34" s="228">
        <v>0.15</v>
      </c>
      <c r="AE34" s="228">
        <v>0</v>
      </c>
      <c r="AF34" s="229">
        <v>4.0000000000000002E-4</v>
      </c>
      <c r="AG34" s="228">
        <v>1.8</v>
      </c>
      <c r="AH34" s="228">
        <v>1.7</v>
      </c>
      <c r="AI34" s="228">
        <v>0.1</v>
      </c>
      <c r="AJ34" s="229">
        <v>4.7000000000000002E-3</v>
      </c>
      <c r="AK34" s="228">
        <v>3.65</v>
      </c>
      <c r="AL34" s="228">
        <v>3.65</v>
      </c>
      <c r="AM34" s="228">
        <v>0</v>
      </c>
      <c r="AN34" s="229">
        <v>9.4999999999999998E-3</v>
      </c>
      <c r="AO34" s="228">
        <v>384.89</v>
      </c>
      <c r="AP34" s="228">
        <v>386.32</v>
      </c>
      <c r="AQ34" s="228">
        <v>0</v>
      </c>
      <c r="AR34" s="230">
        <v>66581700</v>
      </c>
      <c r="AS34" s="230">
        <v>55577850</v>
      </c>
      <c r="AT34" s="230">
        <v>11003850</v>
      </c>
      <c r="AU34" s="229">
        <v>0.19800000000000001</v>
      </c>
      <c r="AV34" s="230">
        <v>28537050</v>
      </c>
      <c r="AW34" s="230">
        <v>25615800</v>
      </c>
      <c r="AX34" s="230">
        <v>2921250</v>
      </c>
      <c r="AY34" s="229">
        <v>0.114</v>
      </c>
      <c r="AZ34" s="230">
        <v>35841600</v>
      </c>
      <c r="BA34" s="230">
        <v>27727650</v>
      </c>
      <c r="BB34" s="230">
        <v>8113950</v>
      </c>
      <c r="BC34" s="229">
        <v>0.29260000000000003</v>
      </c>
      <c r="BD34" s="230">
        <v>2203050</v>
      </c>
      <c r="BE34" s="230">
        <v>2234400</v>
      </c>
      <c r="BF34" s="230">
        <v>-31350</v>
      </c>
      <c r="BG34" s="229">
        <v>-1.4E-2</v>
      </c>
      <c r="BH34" s="230">
        <v>91539150</v>
      </c>
      <c r="BI34" s="230">
        <v>128754450</v>
      </c>
      <c r="BJ34" s="230">
        <v>-37215300</v>
      </c>
      <c r="BK34" s="229">
        <v>-0.28899999999999998</v>
      </c>
      <c r="BL34" s="230">
        <v>58832550</v>
      </c>
      <c r="BM34" s="230">
        <v>47358450</v>
      </c>
      <c r="BN34" s="230">
        <v>11474100</v>
      </c>
      <c r="BO34" s="229">
        <v>0.24229999999999999</v>
      </c>
      <c r="BP34" s="230">
        <v>216953400</v>
      </c>
      <c r="BQ34" s="230">
        <v>231690750</v>
      </c>
      <c r="BR34" s="230">
        <v>-14737350</v>
      </c>
      <c r="BS34" s="229">
        <v>-6.3600000000000004E-2</v>
      </c>
      <c r="BT34" s="230">
        <v>10201282</v>
      </c>
      <c r="BU34" s="230">
        <v>11972982</v>
      </c>
      <c r="BV34" s="230">
        <v>-1771700</v>
      </c>
      <c r="BW34" s="229">
        <v>-0.14799999999999999</v>
      </c>
      <c r="BX34" s="230">
        <v>118175250</v>
      </c>
      <c r="BY34" s="230">
        <v>125716350</v>
      </c>
      <c r="BZ34" s="230">
        <v>-7541100</v>
      </c>
      <c r="CA34" s="229">
        <v>-0.06</v>
      </c>
      <c r="CB34" s="230">
        <v>8299200</v>
      </c>
      <c r="CC34" s="230">
        <v>25402050</v>
      </c>
      <c r="CD34" s="230">
        <v>-17102850</v>
      </c>
      <c r="CE34" s="229">
        <v>-0.67330000000000001</v>
      </c>
      <c r="CF34" s="230">
        <v>114267900</v>
      </c>
      <c r="CG34" s="230">
        <v>96834450</v>
      </c>
      <c r="CH34" s="230">
        <v>17433450</v>
      </c>
      <c r="CI34" s="229">
        <v>0.18</v>
      </c>
      <c r="CJ34" s="230">
        <v>3907350</v>
      </c>
      <c r="CK34" s="230">
        <v>3479850</v>
      </c>
      <c r="CL34" s="230">
        <v>427500</v>
      </c>
      <c r="CM34" s="229">
        <v>0.1229</v>
      </c>
      <c r="CN34" s="230">
        <v>44340300</v>
      </c>
      <c r="CO34" s="230">
        <v>99593250</v>
      </c>
      <c r="CP34" s="230">
        <v>-55252950</v>
      </c>
      <c r="CQ34" s="229">
        <v>-0.55479999999999996</v>
      </c>
      <c r="CR34" s="230">
        <v>31084950</v>
      </c>
      <c r="CS34" s="230">
        <v>52243350</v>
      </c>
      <c r="CT34" s="230">
        <v>-21158400</v>
      </c>
      <c r="CU34" s="229">
        <v>-0.40500000000000003</v>
      </c>
      <c r="CV34" s="230">
        <v>193600500</v>
      </c>
      <c r="CW34" s="230">
        <v>277552950</v>
      </c>
      <c r="CX34" s="230">
        <v>-83952450</v>
      </c>
      <c r="CY34" s="229">
        <v>-0.30249999999999999</v>
      </c>
      <c r="CZ34" s="228">
        <v>26.04</v>
      </c>
      <c r="DA34" s="228">
        <v>26.55</v>
      </c>
      <c r="DB34" s="228">
        <v>-0.51</v>
      </c>
      <c r="DC34" s="228">
        <v>-0.51</v>
      </c>
      <c r="DD34" s="228">
        <v>40.200000000000003</v>
      </c>
      <c r="DE34" s="228">
        <v>40.29</v>
      </c>
      <c r="DF34" s="228">
        <v>-14.16</v>
      </c>
      <c r="DG34" s="228">
        <v>-0.09</v>
      </c>
      <c r="DH34" s="228">
        <v>26.3</v>
      </c>
      <c r="DI34" s="228">
        <v>26.82</v>
      </c>
      <c r="DJ34" s="228">
        <v>-0.52</v>
      </c>
      <c r="DK34" s="228">
        <v>-0.52</v>
      </c>
      <c r="DL34" s="228">
        <v>25.68</v>
      </c>
      <c r="DM34" s="228">
        <v>26.07</v>
      </c>
      <c r="DN34" s="228">
        <v>-0.39</v>
      </c>
      <c r="DO34" s="228">
        <v>-0.39</v>
      </c>
      <c r="DP34" s="228">
        <v>0.7</v>
      </c>
      <c r="DQ34" s="228">
        <v>0.52</v>
      </c>
      <c r="DR34" s="228">
        <v>0.18</v>
      </c>
      <c r="DS34" s="229">
        <v>0.34620000000000001</v>
      </c>
      <c r="DT34" s="228">
        <v>400</v>
      </c>
      <c r="DU34" s="228">
        <v>390</v>
      </c>
      <c r="DV34" s="228">
        <v>0.64</v>
      </c>
      <c r="DW34" s="228">
        <v>0.37</v>
      </c>
      <c r="DX34" s="228">
        <v>0.27</v>
      </c>
      <c r="DY34" s="229">
        <v>0.72970000000000002</v>
      </c>
      <c r="DZ34" s="229">
        <v>0.93440000000000001</v>
      </c>
      <c r="EA34" s="230">
        <v>100314300</v>
      </c>
      <c r="EB34" s="229">
        <v>4.3E-3</v>
      </c>
      <c r="EC34" s="229">
        <v>0.93440000000000001</v>
      </c>
      <c r="ED34" s="228">
        <v>1.43</v>
      </c>
      <c r="EE34" s="229">
        <v>3.7000000000000002E-3</v>
      </c>
      <c r="EF34" s="230">
        <v>4413062</v>
      </c>
      <c r="EG34" s="230">
        <v>5644200</v>
      </c>
      <c r="EH34" s="229">
        <v>-0.21809999999999999</v>
      </c>
      <c r="EI34" s="229">
        <v>0.43259999999999998</v>
      </c>
      <c r="EJ34" s="231">
        <v>369416.01</v>
      </c>
      <c r="EK34" s="231">
        <v>231891.57</v>
      </c>
      <c r="EL34" s="231">
        <v>256837.54</v>
      </c>
      <c r="EM34" s="228">
        <v>0</v>
      </c>
      <c r="EN34" s="231">
        <v>858145.12</v>
      </c>
      <c r="EO34" s="231">
        <v>925206.26</v>
      </c>
      <c r="EP34" s="231">
        <v>-67061.14</v>
      </c>
      <c r="EQ34" s="229">
        <v>-7.2499999999999995E-2</v>
      </c>
      <c r="ER34" s="231">
        <v>183097</v>
      </c>
      <c r="ES34" s="231">
        <v>119908</v>
      </c>
      <c r="ET34" s="231">
        <v>454929</v>
      </c>
      <c r="EU34" s="231">
        <v>714371379</v>
      </c>
      <c r="EV34" s="231">
        <v>757934</v>
      </c>
      <c r="EW34" s="231">
        <v>1109143</v>
      </c>
      <c r="EX34" s="231">
        <v>-351209</v>
      </c>
      <c r="EY34" s="229">
        <v>-0.31659999999999999</v>
      </c>
      <c r="EZ34" s="229">
        <v>0.27100000000000002</v>
      </c>
      <c r="FA34" s="227" t="s">
        <v>568</v>
      </c>
      <c r="FB34" s="161">
        <f t="shared" si="0"/>
        <v>109876050</v>
      </c>
    </row>
    <row r="35" spans="1:158" ht="17.25" thickBot="1" x14ac:dyDescent="0.3">
      <c r="A35" s="226">
        <v>45869</v>
      </c>
      <c r="B35" s="227" t="s">
        <v>162</v>
      </c>
      <c r="C35" s="227" t="s">
        <v>187</v>
      </c>
      <c r="D35" s="228">
        <v>500</v>
      </c>
      <c r="E35" s="231">
        <v>1171.5</v>
      </c>
      <c r="F35" s="231">
        <v>1189.5999999999999</v>
      </c>
      <c r="G35" s="228">
        <v>-18.100000000000001</v>
      </c>
      <c r="H35" s="229">
        <v>-1.52E-2</v>
      </c>
      <c r="I35" s="231">
        <v>1169.0999999999999</v>
      </c>
      <c r="J35" s="231">
        <v>1188.5999999999999</v>
      </c>
      <c r="K35" s="228">
        <v>-19.5</v>
      </c>
      <c r="L35" s="229">
        <v>-1.6400000000000001E-2</v>
      </c>
      <c r="M35" s="231">
        <v>1167.4000000000001</v>
      </c>
      <c r="N35" s="231">
        <v>1186.8</v>
      </c>
      <c r="O35" s="228">
        <v>-19.399999999999999</v>
      </c>
      <c r="P35" s="229">
        <v>-1.6299999999999999E-2</v>
      </c>
      <c r="Q35" s="231">
        <v>1171.5</v>
      </c>
      <c r="R35" s="231">
        <v>1189.5999999999999</v>
      </c>
      <c r="S35" s="228">
        <v>-18.100000000000001</v>
      </c>
      <c r="T35" s="229">
        <v>-1.52E-2</v>
      </c>
      <c r="U35" s="231">
        <v>1177.2</v>
      </c>
      <c r="V35" s="231">
        <v>1195.8</v>
      </c>
      <c r="W35" s="228">
        <v>-18.600000000000001</v>
      </c>
      <c r="X35" s="229">
        <v>-1.5599999999999999E-2</v>
      </c>
      <c r="Y35" s="228">
        <v>2.4</v>
      </c>
      <c r="Z35" s="228">
        <v>-1.8</v>
      </c>
      <c r="AA35" s="228">
        <v>4.2</v>
      </c>
      <c r="AB35" s="229">
        <v>2.0999999999999999E-3</v>
      </c>
      <c r="AC35" s="228">
        <v>-1.7</v>
      </c>
      <c r="AD35" s="228">
        <v>-1.8</v>
      </c>
      <c r="AE35" s="228">
        <v>0.1</v>
      </c>
      <c r="AF35" s="229">
        <v>-1.5E-3</v>
      </c>
      <c r="AG35" s="228">
        <v>2.4</v>
      </c>
      <c r="AH35" s="228">
        <v>1</v>
      </c>
      <c r="AI35" s="228">
        <v>1.4</v>
      </c>
      <c r="AJ35" s="229">
        <v>2.0999999999999999E-3</v>
      </c>
      <c r="AK35" s="228">
        <v>8.1</v>
      </c>
      <c r="AL35" s="228">
        <v>7.2</v>
      </c>
      <c r="AM35" s="228">
        <v>0.9</v>
      </c>
      <c r="AN35" s="229">
        <v>6.8999999999999999E-3</v>
      </c>
      <c r="AO35" s="231">
        <v>1164.3</v>
      </c>
      <c r="AP35" s="231">
        <v>1167.1600000000001</v>
      </c>
      <c r="AQ35" s="228">
        <v>0</v>
      </c>
      <c r="AR35" s="230">
        <v>7578000</v>
      </c>
      <c r="AS35" s="230">
        <v>9180000</v>
      </c>
      <c r="AT35" s="230">
        <v>-1602000</v>
      </c>
      <c r="AU35" s="229">
        <v>-0.17449999999999999</v>
      </c>
      <c r="AV35" s="230">
        <v>2544000</v>
      </c>
      <c r="AW35" s="230">
        <v>4075500</v>
      </c>
      <c r="AX35" s="230">
        <v>-1531500</v>
      </c>
      <c r="AY35" s="229">
        <v>-0.37580000000000002</v>
      </c>
      <c r="AZ35" s="230">
        <v>4905500</v>
      </c>
      <c r="BA35" s="230">
        <v>5000500</v>
      </c>
      <c r="BB35" s="230">
        <v>-95000</v>
      </c>
      <c r="BC35" s="229">
        <v>-1.9E-2</v>
      </c>
      <c r="BD35" s="230">
        <v>128500</v>
      </c>
      <c r="BE35" s="230">
        <v>104000</v>
      </c>
      <c r="BF35" s="230">
        <v>24500</v>
      </c>
      <c r="BG35" s="229">
        <v>0.2356</v>
      </c>
      <c r="BH35" s="230">
        <v>4152000</v>
      </c>
      <c r="BI35" s="230">
        <v>4674000</v>
      </c>
      <c r="BJ35" s="230">
        <v>-522000</v>
      </c>
      <c r="BK35" s="229">
        <v>-0.11169999999999999</v>
      </c>
      <c r="BL35" s="230">
        <v>4037000</v>
      </c>
      <c r="BM35" s="230">
        <v>5265500</v>
      </c>
      <c r="BN35" s="230">
        <v>-1228500</v>
      </c>
      <c r="BO35" s="229">
        <v>-0.23330000000000001</v>
      </c>
      <c r="BP35" s="230">
        <v>15767000</v>
      </c>
      <c r="BQ35" s="230">
        <v>19119500</v>
      </c>
      <c r="BR35" s="230">
        <v>-3352500</v>
      </c>
      <c r="BS35" s="229">
        <v>-0.17530000000000001</v>
      </c>
      <c r="BT35" s="230">
        <v>1956915</v>
      </c>
      <c r="BU35" s="230">
        <v>1315350</v>
      </c>
      <c r="BV35" s="230">
        <v>641565</v>
      </c>
      <c r="BW35" s="229">
        <v>0.48780000000000001</v>
      </c>
      <c r="BX35" s="230">
        <v>11190500</v>
      </c>
      <c r="BY35" s="230">
        <v>11973000</v>
      </c>
      <c r="BZ35" s="230">
        <v>-782500</v>
      </c>
      <c r="CA35" s="229">
        <v>-6.54E-2</v>
      </c>
      <c r="CB35" s="230">
        <v>596500</v>
      </c>
      <c r="CC35" s="230">
        <v>1903500</v>
      </c>
      <c r="CD35" s="230">
        <v>-1307000</v>
      </c>
      <c r="CE35" s="229">
        <v>-0.68659999999999999</v>
      </c>
      <c r="CF35" s="230">
        <v>11022000</v>
      </c>
      <c r="CG35" s="230">
        <v>9914500</v>
      </c>
      <c r="CH35" s="230">
        <v>1107500</v>
      </c>
      <c r="CI35" s="229">
        <v>0.11169999999999999</v>
      </c>
      <c r="CJ35" s="230">
        <v>168500</v>
      </c>
      <c r="CK35" s="230">
        <v>155000</v>
      </c>
      <c r="CL35" s="230">
        <v>13500</v>
      </c>
      <c r="CM35" s="229">
        <v>8.7099999999999997E-2</v>
      </c>
      <c r="CN35" s="230">
        <v>1520000</v>
      </c>
      <c r="CO35" s="230">
        <v>3815000</v>
      </c>
      <c r="CP35" s="230">
        <v>-2295000</v>
      </c>
      <c r="CQ35" s="229">
        <v>-0.60160000000000002</v>
      </c>
      <c r="CR35" s="230">
        <v>1774000</v>
      </c>
      <c r="CS35" s="230">
        <v>2624000</v>
      </c>
      <c r="CT35" s="230">
        <v>-850000</v>
      </c>
      <c r="CU35" s="229">
        <v>-0.32390000000000002</v>
      </c>
      <c r="CV35" s="230">
        <v>14484500</v>
      </c>
      <c r="CW35" s="230">
        <v>18412000</v>
      </c>
      <c r="CX35" s="230">
        <v>-3927500</v>
      </c>
      <c r="CY35" s="229">
        <v>-0.21329999999999999</v>
      </c>
      <c r="CZ35" s="228">
        <v>32.17</v>
      </c>
      <c r="DA35" s="228">
        <v>31.88</v>
      </c>
      <c r="DB35" s="228">
        <v>0.28999999999999998</v>
      </c>
      <c r="DC35" s="228">
        <v>0.28999999999999998</v>
      </c>
      <c r="DD35" s="228">
        <v>39.69</v>
      </c>
      <c r="DE35" s="228">
        <v>39.74</v>
      </c>
      <c r="DF35" s="228">
        <v>-7.52</v>
      </c>
      <c r="DG35" s="228">
        <v>-0.05</v>
      </c>
      <c r="DH35" s="228">
        <v>31.97</v>
      </c>
      <c r="DI35" s="228">
        <v>32.06</v>
      </c>
      <c r="DJ35" s="228">
        <v>-0.09</v>
      </c>
      <c r="DK35" s="228">
        <v>-0.09</v>
      </c>
      <c r="DL35" s="228">
        <v>32.36</v>
      </c>
      <c r="DM35" s="228">
        <v>31.69</v>
      </c>
      <c r="DN35" s="228">
        <v>0.67</v>
      </c>
      <c r="DO35" s="228">
        <v>0.67</v>
      </c>
      <c r="DP35" s="228">
        <v>1.17</v>
      </c>
      <c r="DQ35" s="228">
        <v>0.69</v>
      </c>
      <c r="DR35" s="228">
        <v>0.48</v>
      </c>
      <c r="DS35" s="229">
        <v>0.69569999999999999</v>
      </c>
      <c r="DT35" s="231">
        <v>1200</v>
      </c>
      <c r="DU35" s="231">
        <v>1140</v>
      </c>
      <c r="DV35" s="228">
        <v>0.97</v>
      </c>
      <c r="DW35" s="228">
        <v>1.1299999999999999</v>
      </c>
      <c r="DX35" s="228">
        <v>-0.16</v>
      </c>
      <c r="DY35" s="229">
        <v>-0.1416</v>
      </c>
      <c r="DZ35" s="229">
        <v>0.94940000000000002</v>
      </c>
      <c r="EA35" s="230">
        <v>10069500</v>
      </c>
      <c r="EB35" s="229">
        <v>3.5000000000000001E-3</v>
      </c>
      <c r="EC35" s="229">
        <v>0.94940000000000002</v>
      </c>
      <c r="ED35" s="228">
        <v>2.86</v>
      </c>
      <c r="EE35" s="229">
        <v>2.5000000000000001E-3</v>
      </c>
      <c r="EF35" s="230">
        <v>726033</v>
      </c>
      <c r="EG35" s="230">
        <v>625871</v>
      </c>
      <c r="EH35" s="229">
        <v>0.16</v>
      </c>
      <c r="EI35" s="229">
        <v>0.371</v>
      </c>
      <c r="EJ35" s="231">
        <v>51271.96</v>
      </c>
      <c r="EK35" s="231">
        <v>47405.95</v>
      </c>
      <c r="EL35" s="231">
        <v>88382.04</v>
      </c>
      <c r="EM35" s="228">
        <v>0</v>
      </c>
      <c r="EN35" s="231">
        <v>187059.95</v>
      </c>
      <c r="EO35" s="231">
        <v>231342.76</v>
      </c>
      <c r="EP35" s="231">
        <v>-44282.81</v>
      </c>
      <c r="EQ35" s="229">
        <v>-0.19139999999999999</v>
      </c>
      <c r="ER35" s="231">
        <v>19026</v>
      </c>
      <c r="ES35" s="231">
        <v>20845</v>
      </c>
      <c r="ET35" s="231">
        <v>131106</v>
      </c>
      <c r="EU35" s="231">
        <v>53477001</v>
      </c>
      <c r="EV35" s="231">
        <v>170978</v>
      </c>
      <c r="EW35" s="231">
        <v>223644</v>
      </c>
      <c r="EX35" s="231">
        <v>-52666</v>
      </c>
      <c r="EY35" s="229">
        <v>-0.23549999999999999</v>
      </c>
      <c r="EZ35" s="229">
        <v>0.27089999999999997</v>
      </c>
      <c r="FA35" s="227" t="s">
        <v>568</v>
      </c>
      <c r="FB35" s="161">
        <f t="shared" si="0"/>
        <v>10594000</v>
      </c>
    </row>
    <row r="36" spans="1:158" ht="17.25" thickBot="1" x14ac:dyDescent="0.3">
      <c r="A36" s="226">
        <v>45869</v>
      </c>
      <c r="B36" s="227" t="s">
        <v>188</v>
      </c>
      <c r="C36" s="227" t="s">
        <v>189</v>
      </c>
      <c r="D36" s="228">
        <v>475</v>
      </c>
      <c r="E36" s="231">
        <v>1921.7</v>
      </c>
      <c r="F36" s="231">
        <v>1943.6</v>
      </c>
      <c r="G36" s="228">
        <v>-21.9</v>
      </c>
      <c r="H36" s="229">
        <v>-1.1299999999999999E-2</v>
      </c>
      <c r="I36" s="231">
        <v>1914.3</v>
      </c>
      <c r="J36" s="231">
        <v>1932.6</v>
      </c>
      <c r="K36" s="228">
        <v>-18.3</v>
      </c>
      <c r="L36" s="229">
        <v>-9.4999999999999998E-3</v>
      </c>
      <c r="M36" s="231">
        <v>1911.1</v>
      </c>
      <c r="N36" s="231">
        <v>1932.6</v>
      </c>
      <c r="O36" s="228">
        <v>-21.5</v>
      </c>
      <c r="P36" s="229">
        <v>-1.11E-2</v>
      </c>
      <c r="Q36" s="231">
        <v>1921.7</v>
      </c>
      <c r="R36" s="231">
        <v>1943.6</v>
      </c>
      <c r="S36" s="228">
        <v>-21.9</v>
      </c>
      <c r="T36" s="229">
        <v>-1.1299999999999999E-2</v>
      </c>
      <c r="U36" s="231">
        <v>1932.8</v>
      </c>
      <c r="V36" s="231">
        <v>1955</v>
      </c>
      <c r="W36" s="228">
        <v>-22.2</v>
      </c>
      <c r="X36" s="229">
        <v>-1.14E-2</v>
      </c>
      <c r="Y36" s="228">
        <v>7.4</v>
      </c>
      <c r="Z36" s="228">
        <v>0</v>
      </c>
      <c r="AA36" s="228">
        <v>7.4</v>
      </c>
      <c r="AB36" s="229">
        <v>3.8999999999999998E-3</v>
      </c>
      <c r="AC36" s="228">
        <v>-3.2</v>
      </c>
      <c r="AD36" s="228">
        <v>0</v>
      </c>
      <c r="AE36" s="228">
        <v>-3.2</v>
      </c>
      <c r="AF36" s="229">
        <v>-1.6999999999999999E-3</v>
      </c>
      <c r="AG36" s="228">
        <v>7.4</v>
      </c>
      <c r="AH36" s="228">
        <v>11</v>
      </c>
      <c r="AI36" s="228">
        <v>-3.6</v>
      </c>
      <c r="AJ36" s="229">
        <v>3.8999999999999998E-3</v>
      </c>
      <c r="AK36" s="228">
        <v>18.5</v>
      </c>
      <c r="AL36" s="228">
        <v>22.4</v>
      </c>
      <c r="AM36" s="228">
        <v>-3.9</v>
      </c>
      <c r="AN36" s="229">
        <v>9.7000000000000003E-3</v>
      </c>
      <c r="AO36" s="231">
        <v>1908.9</v>
      </c>
      <c r="AP36" s="231">
        <v>1919.68</v>
      </c>
      <c r="AQ36" s="228">
        <v>0</v>
      </c>
      <c r="AR36" s="230">
        <v>16452575</v>
      </c>
      <c r="AS36" s="230">
        <v>20044050</v>
      </c>
      <c r="AT36" s="230">
        <v>-3591475</v>
      </c>
      <c r="AU36" s="229">
        <v>-0.1792</v>
      </c>
      <c r="AV36" s="230">
        <v>7420450</v>
      </c>
      <c r="AW36" s="230">
        <v>10042450</v>
      </c>
      <c r="AX36" s="230">
        <v>-2622000</v>
      </c>
      <c r="AY36" s="229">
        <v>-0.2611</v>
      </c>
      <c r="AZ36" s="230">
        <v>8948525</v>
      </c>
      <c r="BA36" s="230">
        <v>9943175</v>
      </c>
      <c r="BB36" s="230">
        <v>-994650</v>
      </c>
      <c r="BC36" s="229">
        <v>-0.1</v>
      </c>
      <c r="BD36" s="230">
        <v>83600</v>
      </c>
      <c r="BE36" s="230">
        <v>58425</v>
      </c>
      <c r="BF36" s="230">
        <v>25175</v>
      </c>
      <c r="BG36" s="229">
        <v>0.43090000000000001</v>
      </c>
      <c r="BH36" s="230">
        <v>13553175</v>
      </c>
      <c r="BI36" s="230">
        <v>21854750</v>
      </c>
      <c r="BJ36" s="230">
        <v>-8301575</v>
      </c>
      <c r="BK36" s="229">
        <v>-0.37990000000000002</v>
      </c>
      <c r="BL36" s="230">
        <v>7124050</v>
      </c>
      <c r="BM36" s="230">
        <v>9040200</v>
      </c>
      <c r="BN36" s="230">
        <v>-1916150</v>
      </c>
      <c r="BO36" s="229">
        <v>-0.21199999999999999</v>
      </c>
      <c r="BP36" s="230">
        <v>37129800</v>
      </c>
      <c r="BQ36" s="230">
        <v>50939000</v>
      </c>
      <c r="BR36" s="230">
        <v>-13809200</v>
      </c>
      <c r="BS36" s="229">
        <v>-0.27110000000000001</v>
      </c>
      <c r="BT36" s="230">
        <v>5301549</v>
      </c>
      <c r="BU36" s="230">
        <v>5306088</v>
      </c>
      <c r="BV36" s="230">
        <v>-4539</v>
      </c>
      <c r="BW36" s="229">
        <v>-8.9999999999999998E-4</v>
      </c>
      <c r="BX36" s="230">
        <v>44553575</v>
      </c>
      <c r="BY36" s="230">
        <v>47662925</v>
      </c>
      <c r="BZ36" s="230">
        <v>-3109350</v>
      </c>
      <c r="CA36" s="229">
        <v>-6.5199999999999994E-2</v>
      </c>
      <c r="CB36" s="230">
        <v>3514525</v>
      </c>
      <c r="CC36" s="230">
        <v>8634550</v>
      </c>
      <c r="CD36" s="230">
        <v>-5120025</v>
      </c>
      <c r="CE36" s="229">
        <v>-0.59299999999999997</v>
      </c>
      <c r="CF36" s="230">
        <v>42769000</v>
      </c>
      <c r="CG36" s="230">
        <v>37251400</v>
      </c>
      <c r="CH36" s="230">
        <v>5517600</v>
      </c>
      <c r="CI36" s="229">
        <v>0.14810000000000001</v>
      </c>
      <c r="CJ36" s="230">
        <v>1784575</v>
      </c>
      <c r="CK36" s="230">
        <v>1776975</v>
      </c>
      <c r="CL36" s="230">
        <v>7600</v>
      </c>
      <c r="CM36" s="229">
        <v>4.3E-3</v>
      </c>
      <c r="CN36" s="230">
        <v>4568075</v>
      </c>
      <c r="CO36" s="230">
        <v>16831150</v>
      </c>
      <c r="CP36" s="230">
        <v>-12263075</v>
      </c>
      <c r="CQ36" s="229">
        <v>-0.72860000000000003</v>
      </c>
      <c r="CR36" s="230">
        <v>2858075</v>
      </c>
      <c r="CS36" s="230">
        <v>7743925</v>
      </c>
      <c r="CT36" s="230">
        <v>-4885850</v>
      </c>
      <c r="CU36" s="229">
        <v>-0.63090000000000002</v>
      </c>
      <c r="CV36" s="230">
        <v>51979725</v>
      </c>
      <c r="CW36" s="230">
        <v>72238000</v>
      </c>
      <c r="CX36" s="230">
        <v>-20258275</v>
      </c>
      <c r="CY36" s="229">
        <v>-0.28039999999999998</v>
      </c>
      <c r="CZ36" s="228">
        <v>20.6</v>
      </c>
      <c r="DA36" s="228">
        <v>21.37</v>
      </c>
      <c r="DB36" s="228">
        <v>-0.77</v>
      </c>
      <c r="DC36" s="228">
        <v>-0.77</v>
      </c>
      <c r="DD36" s="228">
        <v>26.35</v>
      </c>
      <c r="DE36" s="228">
        <v>26.39</v>
      </c>
      <c r="DF36" s="228">
        <v>-5.75</v>
      </c>
      <c r="DG36" s="228">
        <v>-0.04</v>
      </c>
      <c r="DH36" s="228">
        <v>20.68</v>
      </c>
      <c r="DI36" s="228">
        <v>21.18</v>
      </c>
      <c r="DJ36" s="228">
        <v>-0.5</v>
      </c>
      <c r="DK36" s="228">
        <v>-0.5</v>
      </c>
      <c r="DL36" s="228">
        <v>20.45</v>
      </c>
      <c r="DM36" s="228">
        <v>21.98</v>
      </c>
      <c r="DN36" s="228">
        <v>-1.53</v>
      </c>
      <c r="DO36" s="228">
        <v>-1.53</v>
      </c>
      <c r="DP36" s="228">
        <v>0.63</v>
      </c>
      <c r="DQ36" s="228">
        <v>0.46</v>
      </c>
      <c r="DR36" s="228">
        <v>0.17</v>
      </c>
      <c r="DS36" s="229">
        <v>0.36959999999999998</v>
      </c>
      <c r="DT36" s="231">
        <v>2040</v>
      </c>
      <c r="DU36" s="231">
        <v>2020</v>
      </c>
      <c r="DV36" s="228">
        <v>0.53</v>
      </c>
      <c r="DW36" s="228">
        <v>0.41</v>
      </c>
      <c r="DX36" s="228">
        <v>0.12</v>
      </c>
      <c r="DY36" s="229">
        <v>0.29270000000000002</v>
      </c>
      <c r="DZ36" s="229">
        <v>0.92689999999999995</v>
      </c>
      <c r="EA36" s="230">
        <v>39028375</v>
      </c>
      <c r="EB36" s="229">
        <v>5.4999999999999997E-3</v>
      </c>
      <c r="EC36" s="229">
        <v>0.92689999999999995</v>
      </c>
      <c r="ED36" s="228">
        <v>10.78</v>
      </c>
      <c r="EE36" s="229">
        <v>5.5999999999999999E-3</v>
      </c>
      <c r="EF36" s="230">
        <v>3005828</v>
      </c>
      <c r="EG36" s="230">
        <v>3598876</v>
      </c>
      <c r="EH36" s="229">
        <v>-0.1648</v>
      </c>
      <c r="EI36" s="229">
        <v>0.56699999999999995</v>
      </c>
      <c r="EJ36" s="231">
        <v>268860.15000000002</v>
      </c>
      <c r="EK36" s="231">
        <v>137718.91</v>
      </c>
      <c r="EL36" s="231">
        <v>315046.01</v>
      </c>
      <c r="EM36" s="228">
        <v>0</v>
      </c>
      <c r="EN36" s="231">
        <v>721625.07</v>
      </c>
      <c r="EO36" s="231">
        <v>993378.2</v>
      </c>
      <c r="EP36" s="231">
        <v>-271753.13</v>
      </c>
      <c r="EQ36" s="229">
        <v>-0.27360000000000001</v>
      </c>
      <c r="ER36" s="231">
        <v>91249</v>
      </c>
      <c r="ES36" s="231">
        <v>53920</v>
      </c>
      <c r="ET36" s="231">
        <v>856384</v>
      </c>
      <c r="EU36" s="231">
        <v>579085354</v>
      </c>
      <c r="EV36" s="231">
        <v>1001553</v>
      </c>
      <c r="EW36" s="231">
        <v>1412345</v>
      </c>
      <c r="EX36" s="231">
        <v>-410792</v>
      </c>
      <c r="EY36" s="229">
        <v>-0.29089999999999999</v>
      </c>
      <c r="EZ36" s="229">
        <v>8.9800000000000005E-2</v>
      </c>
      <c r="FA36" s="227" t="s">
        <v>568</v>
      </c>
      <c r="FB36" s="161">
        <f t="shared" si="0"/>
        <v>41039050</v>
      </c>
    </row>
    <row r="37" spans="1:158" ht="17.25" thickBot="1" x14ac:dyDescent="0.3">
      <c r="A37" s="226">
        <v>45869</v>
      </c>
      <c r="B37" s="227" t="s">
        <v>184</v>
      </c>
      <c r="C37" s="227" t="s">
        <v>190</v>
      </c>
      <c r="D37" s="228">
        <v>2625</v>
      </c>
      <c r="E37" s="228">
        <v>239.1</v>
      </c>
      <c r="F37" s="228">
        <v>242.7</v>
      </c>
      <c r="G37" s="228">
        <v>-3.6</v>
      </c>
      <c r="H37" s="229">
        <v>-1.4800000000000001E-2</v>
      </c>
      <c r="I37" s="228">
        <v>238.45</v>
      </c>
      <c r="J37" s="228">
        <v>241.65</v>
      </c>
      <c r="K37" s="228">
        <v>-3.2</v>
      </c>
      <c r="L37" s="229">
        <v>-1.32E-2</v>
      </c>
      <c r="M37" s="228">
        <v>238.2</v>
      </c>
      <c r="N37" s="228">
        <v>241.95</v>
      </c>
      <c r="O37" s="228">
        <v>-3.75</v>
      </c>
      <c r="P37" s="229">
        <v>-1.55E-2</v>
      </c>
      <c r="Q37" s="228">
        <v>239.1</v>
      </c>
      <c r="R37" s="228">
        <v>242.7</v>
      </c>
      <c r="S37" s="228">
        <v>-3.6</v>
      </c>
      <c r="T37" s="229">
        <v>-1.4800000000000001E-2</v>
      </c>
      <c r="U37" s="228">
        <v>240.45</v>
      </c>
      <c r="V37" s="228">
        <v>244.05</v>
      </c>
      <c r="W37" s="228">
        <v>-3.6</v>
      </c>
      <c r="X37" s="229">
        <v>-1.4800000000000001E-2</v>
      </c>
      <c r="Y37" s="228">
        <v>0.65</v>
      </c>
      <c r="Z37" s="228">
        <v>0.3</v>
      </c>
      <c r="AA37" s="228">
        <v>0.35</v>
      </c>
      <c r="AB37" s="229">
        <v>2.7000000000000001E-3</v>
      </c>
      <c r="AC37" s="228">
        <v>-0.25</v>
      </c>
      <c r="AD37" s="228">
        <v>0.3</v>
      </c>
      <c r="AE37" s="228">
        <v>-0.55000000000000004</v>
      </c>
      <c r="AF37" s="229">
        <v>-1E-3</v>
      </c>
      <c r="AG37" s="228">
        <v>0.65</v>
      </c>
      <c r="AH37" s="228">
        <v>1.05</v>
      </c>
      <c r="AI37" s="228">
        <v>-0.4</v>
      </c>
      <c r="AJ37" s="229">
        <v>2.7000000000000001E-3</v>
      </c>
      <c r="AK37" s="228">
        <v>2</v>
      </c>
      <c r="AL37" s="228">
        <v>2.4</v>
      </c>
      <c r="AM37" s="228">
        <v>-0.4</v>
      </c>
      <c r="AN37" s="229">
        <v>8.3999999999999995E-3</v>
      </c>
      <c r="AO37" s="228">
        <v>239.35</v>
      </c>
      <c r="AP37" s="228">
        <v>240.01</v>
      </c>
      <c r="AQ37" s="228">
        <v>0</v>
      </c>
      <c r="AR37" s="230">
        <v>38750250</v>
      </c>
      <c r="AS37" s="230">
        <v>34272000</v>
      </c>
      <c r="AT37" s="230">
        <v>4478250</v>
      </c>
      <c r="AU37" s="229">
        <v>0.13070000000000001</v>
      </c>
      <c r="AV37" s="230">
        <v>16600500</v>
      </c>
      <c r="AW37" s="230">
        <v>16852500</v>
      </c>
      <c r="AX37" s="230">
        <v>-252000</v>
      </c>
      <c r="AY37" s="229">
        <v>-1.4999999999999999E-2</v>
      </c>
      <c r="AZ37" s="230">
        <v>21653625</v>
      </c>
      <c r="BA37" s="230">
        <v>17115000</v>
      </c>
      <c r="BB37" s="230">
        <v>4538625</v>
      </c>
      <c r="BC37" s="229">
        <v>0.26519999999999999</v>
      </c>
      <c r="BD37" s="230">
        <v>496125</v>
      </c>
      <c r="BE37" s="230">
        <v>304500</v>
      </c>
      <c r="BF37" s="230">
        <v>191625</v>
      </c>
      <c r="BG37" s="229">
        <v>0.62929999999999997</v>
      </c>
      <c r="BH37" s="230">
        <v>24289125</v>
      </c>
      <c r="BI37" s="230">
        <v>18787125</v>
      </c>
      <c r="BJ37" s="230">
        <v>5502000</v>
      </c>
      <c r="BK37" s="229">
        <v>0.29289999999999999</v>
      </c>
      <c r="BL37" s="230">
        <v>15792000</v>
      </c>
      <c r="BM37" s="230">
        <v>10437000</v>
      </c>
      <c r="BN37" s="230">
        <v>5355000</v>
      </c>
      <c r="BO37" s="229">
        <v>0.5131</v>
      </c>
      <c r="BP37" s="230">
        <v>78831375</v>
      </c>
      <c r="BQ37" s="230">
        <v>63496125</v>
      </c>
      <c r="BR37" s="230">
        <v>15335250</v>
      </c>
      <c r="BS37" s="229">
        <v>0.24149999999999999</v>
      </c>
      <c r="BT37" s="230">
        <v>5096697</v>
      </c>
      <c r="BU37" s="230">
        <v>3270498</v>
      </c>
      <c r="BV37" s="230">
        <v>1826199</v>
      </c>
      <c r="BW37" s="229">
        <v>0.55840000000000001</v>
      </c>
      <c r="BX37" s="230">
        <v>52198125</v>
      </c>
      <c r="BY37" s="230">
        <v>56568750</v>
      </c>
      <c r="BZ37" s="230">
        <v>-4370625</v>
      </c>
      <c r="CA37" s="229">
        <v>-7.7299999999999994E-2</v>
      </c>
      <c r="CB37" s="230">
        <v>3640875</v>
      </c>
      <c r="CC37" s="230">
        <v>13776000</v>
      </c>
      <c r="CD37" s="230">
        <v>-10135125</v>
      </c>
      <c r="CE37" s="229">
        <v>-0.73570000000000002</v>
      </c>
      <c r="CF37" s="230">
        <v>50654625</v>
      </c>
      <c r="CG37" s="230">
        <v>41425125</v>
      </c>
      <c r="CH37" s="230">
        <v>9229500</v>
      </c>
      <c r="CI37" s="229">
        <v>0.2228</v>
      </c>
      <c r="CJ37" s="230">
        <v>1543500</v>
      </c>
      <c r="CK37" s="230">
        <v>1367625</v>
      </c>
      <c r="CL37" s="230">
        <v>175875</v>
      </c>
      <c r="CM37" s="229">
        <v>0.12859999999999999</v>
      </c>
      <c r="CN37" s="230">
        <v>13487250</v>
      </c>
      <c r="CO37" s="230">
        <v>33518625</v>
      </c>
      <c r="CP37" s="230">
        <v>-20031375</v>
      </c>
      <c r="CQ37" s="229">
        <v>-0.59760000000000002</v>
      </c>
      <c r="CR37" s="230">
        <v>11308500</v>
      </c>
      <c r="CS37" s="230">
        <v>18776625</v>
      </c>
      <c r="CT37" s="230">
        <v>-7468125</v>
      </c>
      <c r="CU37" s="229">
        <v>-0.3977</v>
      </c>
      <c r="CV37" s="230">
        <v>76993875</v>
      </c>
      <c r="CW37" s="230">
        <v>108864000</v>
      </c>
      <c r="CX37" s="230">
        <v>-31870125</v>
      </c>
      <c r="CY37" s="229">
        <v>-0.2928</v>
      </c>
      <c r="CZ37" s="228">
        <v>37.74</v>
      </c>
      <c r="DA37" s="228">
        <v>36.090000000000003</v>
      </c>
      <c r="DB37" s="228">
        <v>1.65</v>
      </c>
      <c r="DC37" s="228">
        <v>1.65</v>
      </c>
      <c r="DD37" s="228">
        <v>48.95</v>
      </c>
      <c r="DE37" s="228">
        <v>49.03</v>
      </c>
      <c r="DF37" s="228">
        <v>-11.21</v>
      </c>
      <c r="DG37" s="228">
        <v>-0.08</v>
      </c>
      <c r="DH37" s="228">
        <v>38.380000000000003</v>
      </c>
      <c r="DI37" s="228">
        <v>36.409999999999997</v>
      </c>
      <c r="DJ37" s="228">
        <v>1.97</v>
      </c>
      <c r="DK37" s="228">
        <v>1.97</v>
      </c>
      <c r="DL37" s="228">
        <v>36.85</v>
      </c>
      <c r="DM37" s="228">
        <v>35.659999999999997</v>
      </c>
      <c r="DN37" s="228">
        <v>1.19</v>
      </c>
      <c r="DO37" s="228">
        <v>1.19</v>
      </c>
      <c r="DP37" s="228">
        <v>0.84</v>
      </c>
      <c r="DQ37" s="228">
        <v>0.56000000000000005</v>
      </c>
      <c r="DR37" s="228">
        <v>0.28000000000000003</v>
      </c>
      <c r="DS37" s="229">
        <v>0.5</v>
      </c>
      <c r="DT37" s="228">
        <v>270</v>
      </c>
      <c r="DU37" s="228">
        <v>240</v>
      </c>
      <c r="DV37" s="228">
        <v>0.65</v>
      </c>
      <c r="DW37" s="228">
        <v>0.56000000000000005</v>
      </c>
      <c r="DX37" s="228">
        <v>0.09</v>
      </c>
      <c r="DY37" s="229">
        <v>0.16070000000000001</v>
      </c>
      <c r="DZ37" s="229">
        <v>0.93479999999999996</v>
      </c>
      <c r="EA37" s="230">
        <v>42792750</v>
      </c>
      <c r="EB37" s="229">
        <v>3.8E-3</v>
      </c>
      <c r="EC37" s="229">
        <v>0.93479999999999996</v>
      </c>
      <c r="ED37" s="228">
        <v>0.66</v>
      </c>
      <c r="EE37" s="229">
        <v>2.8E-3</v>
      </c>
      <c r="EF37" s="230">
        <v>1725104</v>
      </c>
      <c r="EG37" s="230">
        <v>847004</v>
      </c>
      <c r="EH37" s="229">
        <v>1.0367</v>
      </c>
      <c r="EI37" s="229">
        <v>0.33850000000000002</v>
      </c>
      <c r="EJ37" s="231">
        <v>61971.02</v>
      </c>
      <c r="EK37" s="231">
        <v>39106.480000000003</v>
      </c>
      <c r="EL37" s="231">
        <v>92900.800000000003</v>
      </c>
      <c r="EM37" s="228">
        <v>0</v>
      </c>
      <c r="EN37" s="231">
        <v>193978.3</v>
      </c>
      <c r="EO37" s="231">
        <v>157084.57</v>
      </c>
      <c r="EP37" s="231">
        <v>36893.730000000003</v>
      </c>
      <c r="EQ37" s="229">
        <v>0.2349</v>
      </c>
      <c r="ER37" s="231">
        <v>34666</v>
      </c>
      <c r="ES37" s="231">
        <v>27269</v>
      </c>
      <c r="ET37" s="231">
        <v>124827</v>
      </c>
      <c r="EU37" s="231">
        <v>256482590</v>
      </c>
      <c r="EV37" s="231">
        <v>186761</v>
      </c>
      <c r="EW37" s="231">
        <v>272614</v>
      </c>
      <c r="EX37" s="231">
        <v>-85853</v>
      </c>
      <c r="EY37" s="229">
        <v>-0.31490000000000001</v>
      </c>
      <c r="EZ37" s="229">
        <v>0.30020000000000002</v>
      </c>
      <c r="FA37" s="227" t="s">
        <v>568</v>
      </c>
      <c r="FB37" s="161">
        <f t="shared" si="0"/>
        <v>48557250</v>
      </c>
    </row>
    <row r="38" spans="1:158" ht="17.25" thickBot="1" x14ac:dyDescent="0.3">
      <c r="A38" s="226">
        <v>45869</v>
      </c>
      <c r="B38" s="227" t="s">
        <v>170</v>
      </c>
      <c r="C38" s="227" t="s">
        <v>191</v>
      </c>
      <c r="D38" s="228">
        <v>2500</v>
      </c>
      <c r="E38" s="228">
        <v>393.55</v>
      </c>
      <c r="F38" s="228">
        <v>400</v>
      </c>
      <c r="G38" s="228">
        <v>-6.45</v>
      </c>
      <c r="H38" s="229">
        <v>-1.61E-2</v>
      </c>
      <c r="I38" s="228">
        <v>391.4</v>
      </c>
      <c r="J38" s="228">
        <v>397.3</v>
      </c>
      <c r="K38" s="228">
        <v>-5.9</v>
      </c>
      <c r="L38" s="229">
        <v>-1.49E-2</v>
      </c>
      <c r="M38" s="228">
        <v>391</v>
      </c>
      <c r="N38" s="228">
        <v>398.05</v>
      </c>
      <c r="O38" s="228">
        <v>-7.05</v>
      </c>
      <c r="P38" s="229">
        <v>-1.77E-2</v>
      </c>
      <c r="Q38" s="228">
        <v>393.55</v>
      </c>
      <c r="R38" s="228">
        <v>400</v>
      </c>
      <c r="S38" s="228">
        <v>-6.45</v>
      </c>
      <c r="T38" s="229">
        <v>-1.61E-2</v>
      </c>
      <c r="U38" s="228">
        <v>395.8</v>
      </c>
      <c r="V38" s="228">
        <v>402.2</v>
      </c>
      <c r="W38" s="228">
        <v>-6.4</v>
      </c>
      <c r="X38" s="229">
        <v>-1.5900000000000001E-2</v>
      </c>
      <c r="Y38" s="228">
        <v>2.15</v>
      </c>
      <c r="Z38" s="228">
        <v>0.75</v>
      </c>
      <c r="AA38" s="228">
        <v>1.4</v>
      </c>
      <c r="AB38" s="229">
        <v>5.4999999999999997E-3</v>
      </c>
      <c r="AC38" s="228">
        <v>-0.4</v>
      </c>
      <c r="AD38" s="228">
        <v>0.75</v>
      </c>
      <c r="AE38" s="228">
        <v>-1.1499999999999999</v>
      </c>
      <c r="AF38" s="229">
        <v>-1E-3</v>
      </c>
      <c r="AG38" s="228">
        <v>2.15</v>
      </c>
      <c r="AH38" s="228">
        <v>2.7</v>
      </c>
      <c r="AI38" s="228">
        <v>-0.55000000000000004</v>
      </c>
      <c r="AJ38" s="229">
        <v>5.4999999999999997E-3</v>
      </c>
      <c r="AK38" s="228">
        <v>4.4000000000000004</v>
      </c>
      <c r="AL38" s="228">
        <v>4.9000000000000004</v>
      </c>
      <c r="AM38" s="228">
        <v>-0.5</v>
      </c>
      <c r="AN38" s="229">
        <v>1.12E-2</v>
      </c>
      <c r="AO38" s="228">
        <v>392.03</v>
      </c>
      <c r="AP38" s="228">
        <v>394.26</v>
      </c>
      <c r="AQ38" s="228">
        <v>0</v>
      </c>
      <c r="AR38" s="230">
        <v>28787500</v>
      </c>
      <c r="AS38" s="230">
        <v>26525000</v>
      </c>
      <c r="AT38" s="230">
        <v>2262500</v>
      </c>
      <c r="AU38" s="229">
        <v>8.5300000000000001E-2</v>
      </c>
      <c r="AV38" s="230">
        <v>12090000</v>
      </c>
      <c r="AW38" s="230">
        <v>11555000</v>
      </c>
      <c r="AX38" s="230">
        <v>535000</v>
      </c>
      <c r="AY38" s="229">
        <v>4.6300000000000001E-2</v>
      </c>
      <c r="AZ38" s="230">
        <v>16430000</v>
      </c>
      <c r="BA38" s="230">
        <v>14755000</v>
      </c>
      <c r="BB38" s="230">
        <v>1675000</v>
      </c>
      <c r="BC38" s="229">
        <v>0.1135</v>
      </c>
      <c r="BD38" s="230">
        <v>267500</v>
      </c>
      <c r="BE38" s="230">
        <v>215000</v>
      </c>
      <c r="BF38" s="230">
        <v>52500</v>
      </c>
      <c r="BG38" s="229">
        <v>0.2442</v>
      </c>
      <c r="BH38" s="230">
        <v>17157500</v>
      </c>
      <c r="BI38" s="230">
        <v>26165000</v>
      </c>
      <c r="BJ38" s="230">
        <v>-9007500</v>
      </c>
      <c r="BK38" s="229">
        <v>-0.34429999999999999</v>
      </c>
      <c r="BL38" s="230">
        <v>11285000</v>
      </c>
      <c r="BM38" s="230">
        <v>11547500</v>
      </c>
      <c r="BN38" s="230">
        <v>-262500</v>
      </c>
      <c r="BO38" s="229">
        <v>-2.2700000000000001E-2</v>
      </c>
      <c r="BP38" s="230">
        <v>57230000</v>
      </c>
      <c r="BQ38" s="230">
        <v>64237500</v>
      </c>
      <c r="BR38" s="230">
        <v>-7007500</v>
      </c>
      <c r="BS38" s="229">
        <v>-0.1091</v>
      </c>
      <c r="BT38" s="230">
        <v>3443650</v>
      </c>
      <c r="BU38" s="230">
        <v>6334173</v>
      </c>
      <c r="BV38" s="230">
        <v>-2890523</v>
      </c>
      <c r="BW38" s="229">
        <v>-0.45629999999999998</v>
      </c>
      <c r="BX38" s="230">
        <v>37530000</v>
      </c>
      <c r="BY38" s="230">
        <v>40842500</v>
      </c>
      <c r="BZ38" s="230">
        <v>-3312500</v>
      </c>
      <c r="CA38" s="229">
        <v>-8.1100000000000005E-2</v>
      </c>
      <c r="CB38" s="230">
        <v>2920000</v>
      </c>
      <c r="CC38" s="230">
        <v>9285000</v>
      </c>
      <c r="CD38" s="230">
        <v>-6365000</v>
      </c>
      <c r="CE38" s="229">
        <v>-0.6855</v>
      </c>
      <c r="CF38" s="230">
        <v>37100000</v>
      </c>
      <c r="CG38" s="230">
        <v>31192500</v>
      </c>
      <c r="CH38" s="230">
        <v>5907500</v>
      </c>
      <c r="CI38" s="229">
        <v>0.18940000000000001</v>
      </c>
      <c r="CJ38" s="230">
        <v>430000</v>
      </c>
      <c r="CK38" s="230">
        <v>365000</v>
      </c>
      <c r="CL38" s="230">
        <v>65000</v>
      </c>
      <c r="CM38" s="229">
        <v>0.17810000000000001</v>
      </c>
      <c r="CN38" s="230">
        <v>8167500</v>
      </c>
      <c r="CO38" s="230">
        <v>20822500</v>
      </c>
      <c r="CP38" s="230">
        <v>-12655000</v>
      </c>
      <c r="CQ38" s="229">
        <v>-0.60780000000000001</v>
      </c>
      <c r="CR38" s="230">
        <v>4592500</v>
      </c>
      <c r="CS38" s="230">
        <v>13100000</v>
      </c>
      <c r="CT38" s="230">
        <v>-8507500</v>
      </c>
      <c r="CU38" s="229">
        <v>-0.64939999999999998</v>
      </c>
      <c r="CV38" s="230">
        <v>50290000</v>
      </c>
      <c r="CW38" s="230">
        <v>74765000</v>
      </c>
      <c r="CX38" s="230">
        <v>-24475000</v>
      </c>
      <c r="CY38" s="229">
        <v>-0.32740000000000002</v>
      </c>
      <c r="CZ38" s="228">
        <v>35.450000000000003</v>
      </c>
      <c r="DA38" s="228">
        <v>35.04</v>
      </c>
      <c r="DB38" s="228">
        <v>0.41</v>
      </c>
      <c r="DC38" s="228">
        <v>0.41</v>
      </c>
      <c r="DD38" s="228">
        <v>41.02</v>
      </c>
      <c r="DE38" s="228">
        <v>41.07</v>
      </c>
      <c r="DF38" s="228">
        <v>-5.57</v>
      </c>
      <c r="DG38" s="228">
        <v>-0.05</v>
      </c>
      <c r="DH38" s="228">
        <v>35.56</v>
      </c>
      <c r="DI38" s="228">
        <v>34.590000000000003</v>
      </c>
      <c r="DJ38" s="228">
        <v>0.97</v>
      </c>
      <c r="DK38" s="228">
        <v>0.97</v>
      </c>
      <c r="DL38" s="228">
        <v>35.26</v>
      </c>
      <c r="DM38" s="228">
        <v>36.19</v>
      </c>
      <c r="DN38" s="228">
        <v>-0.93</v>
      </c>
      <c r="DO38" s="228">
        <v>-0.93</v>
      </c>
      <c r="DP38" s="228">
        <v>0.56000000000000005</v>
      </c>
      <c r="DQ38" s="228">
        <v>0.63</v>
      </c>
      <c r="DR38" s="228">
        <v>-7.0000000000000007E-2</v>
      </c>
      <c r="DS38" s="229">
        <v>-0.1111</v>
      </c>
      <c r="DT38" s="228">
        <v>400</v>
      </c>
      <c r="DU38" s="228">
        <v>350</v>
      </c>
      <c r="DV38" s="228">
        <v>0.66</v>
      </c>
      <c r="DW38" s="228">
        <v>0.44</v>
      </c>
      <c r="DX38" s="228">
        <v>0.22</v>
      </c>
      <c r="DY38" s="229">
        <v>0.5</v>
      </c>
      <c r="DZ38" s="229">
        <v>0.92779999999999996</v>
      </c>
      <c r="EA38" s="230">
        <v>31557500</v>
      </c>
      <c r="EB38" s="229">
        <v>6.4999999999999997E-3</v>
      </c>
      <c r="EC38" s="229">
        <v>0.92779999999999996</v>
      </c>
      <c r="ED38" s="228">
        <v>2.23</v>
      </c>
      <c r="EE38" s="229">
        <v>5.7000000000000002E-3</v>
      </c>
      <c r="EF38" s="230">
        <v>1578682</v>
      </c>
      <c r="EG38" s="230">
        <v>3277750</v>
      </c>
      <c r="EH38" s="229">
        <v>-0.51839999999999997</v>
      </c>
      <c r="EI38" s="229">
        <v>0.45839999999999997</v>
      </c>
      <c r="EJ38" s="231">
        <v>70820.58</v>
      </c>
      <c r="EK38" s="231">
        <v>43575.45</v>
      </c>
      <c r="EL38" s="231">
        <v>113233.95</v>
      </c>
      <c r="EM38" s="228">
        <v>0</v>
      </c>
      <c r="EN38" s="231">
        <v>227629.98</v>
      </c>
      <c r="EO38" s="231">
        <v>259068.7</v>
      </c>
      <c r="EP38" s="231">
        <v>-31438.720000000001</v>
      </c>
      <c r="EQ38" s="229">
        <v>-0.12139999999999999</v>
      </c>
      <c r="ER38" s="231">
        <v>34089</v>
      </c>
      <c r="ES38" s="231">
        <v>17305</v>
      </c>
      <c r="ET38" s="231">
        <v>147709</v>
      </c>
      <c r="EU38" s="231">
        <v>121306033</v>
      </c>
      <c r="EV38" s="231">
        <v>199103</v>
      </c>
      <c r="EW38" s="231">
        <v>295174</v>
      </c>
      <c r="EX38" s="231">
        <v>-96071</v>
      </c>
      <c r="EY38" s="229">
        <v>-0.32550000000000001</v>
      </c>
      <c r="EZ38" s="229">
        <v>0.41460000000000002</v>
      </c>
      <c r="FA38" s="227" t="s">
        <v>568</v>
      </c>
      <c r="FB38" s="161">
        <f t="shared" si="0"/>
        <v>34610000</v>
      </c>
    </row>
    <row r="39" spans="1:158" ht="17.25" thickBot="1" x14ac:dyDescent="0.3">
      <c r="A39" s="226">
        <v>45869</v>
      </c>
      <c r="B39" s="227" t="s">
        <v>184</v>
      </c>
      <c r="C39" s="227" t="s">
        <v>681</v>
      </c>
      <c r="D39" s="228">
        <v>325</v>
      </c>
      <c r="E39" s="231">
        <v>1743.9</v>
      </c>
      <c r="F39" s="231">
        <v>1748</v>
      </c>
      <c r="G39" s="228">
        <v>-4.0999999999999996</v>
      </c>
      <c r="H39" s="229">
        <v>-2.3E-3</v>
      </c>
      <c r="I39" s="231">
        <v>1738.1</v>
      </c>
      <c r="J39" s="231">
        <v>1754.7</v>
      </c>
      <c r="K39" s="228">
        <v>-16.600000000000001</v>
      </c>
      <c r="L39" s="229">
        <v>-9.4999999999999998E-3</v>
      </c>
      <c r="M39" s="231">
        <v>1739.3</v>
      </c>
      <c r="N39" s="231">
        <v>1754.7</v>
      </c>
      <c r="O39" s="228">
        <v>-15.4</v>
      </c>
      <c r="P39" s="229">
        <v>-8.8000000000000005E-3</v>
      </c>
      <c r="Q39" s="231">
        <v>1743.9</v>
      </c>
      <c r="R39" s="231">
        <v>1748</v>
      </c>
      <c r="S39" s="228">
        <v>-4.0999999999999996</v>
      </c>
      <c r="T39" s="229">
        <v>-2.3E-3</v>
      </c>
      <c r="U39" s="231">
        <v>1747.1</v>
      </c>
      <c r="V39" s="231">
        <v>1750</v>
      </c>
      <c r="W39" s="228">
        <v>-2.9</v>
      </c>
      <c r="X39" s="229">
        <v>-1.6999999999999999E-3</v>
      </c>
      <c r="Y39" s="228">
        <v>5.8</v>
      </c>
      <c r="Z39" s="228">
        <v>0</v>
      </c>
      <c r="AA39" s="228">
        <v>5.8</v>
      </c>
      <c r="AB39" s="229">
        <v>3.3E-3</v>
      </c>
      <c r="AC39" s="228">
        <v>1.2</v>
      </c>
      <c r="AD39" s="228">
        <v>0</v>
      </c>
      <c r="AE39" s="228">
        <v>1.2</v>
      </c>
      <c r="AF39" s="229">
        <v>6.9999999999999999E-4</v>
      </c>
      <c r="AG39" s="228">
        <v>5.8</v>
      </c>
      <c r="AH39" s="228">
        <v>-6.7</v>
      </c>
      <c r="AI39" s="228">
        <v>12.5</v>
      </c>
      <c r="AJ39" s="229">
        <v>3.3E-3</v>
      </c>
      <c r="AK39" s="228">
        <v>9</v>
      </c>
      <c r="AL39" s="228">
        <v>-4.7</v>
      </c>
      <c r="AM39" s="228">
        <v>13.7</v>
      </c>
      <c r="AN39" s="229">
        <v>5.1999999999999998E-3</v>
      </c>
      <c r="AO39" s="231">
        <v>1744.61</v>
      </c>
      <c r="AP39" s="231">
        <v>1747.72</v>
      </c>
      <c r="AQ39" s="228">
        <v>0</v>
      </c>
      <c r="AR39" s="230">
        <v>673400</v>
      </c>
      <c r="AS39" s="230">
        <v>1339000</v>
      </c>
      <c r="AT39" s="230">
        <v>-665600</v>
      </c>
      <c r="AU39" s="229">
        <v>-0.49709999999999999</v>
      </c>
      <c r="AV39" s="230">
        <v>302250</v>
      </c>
      <c r="AW39" s="230">
        <v>650000</v>
      </c>
      <c r="AX39" s="230">
        <v>-347750</v>
      </c>
      <c r="AY39" s="229">
        <v>-0.53500000000000003</v>
      </c>
      <c r="AZ39" s="230">
        <v>366275</v>
      </c>
      <c r="BA39" s="230">
        <v>678925</v>
      </c>
      <c r="BB39" s="230">
        <v>-312650</v>
      </c>
      <c r="BC39" s="229">
        <v>-0.46050000000000002</v>
      </c>
      <c r="BD39" s="230">
        <v>4875</v>
      </c>
      <c r="BE39" s="230">
        <v>10075</v>
      </c>
      <c r="BF39" s="230">
        <v>-5200</v>
      </c>
      <c r="BG39" s="229">
        <v>-0.5161</v>
      </c>
      <c r="BH39" s="230">
        <v>670150</v>
      </c>
      <c r="BI39" s="230">
        <v>867425</v>
      </c>
      <c r="BJ39" s="230">
        <v>-197275</v>
      </c>
      <c r="BK39" s="229">
        <v>-0.22739999999999999</v>
      </c>
      <c r="BL39" s="230">
        <v>632125</v>
      </c>
      <c r="BM39" s="230">
        <v>412750</v>
      </c>
      <c r="BN39" s="230">
        <v>219375</v>
      </c>
      <c r="BO39" s="229">
        <v>0.53149999999999997</v>
      </c>
      <c r="BP39" s="230">
        <v>1975675</v>
      </c>
      <c r="BQ39" s="230">
        <v>2619175</v>
      </c>
      <c r="BR39" s="230">
        <v>-643500</v>
      </c>
      <c r="BS39" s="229">
        <v>-0.2457</v>
      </c>
      <c r="BT39" s="230">
        <v>391930</v>
      </c>
      <c r="BU39" s="230">
        <v>182147</v>
      </c>
      <c r="BV39" s="230">
        <v>209783</v>
      </c>
      <c r="BW39" s="229">
        <v>1.1516999999999999</v>
      </c>
      <c r="BX39" s="230">
        <v>1258400</v>
      </c>
      <c r="BY39" s="230">
        <v>1481675</v>
      </c>
      <c r="BZ39" s="230">
        <v>-223275</v>
      </c>
      <c r="CA39" s="229">
        <v>-0.1507</v>
      </c>
      <c r="CB39" s="230">
        <v>156000</v>
      </c>
      <c r="CC39" s="230">
        <v>174850</v>
      </c>
      <c r="CD39" s="230">
        <v>-18850</v>
      </c>
      <c r="CE39" s="229">
        <v>-0.10780000000000001</v>
      </c>
      <c r="CF39" s="230">
        <v>1178775</v>
      </c>
      <c r="CG39" s="230">
        <v>1228175</v>
      </c>
      <c r="CH39" s="230">
        <v>-49400</v>
      </c>
      <c r="CI39" s="229">
        <v>-4.02E-2</v>
      </c>
      <c r="CJ39" s="230">
        <v>79625</v>
      </c>
      <c r="CK39" s="230">
        <v>78650</v>
      </c>
      <c r="CL39" s="228">
        <v>975</v>
      </c>
      <c r="CM39" s="229">
        <v>1.24E-2</v>
      </c>
      <c r="CN39" s="230">
        <v>201500</v>
      </c>
      <c r="CO39" s="230">
        <v>1039025</v>
      </c>
      <c r="CP39" s="230">
        <v>-837525</v>
      </c>
      <c r="CQ39" s="229">
        <v>-0.80610000000000004</v>
      </c>
      <c r="CR39" s="230">
        <v>99775</v>
      </c>
      <c r="CS39" s="230">
        <v>958100</v>
      </c>
      <c r="CT39" s="230">
        <v>-858325</v>
      </c>
      <c r="CU39" s="229">
        <v>-0.89590000000000003</v>
      </c>
      <c r="CV39" s="230">
        <v>1559675</v>
      </c>
      <c r="CW39" s="230">
        <v>3478800</v>
      </c>
      <c r="CX39" s="230">
        <v>-1919125</v>
      </c>
      <c r="CY39" s="229">
        <v>-0.55169999999999997</v>
      </c>
      <c r="CZ39" s="228">
        <v>33.409999999999997</v>
      </c>
      <c r="DA39" s="228">
        <v>33.71</v>
      </c>
      <c r="DB39" s="228">
        <v>-0.3</v>
      </c>
      <c r="DC39" s="228">
        <v>-0.3</v>
      </c>
      <c r="DD39" s="228">
        <v>44.4</v>
      </c>
      <c r="DE39" s="228">
        <v>44.49</v>
      </c>
      <c r="DF39" s="228">
        <v>-10.99</v>
      </c>
      <c r="DG39" s="228">
        <v>-0.09</v>
      </c>
      <c r="DH39" s="228">
        <v>33.630000000000003</v>
      </c>
      <c r="DI39" s="228">
        <v>33.54</v>
      </c>
      <c r="DJ39" s="228">
        <v>0.09</v>
      </c>
      <c r="DK39" s="228">
        <v>0.09</v>
      </c>
      <c r="DL39" s="228">
        <v>32.659999999999997</v>
      </c>
      <c r="DM39" s="228">
        <v>33.979999999999997</v>
      </c>
      <c r="DN39" s="228">
        <v>-1.32</v>
      </c>
      <c r="DO39" s="228">
        <v>-1.32</v>
      </c>
      <c r="DP39" s="228">
        <v>0.5</v>
      </c>
      <c r="DQ39" s="228">
        <v>0.92</v>
      </c>
      <c r="DR39" s="228">
        <v>-0.42</v>
      </c>
      <c r="DS39" s="229">
        <v>-0.45650000000000002</v>
      </c>
      <c r="DT39" s="231">
        <v>1900</v>
      </c>
      <c r="DU39" s="231">
        <v>1700</v>
      </c>
      <c r="DV39" s="228">
        <v>0.94</v>
      </c>
      <c r="DW39" s="228">
        <v>0.48</v>
      </c>
      <c r="DX39" s="228">
        <v>0.46</v>
      </c>
      <c r="DY39" s="229">
        <v>0.95830000000000004</v>
      </c>
      <c r="DZ39" s="229">
        <v>0.88970000000000005</v>
      </c>
      <c r="EA39" s="230">
        <v>1306825</v>
      </c>
      <c r="EB39" s="229">
        <v>2.5999999999999999E-3</v>
      </c>
      <c r="EC39" s="229">
        <v>0.88970000000000005</v>
      </c>
      <c r="ED39" s="228">
        <v>3.11</v>
      </c>
      <c r="EE39" s="229">
        <v>1.8E-3</v>
      </c>
      <c r="EF39" s="230">
        <v>209870</v>
      </c>
      <c r="EG39" s="230">
        <v>92378</v>
      </c>
      <c r="EH39" s="229">
        <v>1.2719</v>
      </c>
      <c r="EI39" s="229">
        <v>0.53549999999999998</v>
      </c>
      <c r="EJ39" s="231">
        <v>12580.54</v>
      </c>
      <c r="EK39" s="231">
        <v>10747.79</v>
      </c>
      <c r="EL39" s="231">
        <v>11759.63</v>
      </c>
      <c r="EM39" s="228">
        <v>0</v>
      </c>
      <c r="EN39" s="231">
        <v>35087.96</v>
      </c>
      <c r="EO39" s="231">
        <v>46548.59</v>
      </c>
      <c r="EP39" s="231">
        <v>-11460.63</v>
      </c>
      <c r="EQ39" s="229">
        <v>-0.2462</v>
      </c>
      <c r="ER39" s="231">
        <v>3812</v>
      </c>
      <c r="ES39" s="231">
        <v>1702</v>
      </c>
      <c r="ET39" s="231">
        <v>21948</v>
      </c>
      <c r="EU39" s="231">
        <v>26123462</v>
      </c>
      <c r="EV39" s="231">
        <v>27463</v>
      </c>
      <c r="EW39" s="231">
        <v>61301</v>
      </c>
      <c r="EX39" s="231">
        <v>-33838</v>
      </c>
      <c r="EY39" s="229">
        <v>-0.55200000000000005</v>
      </c>
      <c r="EZ39" s="229">
        <v>5.9700000000000003E-2</v>
      </c>
      <c r="FA39" s="227" t="s">
        <v>568</v>
      </c>
      <c r="FB39" s="161">
        <f t="shared" si="0"/>
        <v>1102400</v>
      </c>
    </row>
    <row r="40" spans="1:158" ht="17.25" thickBot="1" x14ac:dyDescent="0.3">
      <c r="A40" s="226">
        <v>45869</v>
      </c>
      <c r="B40" s="227" t="s">
        <v>162</v>
      </c>
      <c r="C40" s="227" t="s">
        <v>192</v>
      </c>
      <c r="D40" s="228">
        <v>25</v>
      </c>
      <c r="E40" s="231">
        <v>40495</v>
      </c>
      <c r="F40" s="231">
        <v>40250</v>
      </c>
      <c r="G40" s="228">
        <v>245</v>
      </c>
      <c r="H40" s="229">
        <v>6.1000000000000004E-3</v>
      </c>
      <c r="I40" s="231">
        <v>40385</v>
      </c>
      <c r="J40" s="231">
        <v>40060</v>
      </c>
      <c r="K40" s="228">
        <v>325</v>
      </c>
      <c r="L40" s="229">
        <v>8.0999999999999996E-3</v>
      </c>
      <c r="M40" s="231">
        <v>40310</v>
      </c>
      <c r="N40" s="231">
        <v>40045</v>
      </c>
      <c r="O40" s="228">
        <v>265</v>
      </c>
      <c r="P40" s="229">
        <v>6.6E-3</v>
      </c>
      <c r="Q40" s="231">
        <v>40495</v>
      </c>
      <c r="R40" s="231">
        <v>40250</v>
      </c>
      <c r="S40" s="228">
        <v>245</v>
      </c>
      <c r="T40" s="229">
        <v>6.1000000000000004E-3</v>
      </c>
      <c r="U40" s="231">
        <v>40670</v>
      </c>
      <c r="V40" s="231">
        <v>40415</v>
      </c>
      <c r="W40" s="228">
        <v>255</v>
      </c>
      <c r="X40" s="229">
        <v>6.3E-3</v>
      </c>
      <c r="Y40" s="228">
        <v>110</v>
      </c>
      <c r="Z40" s="228">
        <v>-15</v>
      </c>
      <c r="AA40" s="228">
        <v>125</v>
      </c>
      <c r="AB40" s="229">
        <v>2.7000000000000001E-3</v>
      </c>
      <c r="AC40" s="228">
        <v>-75</v>
      </c>
      <c r="AD40" s="228">
        <v>-15</v>
      </c>
      <c r="AE40" s="228">
        <v>-60</v>
      </c>
      <c r="AF40" s="229">
        <v>-1.9E-3</v>
      </c>
      <c r="AG40" s="228">
        <v>110</v>
      </c>
      <c r="AH40" s="228">
        <v>190</v>
      </c>
      <c r="AI40" s="228">
        <v>-80</v>
      </c>
      <c r="AJ40" s="229">
        <v>2.7000000000000001E-3</v>
      </c>
      <c r="AK40" s="228">
        <v>285</v>
      </c>
      <c r="AL40" s="228">
        <v>355</v>
      </c>
      <c r="AM40" s="228">
        <v>-70</v>
      </c>
      <c r="AN40" s="229">
        <v>7.1000000000000004E-3</v>
      </c>
      <c r="AO40" s="231">
        <v>40047.43</v>
      </c>
      <c r="AP40" s="231">
        <v>40269.39</v>
      </c>
      <c r="AQ40" s="228">
        <v>0</v>
      </c>
      <c r="AR40" s="230">
        <v>189750</v>
      </c>
      <c r="AS40" s="230">
        <v>308375</v>
      </c>
      <c r="AT40" s="230">
        <v>-118625</v>
      </c>
      <c r="AU40" s="229">
        <v>-0.38469999999999999</v>
      </c>
      <c r="AV40" s="230">
        <v>87350</v>
      </c>
      <c r="AW40" s="230">
        <v>137150</v>
      </c>
      <c r="AX40" s="230">
        <v>-49800</v>
      </c>
      <c r="AY40" s="229">
        <v>-0.36309999999999998</v>
      </c>
      <c r="AZ40" s="230">
        <v>98875</v>
      </c>
      <c r="BA40" s="230">
        <v>165450</v>
      </c>
      <c r="BB40" s="230">
        <v>-66575</v>
      </c>
      <c r="BC40" s="229">
        <v>-0.40239999999999998</v>
      </c>
      <c r="BD40" s="230">
        <v>3525</v>
      </c>
      <c r="BE40" s="230">
        <v>5775</v>
      </c>
      <c r="BF40" s="230">
        <v>-2250</v>
      </c>
      <c r="BG40" s="229">
        <v>-0.3896</v>
      </c>
      <c r="BH40" s="230">
        <v>1119650</v>
      </c>
      <c r="BI40" s="230">
        <v>3369250</v>
      </c>
      <c r="BJ40" s="230">
        <v>-2249600</v>
      </c>
      <c r="BK40" s="229">
        <v>-0.66769999999999996</v>
      </c>
      <c r="BL40" s="230">
        <v>633800</v>
      </c>
      <c r="BM40" s="230">
        <v>1643050</v>
      </c>
      <c r="BN40" s="230">
        <v>-1009250</v>
      </c>
      <c r="BO40" s="229">
        <v>-0.61429999999999996</v>
      </c>
      <c r="BP40" s="230">
        <v>1943200</v>
      </c>
      <c r="BQ40" s="230">
        <v>5320675</v>
      </c>
      <c r="BR40" s="230">
        <v>-3377475</v>
      </c>
      <c r="BS40" s="229">
        <v>-0.63480000000000003</v>
      </c>
      <c r="BT40" s="230">
        <v>47325</v>
      </c>
      <c r="BU40" s="230">
        <v>102880</v>
      </c>
      <c r="BV40" s="230">
        <v>-55555</v>
      </c>
      <c r="BW40" s="229">
        <v>-0.54</v>
      </c>
      <c r="BX40" s="230">
        <v>325850</v>
      </c>
      <c r="BY40" s="230">
        <v>367125</v>
      </c>
      <c r="BZ40" s="230">
        <v>-41275</v>
      </c>
      <c r="CA40" s="229">
        <v>-0.1124</v>
      </c>
      <c r="CB40" s="230">
        <v>29075</v>
      </c>
      <c r="CC40" s="230">
        <v>59725</v>
      </c>
      <c r="CD40" s="230">
        <v>-30650</v>
      </c>
      <c r="CE40" s="229">
        <v>-0.51319999999999999</v>
      </c>
      <c r="CF40" s="230">
        <v>318650</v>
      </c>
      <c r="CG40" s="230">
        <v>301300</v>
      </c>
      <c r="CH40" s="230">
        <v>17350</v>
      </c>
      <c r="CI40" s="229">
        <v>5.7599999999999998E-2</v>
      </c>
      <c r="CJ40" s="230">
        <v>7200</v>
      </c>
      <c r="CK40" s="230">
        <v>6100</v>
      </c>
      <c r="CL40" s="230">
        <v>1100</v>
      </c>
      <c r="CM40" s="229">
        <v>0.18029999999999999</v>
      </c>
      <c r="CN40" s="230">
        <v>61700</v>
      </c>
      <c r="CO40" s="230">
        <v>398625</v>
      </c>
      <c r="CP40" s="230">
        <v>-336925</v>
      </c>
      <c r="CQ40" s="229">
        <v>-0.84519999999999995</v>
      </c>
      <c r="CR40" s="230">
        <v>35650</v>
      </c>
      <c r="CS40" s="230">
        <v>257725</v>
      </c>
      <c r="CT40" s="230">
        <v>-222075</v>
      </c>
      <c r="CU40" s="229">
        <v>-0.86170000000000002</v>
      </c>
      <c r="CV40" s="230">
        <v>423200</v>
      </c>
      <c r="CW40" s="230">
        <v>1023475</v>
      </c>
      <c r="CX40" s="230">
        <v>-600275</v>
      </c>
      <c r="CY40" s="229">
        <v>-0.58650000000000002</v>
      </c>
      <c r="CZ40" s="228">
        <v>35.64</v>
      </c>
      <c r="DA40" s="228">
        <v>36.08</v>
      </c>
      <c r="DB40" s="228">
        <v>-0.44</v>
      </c>
      <c r="DC40" s="228">
        <v>-0.44</v>
      </c>
      <c r="DD40" s="228">
        <v>30.25</v>
      </c>
      <c r="DE40" s="228">
        <v>30.31</v>
      </c>
      <c r="DF40" s="228">
        <v>5.39</v>
      </c>
      <c r="DG40" s="228">
        <v>-0.06</v>
      </c>
      <c r="DH40" s="228">
        <v>34.869999999999997</v>
      </c>
      <c r="DI40" s="228">
        <v>35.64</v>
      </c>
      <c r="DJ40" s="228">
        <v>-0.77</v>
      </c>
      <c r="DK40" s="228">
        <v>-0.77</v>
      </c>
      <c r="DL40" s="228">
        <v>37.69</v>
      </c>
      <c r="DM40" s="228">
        <v>37.43</v>
      </c>
      <c r="DN40" s="228">
        <v>0.26</v>
      </c>
      <c r="DO40" s="228">
        <v>0.26</v>
      </c>
      <c r="DP40" s="228">
        <v>0.57999999999999996</v>
      </c>
      <c r="DQ40" s="228">
        <v>0.65</v>
      </c>
      <c r="DR40" s="228">
        <v>-7.0000000000000007E-2</v>
      </c>
      <c r="DS40" s="229">
        <v>-0.1077</v>
      </c>
      <c r="DT40" s="231">
        <v>43000</v>
      </c>
      <c r="DU40" s="231">
        <v>34000</v>
      </c>
      <c r="DV40" s="228">
        <v>0.56999999999999995</v>
      </c>
      <c r="DW40" s="228">
        <v>0.49</v>
      </c>
      <c r="DX40" s="228">
        <v>0.08</v>
      </c>
      <c r="DY40" s="229">
        <v>0.1633</v>
      </c>
      <c r="DZ40" s="229">
        <v>0.91810000000000003</v>
      </c>
      <c r="EA40" s="230">
        <v>307400</v>
      </c>
      <c r="EB40" s="229">
        <v>4.5999999999999999E-3</v>
      </c>
      <c r="EC40" s="229">
        <v>0.91810000000000003</v>
      </c>
      <c r="ED40" s="228">
        <v>221.96</v>
      </c>
      <c r="EE40" s="229">
        <v>5.4999999999999997E-3</v>
      </c>
      <c r="EF40" s="230">
        <v>15327</v>
      </c>
      <c r="EG40" s="230">
        <v>31609</v>
      </c>
      <c r="EH40" s="229">
        <v>-0.5151</v>
      </c>
      <c r="EI40" s="229">
        <v>0.32390000000000002</v>
      </c>
      <c r="EJ40" s="231">
        <v>468200.74</v>
      </c>
      <c r="EK40" s="231">
        <v>238946.36</v>
      </c>
      <c r="EL40" s="231">
        <v>76221.070000000007</v>
      </c>
      <c r="EM40" s="228">
        <v>0</v>
      </c>
      <c r="EN40" s="231">
        <v>783368.17</v>
      </c>
      <c r="EO40" s="231">
        <v>2156716.98</v>
      </c>
      <c r="EP40" s="231">
        <v>-1373348.81</v>
      </c>
      <c r="EQ40" s="229">
        <v>-0.63680000000000003</v>
      </c>
      <c r="ER40" s="231">
        <v>25720</v>
      </c>
      <c r="ES40" s="231">
        <v>13266</v>
      </c>
      <c r="ET40" s="231">
        <v>131966</v>
      </c>
      <c r="EU40" s="231">
        <v>1737683</v>
      </c>
      <c r="EV40" s="231">
        <v>170951</v>
      </c>
      <c r="EW40" s="231">
        <v>401090</v>
      </c>
      <c r="EX40" s="231">
        <v>-230139</v>
      </c>
      <c r="EY40" s="229">
        <v>-0.57379999999999998</v>
      </c>
      <c r="EZ40" s="229">
        <v>0.24349999999999999</v>
      </c>
      <c r="FA40" s="227" t="s">
        <v>556</v>
      </c>
      <c r="FB40" s="161">
        <f t="shared" si="0"/>
        <v>296775</v>
      </c>
    </row>
    <row r="41" spans="1:158" ht="17.25" thickBot="1" x14ac:dyDescent="0.3">
      <c r="A41" s="226">
        <v>45869</v>
      </c>
      <c r="B41" s="227" t="s">
        <v>193</v>
      </c>
      <c r="C41" s="227" t="s">
        <v>194</v>
      </c>
      <c r="D41" s="228">
        <v>1975</v>
      </c>
      <c r="E41" s="228">
        <v>328.45</v>
      </c>
      <c r="F41" s="228">
        <v>333.65</v>
      </c>
      <c r="G41" s="228">
        <v>-5.2</v>
      </c>
      <c r="H41" s="229">
        <v>-1.5599999999999999E-2</v>
      </c>
      <c r="I41" s="228">
        <v>329.3</v>
      </c>
      <c r="J41" s="228">
        <v>337.05</v>
      </c>
      <c r="K41" s="228">
        <v>-7.75</v>
      </c>
      <c r="L41" s="229">
        <v>-2.3E-2</v>
      </c>
      <c r="M41" s="228">
        <v>329.2</v>
      </c>
      <c r="N41" s="228">
        <v>333</v>
      </c>
      <c r="O41" s="228">
        <v>-3.8</v>
      </c>
      <c r="P41" s="229">
        <v>-1.14E-2</v>
      </c>
      <c r="Q41" s="228">
        <v>328.45</v>
      </c>
      <c r="R41" s="228">
        <v>333.65</v>
      </c>
      <c r="S41" s="228">
        <v>-5.2</v>
      </c>
      <c r="T41" s="229">
        <v>-1.5599999999999999E-2</v>
      </c>
      <c r="U41" s="228">
        <v>329.35</v>
      </c>
      <c r="V41" s="228">
        <v>335.2</v>
      </c>
      <c r="W41" s="228">
        <v>-5.85</v>
      </c>
      <c r="X41" s="229">
        <v>-1.7500000000000002E-2</v>
      </c>
      <c r="Y41" s="228">
        <v>-0.85</v>
      </c>
      <c r="Z41" s="228">
        <v>-4.05</v>
      </c>
      <c r="AA41" s="228">
        <v>3.2</v>
      </c>
      <c r="AB41" s="229">
        <v>-2.5999999999999999E-3</v>
      </c>
      <c r="AC41" s="228">
        <v>-0.1</v>
      </c>
      <c r="AD41" s="228">
        <v>-4.05</v>
      </c>
      <c r="AE41" s="228">
        <v>3.95</v>
      </c>
      <c r="AF41" s="229">
        <v>-2.9999999999999997E-4</v>
      </c>
      <c r="AG41" s="228">
        <v>-0.85</v>
      </c>
      <c r="AH41" s="228">
        <v>-3.4</v>
      </c>
      <c r="AI41" s="228">
        <v>2.5499999999999998</v>
      </c>
      <c r="AJ41" s="229">
        <v>-2.5999999999999999E-3</v>
      </c>
      <c r="AK41" s="228">
        <v>0.05</v>
      </c>
      <c r="AL41" s="228">
        <v>-1.85</v>
      </c>
      <c r="AM41" s="228">
        <v>1.9</v>
      </c>
      <c r="AN41" s="229">
        <v>2.0000000000000001E-4</v>
      </c>
      <c r="AO41" s="228">
        <v>328.15</v>
      </c>
      <c r="AP41" s="228">
        <v>327.62</v>
      </c>
      <c r="AQ41" s="228">
        <v>0</v>
      </c>
      <c r="AR41" s="230">
        <v>21197675</v>
      </c>
      <c r="AS41" s="230">
        <v>34730375</v>
      </c>
      <c r="AT41" s="230">
        <v>-13532700</v>
      </c>
      <c r="AU41" s="229">
        <v>-0.38969999999999999</v>
      </c>
      <c r="AV41" s="230">
        <v>8293025</v>
      </c>
      <c r="AW41" s="230">
        <v>18166050</v>
      </c>
      <c r="AX41" s="230">
        <v>-9873025</v>
      </c>
      <c r="AY41" s="229">
        <v>-0.54349999999999998</v>
      </c>
      <c r="AZ41" s="230">
        <v>12580750</v>
      </c>
      <c r="BA41" s="230">
        <v>16226600</v>
      </c>
      <c r="BB41" s="230">
        <v>-3645850</v>
      </c>
      <c r="BC41" s="229">
        <v>-0.22470000000000001</v>
      </c>
      <c r="BD41" s="230">
        <v>323900</v>
      </c>
      <c r="BE41" s="230">
        <v>337725</v>
      </c>
      <c r="BF41" s="230">
        <v>-13825</v>
      </c>
      <c r="BG41" s="229">
        <v>-4.0899999999999999E-2</v>
      </c>
      <c r="BH41" s="230">
        <v>34167500</v>
      </c>
      <c r="BI41" s="230">
        <v>134811525</v>
      </c>
      <c r="BJ41" s="230">
        <v>-100644025</v>
      </c>
      <c r="BK41" s="229">
        <v>-0.74660000000000004</v>
      </c>
      <c r="BL41" s="230">
        <v>18691400</v>
      </c>
      <c r="BM41" s="230">
        <v>29070025</v>
      </c>
      <c r="BN41" s="230">
        <v>-10378625</v>
      </c>
      <c r="BO41" s="229">
        <v>-0.35699999999999998</v>
      </c>
      <c r="BP41" s="230">
        <v>74056575</v>
      </c>
      <c r="BQ41" s="230">
        <v>198611925</v>
      </c>
      <c r="BR41" s="230">
        <v>-124555350</v>
      </c>
      <c r="BS41" s="229">
        <v>-0.62709999999999999</v>
      </c>
      <c r="BT41" s="230">
        <v>7069139</v>
      </c>
      <c r="BU41" s="230">
        <v>11675868</v>
      </c>
      <c r="BV41" s="230">
        <v>-4606729</v>
      </c>
      <c r="BW41" s="229">
        <v>-0.39460000000000001</v>
      </c>
      <c r="BX41" s="230">
        <v>37398600</v>
      </c>
      <c r="BY41" s="230">
        <v>50962900</v>
      </c>
      <c r="BZ41" s="230">
        <v>-13564300</v>
      </c>
      <c r="CA41" s="229">
        <v>-0.26619999999999999</v>
      </c>
      <c r="CB41" s="230">
        <v>10412200</v>
      </c>
      <c r="CC41" s="230">
        <v>12410900</v>
      </c>
      <c r="CD41" s="230">
        <v>-1998700</v>
      </c>
      <c r="CE41" s="229">
        <v>-0.161</v>
      </c>
      <c r="CF41" s="230">
        <v>37128025</v>
      </c>
      <c r="CG41" s="230">
        <v>38293275</v>
      </c>
      <c r="CH41" s="230">
        <v>-1165250</v>
      </c>
      <c r="CI41" s="229">
        <v>-3.04E-2</v>
      </c>
      <c r="CJ41" s="230">
        <v>270575</v>
      </c>
      <c r="CK41" s="230">
        <v>258725</v>
      </c>
      <c r="CL41" s="230">
        <v>11850</v>
      </c>
      <c r="CM41" s="229">
        <v>4.58E-2</v>
      </c>
      <c r="CN41" s="230">
        <v>7990850</v>
      </c>
      <c r="CO41" s="230">
        <v>24940300</v>
      </c>
      <c r="CP41" s="230">
        <v>-16949450</v>
      </c>
      <c r="CQ41" s="229">
        <v>-0.67959999999999998</v>
      </c>
      <c r="CR41" s="230">
        <v>4961200</v>
      </c>
      <c r="CS41" s="230">
        <v>11666325</v>
      </c>
      <c r="CT41" s="230">
        <v>-6705125</v>
      </c>
      <c r="CU41" s="229">
        <v>-0.57469999999999999</v>
      </c>
      <c r="CV41" s="230">
        <v>50350650</v>
      </c>
      <c r="CW41" s="230">
        <v>87569525</v>
      </c>
      <c r="CX41" s="230">
        <v>-37218875</v>
      </c>
      <c r="CY41" s="229">
        <v>-0.42499999999999999</v>
      </c>
      <c r="CZ41" s="228">
        <v>30.31</v>
      </c>
      <c r="DA41" s="228">
        <v>30.57</v>
      </c>
      <c r="DB41" s="228">
        <v>-0.26</v>
      </c>
      <c r="DC41" s="228">
        <v>-0.26</v>
      </c>
      <c r="DD41" s="228">
        <v>35.729999999999997</v>
      </c>
      <c r="DE41" s="228">
        <v>35.75</v>
      </c>
      <c r="DF41" s="228">
        <v>-5.42</v>
      </c>
      <c r="DG41" s="228">
        <v>-0.02</v>
      </c>
      <c r="DH41" s="228">
        <v>29.97</v>
      </c>
      <c r="DI41" s="228">
        <v>30.68</v>
      </c>
      <c r="DJ41" s="228">
        <v>-0.71</v>
      </c>
      <c r="DK41" s="228">
        <v>-0.71</v>
      </c>
      <c r="DL41" s="228">
        <v>30.82</v>
      </c>
      <c r="DM41" s="228">
        <v>30.28</v>
      </c>
      <c r="DN41" s="228">
        <v>0.54</v>
      </c>
      <c r="DO41" s="228">
        <v>0.54</v>
      </c>
      <c r="DP41" s="228">
        <v>0.62</v>
      </c>
      <c r="DQ41" s="228">
        <v>0.47</v>
      </c>
      <c r="DR41" s="228">
        <v>0.15</v>
      </c>
      <c r="DS41" s="229">
        <v>0.31909999999999999</v>
      </c>
      <c r="DT41" s="228">
        <v>345</v>
      </c>
      <c r="DU41" s="228">
        <v>320</v>
      </c>
      <c r="DV41" s="228">
        <v>0.55000000000000004</v>
      </c>
      <c r="DW41" s="228">
        <v>0.22</v>
      </c>
      <c r="DX41" s="228">
        <v>0.33</v>
      </c>
      <c r="DY41" s="229">
        <v>1.5</v>
      </c>
      <c r="DZ41" s="229">
        <v>0.78220000000000001</v>
      </c>
      <c r="EA41" s="230">
        <v>38552000</v>
      </c>
      <c r="EB41" s="229">
        <v>-2.3E-3</v>
      </c>
      <c r="EC41" s="229">
        <v>0.78220000000000001</v>
      </c>
      <c r="ED41" s="228">
        <v>-0.53</v>
      </c>
      <c r="EE41" s="229">
        <v>-1.6000000000000001E-3</v>
      </c>
      <c r="EF41" s="230">
        <v>3520110</v>
      </c>
      <c r="EG41" s="230">
        <v>4872018</v>
      </c>
      <c r="EH41" s="229">
        <v>-0.27750000000000002</v>
      </c>
      <c r="EI41" s="229">
        <v>0.498</v>
      </c>
      <c r="EJ41" s="231">
        <v>117655.42</v>
      </c>
      <c r="EK41" s="231">
        <v>61428.67</v>
      </c>
      <c r="EL41" s="231">
        <v>69493.38</v>
      </c>
      <c r="EM41" s="228">
        <v>0</v>
      </c>
      <c r="EN41" s="231">
        <v>248577.47</v>
      </c>
      <c r="EO41" s="231">
        <v>679062.03</v>
      </c>
      <c r="EP41" s="231">
        <v>-430484.56</v>
      </c>
      <c r="EQ41" s="229">
        <v>-0.63390000000000002</v>
      </c>
      <c r="ER41" s="231">
        <v>28222</v>
      </c>
      <c r="ES41" s="231">
        <v>15873</v>
      </c>
      <c r="ET41" s="231">
        <v>122838</v>
      </c>
      <c r="EU41" s="231">
        <v>408027660</v>
      </c>
      <c r="EV41" s="231">
        <v>166933</v>
      </c>
      <c r="EW41" s="231">
        <v>294550</v>
      </c>
      <c r="EX41" s="231">
        <v>-127617</v>
      </c>
      <c r="EY41" s="229">
        <v>-0.43330000000000002</v>
      </c>
      <c r="EZ41" s="229">
        <v>0.1234</v>
      </c>
      <c r="FA41" s="227" t="s">
        <v>568</v>
      </c>
      <c r="FB41" s="161">
        <f t="shared" si="0"/>
        <v>26986400</v>
      </c>
    </row>
    <row r="42" spans="1:158" ht="17.25" thickBot="1" x14ac:dyDescent="0.3">
      <c r="A42" s="226">
        <v>45869</v>
      </c>
      <c r="B42" s="227" t="s">
        <v>168</v>
      </c>
      <c r="C42" s="227" t="s">
        <v>195</v>
      </c>
      <c r="D42" s="228">
        <v>125</v>
      </c>
      <c r="E42" s="231">
        <v>5727</v>
      </c>
      <c r="F42" s="231">
        <v>5705</v>
      </c>
      <c r="G42" s="228">
        <v>22</v>
      </c>
      <c r="H42" s="229">
        <v>3.8999999999999998E-3</v>
      </c>
      <c r="I42" s="231">
        <v>5771</v>
      </c>
      <c r="J42" s="231">
        <v>5747</v>
      </c>
      <c r="K42" s="228">
        <v>24</v>
      </c>
      <c r="L42" s="229">
        <v>4.1999999999999997E-3</v>
      </c>
      <c r="M42" s="231">
        <v>5769.5</v>
      </c>
      <c r="N42" s="231">
        <v>5745.5</v>
      </c>
      <c r="O42" s="228">
        <v>24</v>
      </c>
      <c r="P42" s="229">
        <v>4.1999999999999997E-3</v>
      </c>
      <c r="Q42" s="231">
        <v>5727</v>
      </c>
      <c r="R42" s="231">
        <v>5705</v>
      </c>
      <c r="S42" s="228">
        <v>22</v>
      </c>
      <c r="T42" s="229">
        <v>3.8999999999999998E-3</v>
      </c>
      <c r="U42" s="231">
        <v>5763.5</v>
      </c>
      <c r="V42" s="231">
        <v>5729.5</v>
      </c>
      <c r="W42" s="228">
        <v>34</v>
      </c>
      <c r="X42" s="229">
        <v>5.8999999999999999E-3</v>
      </c>
      <c r="Y42" s="228">
        <v>-44</v>
      </c>
      <c r="Z42" s="228">
        <v>-1.5</v>
      </c>
      <c r="AA42" s="228">
        <v>-42.5</v>
      </c>
      <c r="AB42" s="229">
        <v>-7.6E-3</v>
      </c>
      <c r="AC42" s="228">
        <v>-1.5</v>
      </c>
      <c r="AD42" s="228">
        <v>-1.5</v>
      </c>
      <c r="AE42" s="228">
        <v>0</v>
      </c>
      <c r="AF42" s="229">
        <v>-2.9999999999999997E-4</v>
      </c>
      <c r="AG42" s="228">
        <v>-44</v>
      </c>
      <c r="AH42" s="228">
        <v>-42</v>
      </c>
      <c r="AI42" s="228">
        <v>-2</v>
      </c>
      <c r="AJ42" s="229">
        <v>-7.6E-3</v>
      </c>
      <c r="AK42" s="228">
        <v>-7.5</v>
      </c>
      <c r="AL42" s="228">
        <v>-17.5</v>
      </c>
      <c r="AM42" s="228">
        <v>10</v>
      </c>
      <c r="AN42" s="229">
        <v>-1.2999999999999999E-3</v>
      </c>
      <c r="AO42" s="231">
        <v>5776.15</v>
      </c>
      <c r="AP42" s="231">
        <v>5732.2</v>
      </c>
      <c r="AQ42" s="228">
        <v>0</v>
      </c>
      <c r="AR42" s="230">
        <v>1846000</v>
      </c>
      <c r="AS42" s="230">
        <v>1564250</v>
      </c>
      <c r="AT42" s="230">
        <v>281750</v>
      </c>
      <c r="AU42" s="229">
        <v>0.18010000000000001</v>
      </c>
      <c r="AV42" s="230">
        <v>793500</v>
      </c>
      <c r="AW42" s="230">
        <v>724750</v>
      </c>
      <c r="AX42" s="230">
        <v>68750</v>
      </c>
      <c r="AY42" s="229">
        <v>9.4899999999999998E-2</v>
      </c>
      <c r="AZ42" s="230">
        <v>1047500</v>
      </c>
      <c r="BA42" s="230">
        <v>836625</v>
      </c>
      <c r="BB42" s="230">
        <v>210875</v>
      </c>
      <c r="BC42" s="229">
        <v>0.25209999999999999</v>
      </c>
      <c r="BD42" s="230">
        <v>5000</v>
      </c>
      <c r="BE42" s="230">
        <v>2875</v>
      </c>
      <c r="BF42" s="230">
        <v>2125</v>
      </c>
      <c r="BG42" s="229">
        <v>0.73909999999999998</v>
      </c>
      <c r="BH42" s="230">
        <v>1362500</v>
      </c>
      <c r="BI42" s="230">
        <v>1339000</v>
      </c>
      <c r="BJ42" s="230">
        <v>23500</v>
      </c>
      <c r="BK42" s="229">
        <v>1.7600000000000001E-2</v>
      </c>
      <c r="BL42" s="230">
        <v>378250</v>
      </c>
      <c r="BM42" s="230">
        <v>521250</v>
      </c>
      <c r="BN42" s="230">
        <v>-143000</v>
      </c>
      <c r="BO42" s="229">
        <v>-0.27429999999999999</v>
      </c>
      <c r="BP42" s="230">
        <v>3586750</v>
      </c>
      <c r="BQ42" s="230">
        <v>3424500</v>
      </c>
      <c r="BR42" s="230">
        <v>162250</v>
      </c>
      <c r="BS42" s="229">
        <v>4.7399999999999998E-2</v>
      </c>
      <c r="BT42" s="230">
        <v>350606</v>
      </c>
      <c r="BU42" s="230">
        <v>186747</v>
      </c>
      <c r="BV42" s="230">
        <v>163859</v>
      </c>
      <c r="BW42" s="229">
        <v>0.87739999999999996</v>
      </c>
      <c r="BX42" s="230">
        <v>3069125</v>
      </c>
      <c r="BY42" s="230">
        <v>3151625</v>
      </c>
      <c r="BZ42" s="230">
        <v>-82500</v>
      </c>
      <c r="CA42" s="229">
        <v>-2.6200000000000001E-2</v>
      </c>
      <c r="CB42" s="230">
        <v>114750</v>
      </c>
      <c r="CC42" s="230">
        <v>652250</v>
      </c>
      <c r="CD42" s="230">
        <v>-537500</v>
      </c>
      <c r="CE42" s="229">
        <v>-0.82410000000000005</v>
      </c>
      <c r="CF42" s="230">
        <v>3061375</v>
      </c>
      <c r="CG42" s="230">
        <v>2493500</v>
      </c>
      <c r="CH42" s="230">
        <v>567875</v>
      </c>
      <c r="CI42" s="229">
        <v>0.22770000000000001</v>
      </c>
      <c r="CJ42" s="230">
        <v>7750</v>
      </c>
      <c r="CK42" s="230">
        <v>5875</v>
      </c>
      <c r="CL42" s="230">
        <v>1875</v>
      </c>
      <c r="CM42" s="229">
        <v>0.31909999999999999</v>
      </c>
      <c r="CN42" s="230">
        <v>202375</v>
      </c>
      <c r="CO42" s="230">
        <v>643000</v>
      </c>
      <c r="CP42" s="230">
        <v>-440625</v>
      </c>
      <c r="CQ42" s="229">
        <v>-0.68530000000000002</v>
      </c>
      <c r="CR42" s="230">
        <v>103000</v>
      </c>
      <c r="CS42" s="230">
        <v>424125</v>
      </c>
      <c r="CT42" s="230">
        <v>-321125</v>
      </c>
      <c r="CU42" s="229">
        <v>-0.7571</v>
      </c>
      <c r="CV42" s="230">
        <v>3374500</v>
      </c>
      <c r="CW42" s="230">
        <v>4218750</v>
      </c>
      <c r="CX42" s="230">
        <v>-844250</v>
      </c>
      <c r="CY42" s="229">
        <v>-0.2001</v>
      </c>
      <c r="CZ42" s="228">
        <v>26.02</v>
      </c>
      <c r="DA42" s="228">
        <v>23.56</v>
      </c>
      <c r="DB42" s="228">
        <v>2.46</v>
      </c>
      <c r="DC42" s="228">
        <v>2.46</v>
      </c>
      <c r="DD42" s="228">
        <v>23.83</v>
      </c>
      <c r="DE42" s="228">
        <v>23.88</v>
      </c>
      <c r="DF42" s="228">
        <v>2.19</v>
      </c>
      <c r="DG42" s="228">
        <v>-0.05</v>
      </c>
      <c r="DH42" s="228">
        <v>26.03</v>
      </c>
      <c r="DI42" s="228">
        <v>23.47</v>
      </c>
      <c r="DJ42" s="228">
        <v>2.56</v>
      </c>
      <c r="DK42" s="228">
        <v>2.56</v>
      </c>
      <c r="DL42" s="228">
        <v>25.99</v>
      </c>
      <c r="DM42" s="228">
        <v>23.77</v>
      </c>
      <c r="DN42" s="228">
        <v>2.2200000000000002</v>
      </c>
      <c r="DO42" s="228">
        <v>2.2200000000000002</v>
      </c>
      <c r="DP42" s="228">
        <v>0.51</v>
      </c>
      <c r="DQ42" s="228">
        <v>0.66</v>
      </c>
      <c r="DR42" s="228">
        <v>-0.15</v>
      </c>
      <c r="DS42" s="229">
        <v>-0.2273</v>
      </c>
      <c r="DT42" s="231">
        <v>6000</v>
      </c>
      <c r="DU42" s="231">
        <v>5200</v>
      </c>
      <c r="DV42" s="228">
        <v>0.28000000000000003</v>
      </c>
      <c r="DW42" s="228">
        <v>0.39</v>
      </c>
      <c r="DX42" s="228">
        <v>-0.11</v>
      </c>
      <c r="DY42" s="229">
        <v>-0.28210000000000002</v>
      </c>
      <c r="DZ42" s="229">
        <v>0.96399999999999997</v>
      </c>
      <c r="EA42" s="230">
        <v>2499375</v>
      </c>
      <c r="EB42" s="229">
        <v>-7.4000000000000003E-3</v>
      </c>
      <c r="EC42" s="229">
        <v>0.96399999999999997</v>
      </c>
      <c r="ED42" s="228">
        <v>-43.95</v>
      </c>
      <c r="EE42" s="229">
        <v>-7.6E-3</v>
      </c>
      <c r="EF42" s="230">
        <v>137848</v>
      </c>
      <c r="EG42" s="230">
        <v>90705</v>
      </c>
      <c r="EH42" s="229">
        <v>0.51970000000000005</v>
      </c>
      <c r="EI42" s="229">
        <v>0.39319999999999999</v>
      </c>
      <c r="EJ42" s="231">
        <v>81107.960000000006</v>
      </c>
      <c r="EK42" s="231">
        <v>21434.52</v>
      </c>
      <c r="EL42" s="231">
        <v>106166.73</v>
      </c>
      <c r="EM42" s="228">
        <v>0</v>
      </c>
      <c r="EN42" s="231">
        <v>208709.21</v>
      </c>
      <c r="EO42" s="231">
        <v>196622.9</v>
      </c>
      <c r="EP42" s="231">
        <v>12086.31</v>
      </c>
      <c r="EQ42" s="229">
        <v>6.1499999999999999E-2</v>
      </c>
      <c r="ER42" s="231">
        <v>12009</v>
      </c>
      <c r="ES42" s="231">
        <v>5684</v>
      </c>
      <c r="ET42" s="231">
        <v>175772</v>
      </c>
      <c r="EU42" s="231">
        <v>23823080</v>
      </c>
      <c r="EV42" s="231">
        <v>193465</v>
      </c>
      <c r="EW42" s="231">
        <v>242148</v>
      </c>
      <c r="EX42" s="231">
        <v>-48683</v>
      </c>
      <c r="EY42" s="229">
        <v>-0.20100000000000001</v>
      </c>
      <c r="EZ42" s="229">
        <v>0.1416</v>
      </c>
      <c r="FA42" s="227" t="s">
        <v>556</v>
      </c>
      <c r="FB42" s="161">
        <f t="shared" si="0"/>
        <v>2954375</v>
      </c>
    </row>
    <row r="43" spans="1:158" ht="17.25" thickBot="1" x14ac:dyDescent="0.3">
      <c r="A43" s="226">
        <v>45869</v>
      </c>
      <c r="B43" s="227" t="s">
        <v>175</v>
      </c>
      <c r="C43" s="227" t="s">
        <v>585</v>
      </c>
      <c r="D43" s="228">
        <v>375</v>
      </c>
      <c r="E43" s="231">
        <v>2437.6</v>
      </c>
      <c r="F43" s="231">
        <v>2463.5</v>
      </c>
      <c r="G43" s="228">
        <v>-25.9</v>
      </c>
      <c r="H43" s="229">
        <v>-1.0500000000000001E-2</v>
      </c>
      <c r="I43" s="231">
        <v>2427.4</v>
      </c>
      <c r="J43" s="231">
        <v>2457.5</v>
      </c>
      <c r="K43" s="228">
        <v>-30.1</v>
      </c>
      <c r="L43" s="229">
        <v>-1.2200000000000001E-2</v>
      </c>
      <c r="M43" s="231">
        <v>2426.5</v>
      </c>
      <c r="N43" s="231">
        <v>2458.3000000000002</v>
      </c>
      <c r="O43" s="228">
        <v>-31.8</v>
      </c>
      <c r="P43" s="229">
        <v>-1.29E-2</v>
      </c>
      <c r="Q43" s="231">
        <v>2437.6</v>
      </c>
      <c r="R43" s="231">
        <v>2463.5</v>
      </c>
      <c r="S43" s="228">
        <v>-25.9</v>
      </c>
      <c r="T43" s="229">
        <v>-1.0500000000000001E-2</v>
      </c>
      <c r="U43" s="231">
        <v>2447</v>
      </c>
      <c r="V43" s="231">
        <v>2471.6999999999998</v>
      </c>
      <c r="W43" s="228">
        <v>-24.7</v>
      </c>
      <c r="X43" s="229">
        <v>-0.01</v>
      </c>
      <c r="Y43" s="228">
        <v>10.199999999999999</v>
      </c>
      <c r="Z43" s="228">
        <v>0.8</v>
      </c>
      <c r="AA43" s="228">
        <v>9.4</v>
      </c>
      <c r="AB43" s="229">
        <v>4.1999999999999997E-3</v>
      </c>
      <c r="AC43" s="228">
        <v>-0.9</v>
      </c>
      <c r="AD43" s="228">
        <v>0.8</v>
      </c>
      <c r="AE43" s="228">
        <v>-1.7</v>
      </c>
      <c r="AF43" s="229">
        <v>-4.0000000000000002E-4</v>
      </c>
      <c r="AG43" s="228">
        <v>10.199999999999999</v>
      </c>
      <c r="AH43" s="228">
        <v>6</v>
      </c>
      <c r="AI43" s="228">
        <v>4.2</v>
      </c>
      <c r="AJ43" s="229">
        <v>4.1999999999999997E-3</v>
      </c>
      <c r="AK43" s="228">
        <v>19.600000000000001</v>
      </c>
      <c r="AL43" s="228">
        <v>14.2</v>
      </c>
      <c r="AM43" s="228">
        <v>5.4</v>
      </c>
      <c r="AN43" s="229">
        <v>8.0999999999999996E-3</v>
      </c>
      <c r="AO43" s="231">
        <v>2442.89</v>
      </c>
      <c r="AP43" s="231">
        <v>2451.8200000000002</v>
      </c>
      <c r="AQ43" s="228">
        <v>0</v>
      </c>
      <c r="AR43" s="230">
        <v>10577250</v>
      </c>
      <c r="AS43" s="230">
        <v>7506000</v>
      </c>
      <c r="AT43" s="230">
        <v>3071250</v>
      </c>
      <c r="AU43" s="229">
        <v>0.40920000000000001</v>
      </c>
      <c r="AV43" s="230">
        <v>5227875</v>
      </c>
      <c r="AW43" s="230">
        <v>3823875</v>
      </c>
      <c r="AX43" s="230">
        <v>1404000</v>
      </c>
      <c r="AY43" s="229">
        <v>0.36720000000000003</v>
      </c>
      <c r="AZ43" s="230">
        <v>5106375</v>
      </c>
      <c r="BA43" s="230">
        <v>3628500</v>
      </c>
      <c r="BB43" s="230">
        <v>1477875</v>
      </c>
      <c r="BC43" s="229">
        <v>0.4073</v>
      </c>
      <c r="BD43" s="230">
        <v>243000</v>
      </c>
      <c r="BE43" s="230">
        <v>53625</v>
      </c>
      <c r="BF43" s="230">
        <v>189375</v>
      </c>
      <c r="BG43" s="229">
        <v>3.5314999999999999</v>
      </c>
      <c r="BH43" s="230">
        <v>12575625</v>
      </c>
      <c r="BI43" s="230">
        <v>16963500</v>
      </c>
      <c r="BJ43" s="230">
        <v>-4387875</v>
      </c>
      <c r="BK43" s="229">
        <v>-0.25869999999999999</v>
      </c>
      <c r="BL43" s="230">
        <v>8649750</v>
      </c>
      <c r="BM43" s="230">
        <v>8927250</v>
      </c>
      <c r="BN43" s="230">
        <v>-277500</v>
      </c>
      <c r="BO43" s="229">
        <v>-3.1099999999999999E-2</v>
      </c>
      <c r="BP43" s="230">
        <v>31802625</v>
      </c>
      <c r="BQ43" s="230">
        <v>33396750</v>
      </c>
      <c r="BR43" s="230">
        <v>-1594125</v>
      </c>
      <c r="BS43" s="229">
        <v>-4.7699999999999999E-2</v>
      </c>
      <c r="BT43" s="230">
        <v>2933504</v>
      </c>
      <c r="BU43" s="230">
        <v>1846915</v>
      </c>
      <c r="BV43" s="230">
        <v>1086589</v>
      </c>
      <c r="BW43" s="229">
        <v>0.58830000000000005</v>
      </c>
      <c r="BX43" s="230">
        <v>10953750</v>
      </c>
      <c r="BY43" s="230">
        <v>13195875</v>
      </c>
      <c r="BZ43" s="230">
        <v>-2242125</v>
      </c>
      <c r="CA43" s="229">
        <v>-0.1699</v>
      </c>
      <c r="CB43" s="230">
        <v>1564500</v>
      </c>
      <c r="CC43" s="230">
        <v>4206000</v>
      </c>
      <c r="CD43" s="230">
        <v>-2641500</v>
      </c>
      <c r="CE43" s="229">
        <v>-0.628</v>
      </c>
      <c r="CF43" s="230">
        <v>10527000</v>
      </c>
      <c r="CG43" s="230">
        <v>8706750</v>
      </c>
      <c r="CH43" s="230">
        <v>1820250</v>
      </c>
      <c r="CI43" s="229">
        <v>0.20910000000000001</v>
      </c>
      <c r="CJ43" s="230">
        <v>426750</v>
      </c>
      <c r="CK43" s="230">
        <v>283125</v>
      </c>
      <c r="CL43" s="230">
        <v>143625</v>
      </c>
      <c r="CM43" s="229">
        <v>0.50729999999999997</v>
      </c>
      <c r="CN43" s="230">
        <v>3528000</v>
      </c>
      <c r="CO43" s="230">
        <v>13226250</v>
      </c>
      <c r="CP43" s="230">
        <v>-9698250</v>
      </c>
      <c r="CQ43" s="229">
        <v>-0.73329999999999995</v>
      </c>
      <c r="CR43" s="230">
        <v>2986875</v>
      </c>
      <c r="CS43" s="230">
        <v>8114625</v>
      </c>
      <c r="CT43" s="230">
        <v>-5127750</v>
      </c>
      <c r="CU43" s="229">
        <v>-0.63190000000000002</v>
      </c>
      <c r="CV43" s="230">
        <v>17468625</v>
      </c>
      <c r="CW43" s="230">
        <v>34536750</v>
      </c>
      <c r="CX43" s="230">
        <v>-17068125</v>
      </c>
      <c r="CY43" s="229">
        <v>-0.49419999999999997</v>
      </c>
      <c r="CZ43" s="228">
        <v>46.14</v>
      </c>
      <c r="DA43" s="228">
        <v>45.57</v>
      </c>
      <c r="DB43" s="228">
        <v>0.56999999999999995</v>
      </c>
      <c r="DC43" s="228">
        <v>0.56999999999999995</v>
      </c>
      <c r="DD43" s="228">
        <v>67.02</v>
      </c>
      <c r="DE43" s="228">
        <v>67.16</v>
      </c>
      <c r="DF43" s="228">
        <v>-20.88</v>
      </c>
      <c r="DG43" s="228">
        <v>-0.14000000000000001</v>
      </c>
      <c r="DH43" s="228">
        <v>45.37</v>
      </c>
      <c r="DI43" s="228">
        <v>45.24</v>
      </c>
      <c r="DJ43" s="228">
        <v>0.13</v>
      </c>
      <c r="DK43" s="228">
        <v>0.13</v>
      </c>
      <c r="DL43" s="228">
        <v>47.01</v>
      </c>
      <c r="DM43" s="228">
        <v>46.03</v>
      </c>
      <c r="DN43" s="228">
        <v>0.98</v>
      </c>
      <c r="DO43" s="228">
        <v>0.98</v>
      </c>
      <c r="DP43" s="228">
        <v>0.85</v>
      </c>
      <c r="DQ43" s="228">
        <v>0.61</v>
      </c>
      <c r="DR43" s="228">
        <v>0.24</v>
      </c>
      <c r="DS43" s="229">
        <v>0.39340000000000003</v>
      </c>
      <c r="DT43" s="231">
        <v>2800</v>
      </c>
      <c r="DU43" s="231">
        <v>2800</v>
      </c>
      <c r="DV43" s="228">
        <v>0.69</v>
      </c>
      <c r="DW43" s="228">
        <v>0.53</v>
      </c>
      <c r="DX43" s="228">
        <v>0.16</v>
      </c>
      <c r="DY43" s="229">
        <v>0.3019</v>
      </c>
      <c r="DZ43" s="229">
        <v>0.875</v>
      </c>
      <c r="EA43" s="230">
        <v>8989875</v>
      </c>
      <c r="EB43" s="229">
        <v>4.5999999999999999E-3</v>
      </c>
      <c r="EC43" s="229">
        <v>0.875</v>
      </c>
      <c r="ED43" s="228">
        <v>8.93</v>
      </c>
      <c r="EE43" s="229">
        <v>3.7000000000000002E-3</v>
      </c>
      <c r="EF43" s="230">
        <v>625425</v>
      </c>
      <c r="EG43" s="230">
        <v>421077</v>
      </c>
      <c r="EH43" s="229">
        <v>0.48530000000000001</v>
      </c>
      <c r="EI43" s="229">
        <v>0.2132</v>
      </c>
      <c r="EJ43" s="231">
        <v>330844.13</v>
      </c>
      <c r="EK43" s="231">
        <v>211052.83</v>
      </c>
      <c r="EL43" s="231">
        <v>258885.13</v>
      </c>
      <c r="EM43" s="228">
        <v>0</v>
      </c>
      <c r="EN43" s="231">
        <v>800782.09</v>
      </c>
      <c r="EO43" s="231">
        <v>849091.57</v>
      </c>
      <c r="EP43" s="231">
        <v>-48309.48</v>
      </c>
      <c r="EQ43" s="229">
        <v>-5.6899999999999999E-2</v>
      </c>
      <c r="ER43" s="231">
        <v>94443</v>
      </c>
      <c r="ES43" s="231">
        <v>69589</v>
      </c>
      <c r="ET43" s="231">
        <v>267049</v>
      </c>
      <c r="EU43" s="231">
        <v>63536556</v>
      </c>
      <c r="EV43" s="231">
        <v>431080</v>
      </c>
      <c r="EW43" s="231">
        <v>887685</v>
      </c>
      <c r="EX43" s="231">
        <v>-456605</v>
      </c>
      <c r="EY43" s="229">
        <v>-0.51439999999999997</v>
      </c>
      <c r="EZ43" s="229">
        <v>0.27489999999999998</v>
      </c>
      <c r="FA43" s="227" t="s">
        <v>568</v>
      </c>
      <c r="FB43" s="161">
        <f t="shared" si="0"/>
        <v>9389250</v>
      </c>
    </row>
    <row r="44" spans="1:158" ht="17.25" thickBot="1" x14ac:dyDescent="0.3">
      <c r="A44" s="226">
        <v>45869</v>
      </c>
      <c r="B44" s="227" t="s">
        <v>221</v>
      </c>
      <c r="C44" s="227" t="s">
        <v>531</v>
      </c>
      <c r="D44" s="228">
        <v>1300</v>
      </c>
      <c r="E44" s="228">
        <v>0</v>
      </c>
      <c r="F44" s="228">
        <v>0</v>
      </c>
      <c r="G44" s="228">
        <v>0</v>
      </c>
      <c r="H44" s="229">
        <v>0</v>
      </c>
      <c r="I44" s="228">
        <v>391.5</v>
      </c>
      <c r="J44" s="228">
        <v>414.75</v>
      </c>
      <c r="K44" s="228">
        <v>-23.25</v>
      </c>
      <c r="L44" s="229">
        <v>-5.6099999999999997E-2</v>
      </c>
      <c r="M44" s="228">
        <v>391.3</v>
      </c>
      <c r="N44" s="228">
        <v>414.25</v>
      </c>
      <c r="O44" s="228">
        <v>-22.95</v>
      </c>
      <c r="P44" s="229">
        <v>-5.5399999999999998E-2</v>
      </c>
      <c r="Q44" s="228">
        <v>0</v>
      </c>
      <c r="R44" s="228">
        <v>0</v>
      </c>
      <c r="S44" s="228">
        <v>0</v>
      </c>
      <c r="T44" s="229">
        <v>0</v>
      </c>
      <c r="U44" s="228">
        <v>0</v>
      </c>
      <c r="V44" s="228">
        <v>0</v>
      </c>
      <c r="W44" s="228">
        <v>0</v>
      </c>
      <c r="X44" s="229">
        <v>0</v>
      </c>
      <c r="Y44" s="228">
        <v>0</v>
      </c>
      <c r="Z44" s="228">
        <v>-0.5</v>
      </c>
      <c r="AA44" s="228">
        <v>0</v>
      </c>
      <c r="AB44" s="229">
        <v>0</v>
      </c>
      <c r="AC44" s="228">
        <v>-0.2</v>
      </c>
      <c r="AD44" s="228">
        <v>-0.5</v>
      </c>
      <c r="AE44" s="228">
        <v>0.3</v>
      </c>
      <c r="AF44" s="229">
        <v>-5.0000000000000001E-4</v>
      </c>
      <c r="AG44" s="228">
        <v>0</v>
      </c>
      <c r="AH44" s="228">
        <v>0</v>
      </c>
      <c r="AI44" s="228">
        <v>0</v>
      </c>
      <c r="AJ44" s="229">
        <v>0</v>
      </c>
      <c r="AK44" s="228">
        <v>0</v>
      </c>
      <c r="AL44" s="228">
        <v>0</v>
      </c>
      <c r="AM44" s="228">
        <v>0</v>
      </c>
      <c r="AN44" s="229">
        <v>0</v>
      </c>
      <c r="AO44" s="228">
        <v>397.13</v>
      </c>
      <c r="AP44" s="228">
        <v>0</v>
      </c>
      <c r="AQ44" s="228">
        <v>0</v>
      </c>
      <c r="AR44" s="230">
        <v>3823300</v>
      </c>
      <c r="AS44" s="230">
        <v>3513900</v>
      </c>
      <c r="AT44" s="230">
        <v>309400</v>
      </c>
      <c r="AU44" s="229">
        <v>8.8099999999999998E-2</v>
      </c>
      <c r="AV44" s="230">
        <v>3823300</v>
      </c>
      <c r="AW44" s="230">
        <v>3513900</v>
      </c>
      <c r="AX44" s="230">
        <v>309400</v>
      </c>
      <c r="AY44" s="229">
        <v>8.8099999999999998E-2</v>
      </c>
      <c r="AZ44" s="228">
        <v>0</v>
      </c>
      <c r="BA44" s="228">
        <v>0</v>
      </c>
      <c r="BB44" s="228">
        <v>0</v>
      </c>
      <c r="BC44" s="229">
        <v>0</v>
      </c>
      <c r="BD44" s="228">
        <v>0</v>
      </c>
      <c r="BE44" s="228">
        <v>0</v>
      </c>
      <c r="BF44" s="228">
        <v>0</v>
      </c>
      <c r="BG44" s="229">
        <v>0</v>
      </c>
      <c r="BH44" s="230">
        <v>3438500</v>
      </c>
      <c r="BI44" s="230">
        <v>10225800</v>
      </c>
      <c r="BJ44" s="230">
        <v>-6787300</v>
      </c>
      <c r="BK44" s="229">
        <v>-0.66369999999999996</v>
      </c>
      <c r="BL44" s="230">
        <v>3495700</v>
      </c>
      <c r="BM44" s="230">
        <v>3676400</v>
      </c>
      <c r="BN44" s="230">
        <v>-180700</v>
      </c>
      <c r="BO44" s="229">
        <v>-4.9200000000000001E-2</v>
      </c>
      <c r="BP44" s="230">
        <v>10757500</v>
      </c>
      <c r="BQ44" s="230">
        <v>17416100</v>
      </c>
      <c r="BR44" s="230">
        <v>-6658600</v>
      </c>
      <c r="BS44" s="229">
        <v>-0.38229999999999997</v>
      </c>
      <c r="BT44" s="230">
        <v>4674140</v>
      </c>
      <c r="BU44" s="230">
        <v>2797453</v>
      </c>
      <c r="BV44" s="230">
        <v>1876687</v>
      </c>
      <c r="BW44" s="229">
        <v>0.67090000000000005</v>
      </c>
      <c r="BX44" s="228">
        <v>0</v>
      </c>
      <c r="BY44" s="230">
        <v>3571100</v>
      </c>
      <c r="BZ44" s="230">
        <v>-3571100</v>
      </c>
      <c r="CA44" s="229">
        <v>-1</v>
      </c>
      <c r="CB44" s="230">
        <v>1463800</v>
      </c>
      <c r="CC44" s="230">
        <v>3571100</v>
      </c>
      <c r="CD44" s="230">
        <v>-2107300</v>
      </c>
      <c r="CE44" s="229">
        <v>-0.59009999999999996</v>
      </c>
      <c r="CF44" s="228">
        <v>0</v>
      </c>
      <c r="CG44" s="228">
        <v>0</v>
      </c>
      <c r="CH44" s="228">
        <v>0</v>
      </c>
      <c r="CI44" s="229">
        <v>0</v>
      </c>
      <c r="CJ44" s="228">
        <v>0</v>
      </c>
      <c r="CK44" s="228">
        <v>0</v>
      </c>
      <c r="CL44" s="228">
        <v>0</v>
      </c>
      <c r="CM44" s="229">
        <v>0</v>
      </c>
      <c r="CN44" s="230">
        <v>5255900</v>
      </c>
      <c r="CO44" s="230">
        <v>6039800</v>
      </c>
      <c r="CP44" s="230">
        <v>-783900</v>
      </c>
      <c r="CQ44" s="229">
        <v>-0.1298</v>
      </c>
      <c r="CR44" s="230">
        <v>2337400</v>
      </c>
      <c r="CS44" s="230">
        <v>2862600</v>
      </c>
      <c r="CT44" s="230">
        <v>-525200</v>
      </c>
      <c r="CU44" s="229">
        <v>-0.1835</v>
      </c>
      <c r="CV44" s="230">
        <v>7593300</v>
      </c>
      <c r="CW44" s="230">
        <v>12473500</v>
      </c>
      <c r="CX44" s="230">
        <v>-4880200</v>
      </c>
      <c r="CY44" s="229">
        <v>-0.39119999999999999</v>
      </c>
      <c r="CZ44" s="228">
        <v>41.49</v>
      </c>
      <c r="DA44" s="228">
        <v>41.49</v>
      </c>
      <c r="DB44" s="228">
        <v>0</v>
      </c>
      <c r="DC44" s="228">
        <v>0</v>
      </c>
      <c r="DD44" s="228">
        <v>41.49</v>
      </c>
      <c r="DE44" s="228">
        <v>41.49</v>
      </c>
      <c r="DF44" s="228">
        <v>0</v>
      </c>
      <c r="DG44" s="228">
        <v>0</v>
      </c>
      <c r="DH44" s="228">
        <v>41.49</v>
      </c>
      <c r="DI44" s="228">
        <v>41.49</v>
      </c>
      <c r="DJ44" s="228">
        <v>0</v>
      </c>
      <c r="DK44" s="228">
        <v>0</v>
      </c>
      <c r="DL44" s="228">
        <v>41.49</v>
      </c>
      <c r="DM44" s="228">
        <v>41.49</v>
      </c>
      <c r="DN44" s="228">
        <v>0</v>
      </c>
      <c r="DO44" s="228">
        <v>0</v>
      </c>
      <c r="DP44" s="228">
        <v>0.44</v>
      </c>
      <c r="DQ44" s="228">
        <v>0.47</v>
      </c>
      <c r="DR44" s="228">
        <v>-0.03</v>
      </c>
      <c r="DS44" s="229">
        <v>-6.3799999999999996E-2</v>
      </c>
      <c r="DT44" s="228">
        <v>450</v>
      </c>
      <c r="DU44" s="228">
        <v>440</v>
      </c>
      <c r="DV44" s="228">
        <v>1.02</v>
      </c>
      <c r="DW44" s="228">
        <v>0.36</v>
      </c>
      <c r="DX44" s="228">
        <v>0.66</v>
      </c>
      <c r="DY44" s="229">
        <v>1.8332999999999999</v>
      </c>
      <c r="DZ44" s="229">
        <v>0</v>
      </c>
      <c r="EA44" s="228">
        <v>0</v>
      </c>
      <c r="EB44" s="229">
        <v>0</v>
      </c>
      <c r="EC44" s="229">
        <v>0</v>
      </c>
      <c r="ED44" s="228">
        <v>0</v>
      </c>
      <c r="EE44" s="229">
        <v>0</v>
      </c>
      <c r="EF44" s="230">
        <v>2627025</v>
      </c>
      <c r="EG44" s="230">
        <v>834588</v>
      </c>
      <c r="EH44" s="229">
        <v>2.1476999999999999</v>
      </c>
      <c r="EI44" s="229">
        <v>0.56200000000000006</v>
      </c>
      <c r="EJ44" s="231">
        <v>14474.81</v>
      </c>
      <c r="EK44" s="231">
        <v>14077.99</v>
      </c>
      <c r="EL44" s="231">
        <v>15183.4</v>
      </c>
      <c r="EM44" s="228">
        <v>0</v>
      </c>
      <c r="EN44" s="231">
        <v>43736.2</v>
      </c>
      <c r="EO44" s="231">
        <v>73718.06</v>
      </c>
      <c r="EP44" s="231">
        <v>-29981.86</v>
      </c>
      <c r="EQ44" s="229">
        <v>-0.40670000000000001</v>
      </c>
      <c r="ER44" s="228">
        <v>0</v>
      </c>
      <c r="ES44" s="228">
        <v>0</v>
      </c>
      <c r="ET44" s="228">
        <v>0</v>
      </c>
      <c r="EU44" s="231">
        <v>32988281</v>
      </c>
      <c r="EV44" s="228">
        <v>0</v>
      </c>
      <c r="EW44" s="231">
        <v>53408</v>
      </c>
      <c r="EX44" s="231">
        <v>-53408</v>
      </c>
      <c r="EY44" s="229">
        <v>-1</v>
      </c>
      <c r="EZ44" s="229">
        <v>0.23019999999999999</v>
      </c>
      <c r="FA44" s="227" t="s">
        <v>237</v>
      </c>
      <c r="FB44" s="161">
        <f t="shared" si="0"/>
        <v>-1463800</v>
      </c>
    </row>
    <row r="45" spans="1:158" ht="17.25" thickBot="1" x14ac:dyDescent="0.3">
      <c r="A45" s="226">
        <v>45869</v>
      </c>
      <c r="B45" s="227" t="s">
        <v>175</v>
      </c>
      <c r="C45" s="227" t="s">
        <v>612</v>
      </c>
      <c r="D45" s="228">
        <v>150</v>
      </c>
      <c r="E45" s="231">
        <v>3748.1</v>
      </c>
      <c r="F45" s="231">
        <v>3892.5</v>
      </c>
      <c r="G45" s="228">
        <v>-144.4</v>
      </c>
      <c r="H45" s="229">
        <v>-3.7100000000000001E-2</v>
      </c>
      <c r="I45" s="231">
        <v>3736.8</v>
      </c>
      <c r="J45" s="231">
        <v>3890.2</v>
      </c>
      <c r="K45" s="228">
        <v>-153.4</v>
      </c>
      <c r="L45" s="229">
        <v>-3.9399999999999998E-2</v>
      </c>
      <c r="M45" s="231">
        <v>3741.8</v>
      </c>
      <c r="N45" s="231">
        <v>3889.7</v>
      </c>
      <c r="O45" s="228">
        <v>-147.9</v>
      </c>
      <c r="P45" s="229">
        <v>-3.7999999999999999E-2</v>
      </c>
      <c r="Q45" s="231">
        <v>3748.1</v>
      </c>
      <c r="R45" s="231">
        <v>3892.5</v>
      </c>
      <c r="S45" s="228">
        <v>-144.4</v>
      </c>
      <c r="T45" s="229">
        <v>-3.7100000000000001E-2</v>
      </c>
      <c r="U45" s="231">
        <v>3765</v>
      </c>
      <c r="V45" s="231">
        <v>3904.2</v>
      </c>
      <c r="W45" s="228">
        <v>-139.19999999999999</v>
      </c>
      <c r="X45" s="229">
        <v>-3.5700000000000003E-2</v>
      </c>
      <c r="Y45" s="228">
        <v>11.3</v>
      </c>
      <c r="Z45" s="228">
        <v>-0.5</v>
      </c>
      <c r="AA45" s="228">
        <v>11.8</v>
      </c>
      <c r="AB45" s="229">
        <v>3.0000000000000001E-3</v>
      </c>
      <c r="AC45" s="228">
        <v>5</v>
      </c>
      <c r="AD45" s="228">
        <v>-0.5</v>
      </c>
      <c r="AE45" s="228">
        <v>5.5</v>
      </c>
      <c r="AF45" s="229">
        <v>1.2999999999999999E-3</v>
      </c>
      <c r="AG45" s="228">
        <v>11.3</v>
      </c>
      <c r="AH45" s="228">
        <v>2.2999999999999998</v>
      </c>
      <c r="AI45" s="228">
        <v>9</v>
      </c>
      <c r="AJ45" s="229">
        <v>3.0000000000000001E-3</v>
      </c>
      <c r="AK45" s="228">
        <v>28.2</v>
      </c>
      <c r="AL45" s="228">
        <v>14</v>
      </c>
      <c r="AM45" s="228">
        <v>14.2</v>
      </c>
      <c r="AN45" s="229">
        <v>7.4999999999999997E-3</v>
      </c>
      <c r="AO45" s="231">
        <v>3754.85</v>
      </c>
      <c r="AP45" s="231">
        <v>3761.23</v>
      </c>
      <c r="AQ45" s="228">
        <v>0</v>
      </c>
      <c r="AR45" s="230">
        <v>2861550</v>
      </c>
      <c r="AS45" s="230">
        <v>1014600</v>
      </c>
      <c r="AT45" s="230">
        <v>1846950</v>
      </c>
      <c r="AU45" s="229">
        <v>1.8204</v>
      </c>
      <c r="AV45" s="230">
        <v>1198350</v>
      </c>
      <c r="AW45" s="230">
        <v>465750</v>
      </c>
      <c r="AX45" s="230">
        <v>732600</v>
      </c>
      <c r="AY45" s="229">
        <v>1.5729</v>
      </c>
      <c r="AZ45" s="230">
        <v>1629150</v>
      </c>
      <c r="BA45" s="230">
        <v>535650</v>
      </c>
      <c r="BB45" s="230">
        <v>1093500</v>
      </c>
      <c r="BC45" s="229">
        <v>2.0413999999999999</v>
      </c>
      <c r="BD45" s="230">
        <v>34050</v>
      </c>
      <c r="BE45" s="230">
        <v>13200</v>
      </c>
      <c r="BF45" s="230">
        <v>20850</v>
      </c>
      <c r="BG45" s="229">
        <v>1.5794999999999999</v>
      </c>
      <c r="BH45" s="230">
        <v>3019950</v>
      </c>
      <c r="BI45" s="230">
        <v>1714800</v>
      </c>
      <c r="BJ45" s="230">
        <v>1305150</v>
      </c>
      <c r="BK45" s="229">
        <v>0.7611</v>
      </c>
      <c r="BL45" s="230">
        <v>2454300</v>
      </c>
      <c r="BM45" s="230">
        <v>889350</v>
      </c>
      <c r="BN45" s="230">
        <v>1564950</v>
      </c>
      <c r="BO45" s="229">
        <v>1.7597</v>
      </c>
      <c r="BP45" s="230">
        <v>8335800</v>
      </c>
      <c r="BQ45" s="230">
        <v>3618750</v>
      </c>
      <c r="BR45" s="230">
        <v>4717050</v>
      </c>
      <c r="BS45" s="229">
        <v>1.3035000000000001</v>
      </c>
      <c r="BT45" s="230">
        <v>1085831</v>
      </c>
      <c r="BU45" s="230">
        <v>295391</v>
      </c>
      <c r="BV45" s="230">
        <v>790440</v>
      </c>
      <c r="BW45" s="229">
        <v>2.6758999999999999</v>
      </c>
      <c r="BX45" s="230">
        <v>2137500</v>
      </c>
      <c r="BY45" s="230">
        <v>2492850</v>
      </c>
      <c r="BZ45" s="230">
        <v>-355350</v>
      </c>
      <c r="CA45" s="229">
        <v>-0.14249999999999999</v>
      </c>
      <c r="CB45" s="230">
        <v>507000</v>
      </c>
      <c r="CC45" s="230">
        <v>1084800</v>
      </c>
      <c r="CD45" s="230">
        <v>-577800</v>
      </c>
      <c r="CE45" s="229">
        <v>-0.53259999999999996</v>
      </c>
      <c r="CF45" s="230">
        <v>2082600</v>
      </c>
      <c r="CG45" s="230">
        <v>1366200</v>
      </c>
      <c r="CH45" s="230">
        <v>716400</v>
      </c>
      <c r="CI45" s="229">
        <v>0.52439999999999998</v>
      </c>
      <c r="CJ45" s="230">
        <v>54900</v>
      </c>
      <c r="CK45" s="230">
        <v>41850</v>
      </c>
      <c r="CL45" s="230">
        <v>13050</v>
      </c>
      <c r="CM45" s="229">
        <v>0.31180000000000002</v>
      </c>
      <c r="CN45" s="230">
        <v>666600</v>
      </c>
      <c r="CO45" s="230">
        <v>1364700</v>
      </c>
      <c r="CP45" s="230">
        <v>-698100</v>
      </c>
      <c r="CQ45" s="229">
        <v>-0.51149999999999995</v>
      </c>
      <c r="CR45" s="230">
        <v>442950</v>
      </c>
      <c r="CS45" s="230">
        <v>987900</v>
      </c>
      <c r="CT45" s="230">
        <v>-544950</v>
      </c>
      <c r="CU45" s="229">
        <v>-0.55159999999999998</v>
      </c>
      <c r="CV45" s="230">
        <v>3247050</v>
      </c>
      <c r="CW45" s="230">
        <v>4845450</v>
      </c>
      <c r="CX45" s="230">
        <v>-1598400</v>
      </c>
      <c r="CY45" s="229">
        <v>-0.32990000000000003</v>
      </c>
      <c r="CZ45" s="228">
        <v>32.43</v>
      </c>
      <c r="DA45" s="228">
        <v>34.81</v>
      </c>
      <c r="DB45" s="228">
        <v>-2.38</v>
      </c>
      <c r="DC45" s="228">
        <v>-2.38</v>
      </c>
      <c r="DD45" s="228">
        <v>45.89</v>
      </c>
      <c r="DE45" s="228">
        <v>45.68</v>
      </c>
      <c r="DF45" s="228">
        <v>-13.46</v>
      </c>
      <c r="DG45" s="228">
        <v>0.21</v>
      </c>
      <c r="DH45" s="228">
        <v>32.630000000000003</v>
      </c>
      <c r="DI45" s="228">
        <v>34.89</v>
      </c>
      <c r="DJ45" s="228">
        <v>-2.2599999999999998</v>
      </c>
      <c r="DK45" s="228">
        <v>-2.2599999999999998</v>
      </c>
      <c r="DL45" s="228">
        <v>32.18</v>
      </c>
      <c r="DM45" s="228">
        <v>34.68</v>
      </c>
      <c r="DN45" s="228">
        <v>-2.5</v>
      </c>
      <c r="DO45" s="228">
        <v>-2.5</v>
      </c>
      <c r="DP45" s="228">
        <v>0.66</v>
      </c>
      <c r="DQ45" s="228">
        <v>0.72</v>
      </c>
      <c r="DR45" s="228">
        <v>-0.06</v>
      </c>
      <c r="DS45" s="229">
        <v>-8.3299999999999999E-2</v>
      </c>
      <c r="DT45" s="231">
        <v>4000</v>
      </c>
      <c r="DU45" s="231">
        <v>3800</v>
      </c>
      <c r="DV45" s="228">
        <v>0.81</v>
      </c>
      <c r="DW45" s="228">
        <v>0.52</v>
      </c>
      <c r="DX45" s="228">
        <v>0.28999999999999998</v>
      </c>
      <c r="DY45" s="229">
        <v>0.55769999999999997</v>
      </c>
      <c r="DZ45" s="229">
        <v>0.80830000000000002</v>
      </c>
      <c r="EA45" s="230">
        <v>1408050</v>
      </c>
      <c r="EB45" s="229">
        <v>1.6999999999999999E-3</v>
      </c>
      <c r="EC45" s="229">
        <v>0.80830000000000002</v>
      </c>
      <c r="ED45" s="228">
        <v>6.38</v>
      </c>
      <c r="EE45" s="229">
        <v>1.6999999999999999E-3</v>
      </c>
      <c r="EF45" s="230">
        <v>441339</v>
      </c>
      <c r="EG45" s="230">
        <v>159223</v>
      </c>
      <c r="EH45" s="229">
        <v>1.7718</v>
      </c>
      <c r="EI45" s="229">
        <v>0.40649999999999997</v>
      </c>
      <c r="EJ45" s="231">
        <v>122960.27</v>
      </c>
      <c r="EK45" s="231">
        <v>93183.21</v>
      </c>
      <c r="EL45" s="231">
        <v>107556.39</v>
      </c>
      <c r="EM45" s="228">
        <v>0</v>
      </c>
      <c r="EN45" s="231">
        <v>323699.87</v>
      </c>
      <c r="EO45" s="231">
        <v>145868.26999999999</v>
      </c>
      <c r="EP45" s="231">
        <v>177831.6</v>
      </c>
      <c r="EQ45" s="229">
        <v>1.2191000000000001</v>
      </c>
      <c r="ER45" s="231">
        <v>27150</v>
      </c>
      <c r="ES45" s="231">
        <v>17107</v>
      </c>
      <c r="ET45" s="231">
        <v>80125</v>
      </c>
      <c r="EU45" s="231">
        <v>9885969</v>
      </c>
      <c r="EV45" s="231">
        <v>124382</v>
      </c>
      <c r="EW45" s="231">
        <v>194442</v>
      </c>
      <c r="EX45" s="231">
        <v>-70060</v>
      </c>
      <c r="EY45" s="229">
        <v>-0.36030000000000001</v>
      </c>
      <c r="EZ45" s="229">
        <v>0.32850000000000001</v>
      </c>
      <c r="FA45" s="227" t="s">
        <v>568</v>
      </c>
      <c r="FB45" s="161">
        <f t="shared" si="0"/>
        <v>1630500</v>
      </c>
    </row>
    <row r="46" spans="1:158" ht="17.25" thickBot="1" x14ac:dyDescent="0.3">
      <c r="A46" s="226">
        <v>45869</v>
      </c>
      <c r="B46" s="227" t="s">
        <v>172</v>
      </c>
      <c r="C46" s="227" t="s">
        <v>196</v>
      </c>
      <c r="D46" s="228">
        <v>6750</v>
      </c>
      <c r="E46" s="228">
        <v>107.84</v>
      </c>
      <c r="F46" s="228">
        <v>108.82</v>
      </c>
      <c r="G46" s="228">
        <v>-0.98</v>
      </c>
      <c r="H46" s="229">
        <v>-8.9999999999999993E-3</v>
      </c>
      <c r="I46" s="228">
        <v>107.25</v>
      </c>
      <c r="J46" s="228">
        <v>108.2</v>
      </c>
      <c r="K46" s="228">
        <v>-0.95</v>
      </c>
      <c r="L46" s="229">
        <v>-8.8000000000000005E-3</v>
      </c>
      <c r="M46" s="228">
        <v>107.18</v>
      </c>
      <c r="N46" s="228">
        <v>108.23</v>
      </c>
      <c r="O46" s="228">
        <v>-1.05</v>
      </c>
      <c r="P46" s="229">
        <v>-9.7000000000000003E-3</v>
      </c>
      <c r="Q46" s="228">
        <v>107.84</v>
      </c>
      <c r="R46" s="228">
        <v>108.82</v>
      </c>
      <c r="S46" s="228">
        <v>-0.98</v>
      </c>
      <c r="T46" s="229">
        <v>-8.9999999999999993E-3</v>
      </c>
      <c r="U46" s="228">
        <v>108.41</v>
      </c>
      <c r="V46" s="228">
        <v>109.45</v>
      </c>
      <c r="W46" s="228">
        <v>-1.04</v>
      </c>
      <c r="X46" s="229">
        <v>-9.4999999999999998E-3</v>
      </c>
      <c r="Y46" s="228">
        <v>0.59</v>
      </c>
      <c r="Z46" s="228">
        <v>0.03</v>
      </c>
      <c r="AA46" s="228">
        <v>0.56000000000000005</v>
      </c>
      <c r="AB46" s="229">
        <v>5.4999999999999997E-3</v>
      </c>
      <c r="AC46" s="228">
        <v>-7.0000000000000007E-2</v>
      </c>
      <c r="AD46" s="228">
        <v>0.03</v>
      </c>
      <c r="AE46" s="228">
        <v>-0.1</v>
      </c>
      <c r="AF46" s="229">
        <v>-6.9999999999999999E-4</v>
      </c>
      <c r="AG46" s="228">
        <v>0.59</v>
      </c>
      <c r="AH46" s="228">
        <v>0.62</v>
      </c>
      <c r="AI46" s="228">
        <v>-0.03</v>
      </c>
      <c r="AJ46" s="229">
        <v>5.4999999999999997E-3</v>
      </c>
      <c r="AK46" s="228">
        <v>1.1599999999999999</v>
      </c>
      <c r="AL46" s="228">
        <v>1.25</v>
      </c>
      <c r="AM46" s="228">
        <v>-0.09</v>
      </c>
      <c r="AN46" s="229">
        <v>1.0800000000000001E-2</v>
      </c>
      <c r="AO46" s="228">
        <v>107.34</v>
      </c>
      <c r="AP46" s="228">
        <v>107.95</v>
      </c>
      <c r="AQ46" s="228">
        <v>0</v>
      </c>
      <c r="AR46" s="230">
        <v>150376500</v>
      </c>
      <c r="AS46" s="230">
        <v>107547750</v>
      </c>
      <c r="AT46" s="230">
        <v>42828750</v>
      </c>
      <c r="AU46" s="229">
        <v>0.3982</v>
      </c>
      <c r="AV46" s="230">
        <v>56112750</v>
      </c>
      <c r="AW46" s="230">
        <v>49167000</v>
      </c>
      <c r="AX46" s="230">
        <v>6945750</v>
      </c>
      <c r="AY46" s="229">
        <v>0.14130000000000001</v>
      </c>
      <c r="AZ46" s="230">
        <v>91192500</v>
      </c>
      <c r="BA46" s="230">
        <v>56997000</v>
      </c>
      <c r="BB46" s="230">
        <v>34195500</v>
      </c>
      <c r="BC46" s="229">
        <v>0.6</v>
      </c>
      <c r="BD46" s="230">
        <v>3071250</v>
      </c>
      <c r="BE46" s="230">
        <v>1383750</v>
      </c>
      <c r="BF46" s="230">
        <v>1687500</v>
      </c>
      <c r="BG46" s="229">
        <v>1.2195</v>
      </c>
      <c r="BH46" s="230">
        <v>114689250</v>
      </c>
      <c r="BI46" s="230">
        <v>115580250</v>
      </c>
      <c r="BJ46" s="230">
        <v>-891000</v>
      </c>
      <c r="BK46" s="229">
        <v>-7.7000000000000002E-3</v>
      </c>
      <c r="BL46" s="230">
        <v>78144750</v>
      </c>
      <c r="BM46" s="230">
        <v>47310750</v>
      </c>
      <c r="BN46" s="230">
        <v>30834000</v>
      </c>
      <c r="BO46" s="229">
        <v>0.65169999999999995</v>
      </c>
      <c r="BP46" s="230">
        <v>343210500</v>
      </c>
      <c r="BQ46" s="230">
        <v>270438750</v>
      </c>
      <c r="BR46" s="230">
        <v>72771750</v>
      </c>
      <c r="BS46" s="229">
        <v>0.26910000000000001</v>
      </c>
      <c r="BT46" s="230">
        <v>49057983</v>
      </c>
      <c r="BU46" s="230">
        <v>24038065</v>
      </c>
      <c r="BV46" s="230">
        <v>25019918</v>
      </c>
      <c r="BW46" s="229">
        <v>1.0407999999999999</v>
      </c>
      <c r="BX46" s="230">
        <v>225247500</v>
      </c>
      <c r="BY46" s="230">
        <v>222621750</v>
      </c>
      <c r="BZ46" s="230">
        <v>2625750</v>
      </c>
      <c r="CA46" s="229">
        <v>1.18E-2</v>
      </c>
      <c r="CB46" s="230">
        <v>33601500</v>
      </c>
      <c r="CC46" s="230">
        <v>40230000</v>
      </c>
      <c r="CD46" s="230">
        <v>-6628500</v>
      </c>
      <c r="CE46" s="229">
        <v>-0.1648</v>
      </c>
      <c r="CF46" s="230">
        <v>220158000</v>
      </c>
      <c r="CG46" s="230">
        <v>178476750</v>
      </c>
      <c r="CH46" s="230">
        <v>41681250</v>
      </c>
      <c r="CI46" s="229">
        <v>0.23350000000000001</v>
      </c>
      <c r="CJ46" s="230">
        <v>5089500</v>
      </c>
      <c r="CK46" s="230">
        <v>3915000</v>
      </c>
      <c r="CL46" s="230">
        <v>1174500</v>
      </c>
      <c r="CM46" s="229">
        <v>0.3</v>
      </c>
      <c r="CN46" s="230">
        <v>71921250</v>
      </c>
      <c r="CO46" s="230">
        <v>154406250</v>
      </c>
      <c r="CP46" s="230">
        <v>-82485000</v>
      </c>
      <c r="CQ46" s="229">
        <v>-0.53420000000000001</v>
      </c>
      <c r="CR46" s="230">
        <v>54600750</v>
      </c>
      <c r="CS46" s="230">
        <v>100372500</v>
      </c>
      <c r="CT46" s="230">
        <v>-45771750</v>
      </c>
      <c r="CU46" s="229">
        <v>-0.45600000000000002</v>
      </c>
      <c r="CV46" s="230">
        <v>351769500</v>
      </c>
      <c r="CW46" s="230">
        <v>477400500</v>
      </c>
      <c r="CX46" s="230">
        <v>-125631000</v>
      </c>
      <c r="CY46" s="229">
        <v>-0.26319999999999999</v>
      </c>
      <c r="CZ46" s="228">
        <v>28.63</v>
      </c>
      <c r="DA46" s="228">
        <v>29.26</v>
      </c>
      <c r="DB46" s="228">
        <v>-0.63</v>
      </c>
      <c r="DC46" s="228">
        <v>-0.63</v>
      </c>
      <c r="DD46" s="228">
        <v>39.840000000000003</v>
      </c>
      <c r="DE46" s="228">
        <v>39.92</v>
      </c>
      <c r="DF46" s="228">
        <v>-11.21</v>
      </c>
      <c r="DG46" s="228">
        <v>-0.08</v>
      </c>
      <c r="DH46" s="228">
        <v>28.89</v>
      </c>
      <c r="DI46" s="228">
        <v>29.63</v>
      </c>
      <c r="DJ46" s="228">
        <v>-0.74</v>
      </c>
      <c r="DK46" s="228">
        <v>-0.74</v>
      </c>
      <c r="DL46" s="228">
        <v>28.26</v>
      </c>
      <c r="DM46" s="228">
        <v>28.54</v>
      </c>
      <c r="DN46" s="228">
        <v>-0.28000000000000003</v>
      </c>
      <c r="DO46" s="228">
        <v>-0.28000000000000003</v>
      </c>
      <c r="DP46" s="228">
        <v>0.76</v>
      </c>
      <c r="DQ46" s="228">
        <v>0.65</v>
      </c>
      <c r="DR46" s="228">
        <v>0.11</v>
      </c>
      <c r="DS46" s="229">
        <v>0.16919999999999999</v>
      </c>
      <c r="DT46" s="228">
        <v>120</v>
      </c>
      <c r="DU46" s="228">
        <v>110</v>
      </c>
      <c r="DV46" s="228">
        <v>0.68</v>
      </c>
      <c r="DW46" s="228">
        <v>0.41</v>
      </c>
      <c r="DX46" s="228">
        <v>0.27</v>
      </c>
      <c r="DY46" s="229">
        <v>0.65849999999999997</v>
      </c>
      <c r="DZ46" s="229">
        <v>0.87019999999999997</v>
      </c>
      <c r="EA46" s="230">
        <v>182391750</v>
      </c>
      <c r="EB46" s="229">
        <v>6.1999999999999998E-3</v>
      </c>
      <c r="EC46" s="229">
        <v>0.87019999999999997</v>
      </c>
      <c r="ED46" s="228">
        <v>0.61</v>
      </c>
      <c r="EE46" s="229">
        <v>5.7000000000000002E-3</v>
      </c>
      <c r="EF46" s="230">
        <v>28401788</v>
      </c>
      <c r="EG46" s="230">
        <v>12568500</v>
      </c>
      <c r="EH46" s="229">
        <v>1.2598</v>
      </c>
      <c r="EI46" s="229">
        <v>0.57889999999999997</v>
      </c>
      <c r="EJ46" s="231">
        <v>129760.56</v>
      </c>
      <c r="EK46" s="231">
        <v>86137.95</v>
      </c>
      <c r="EL46" s="231">
        <v>162017.29999999999</v>
      </c>
      <c r="EM46" s="228">
        <v>0</v>
      </c>
      <c r="EN46" s="231">
        <v>377915.81</v>
      </c>
      <c r="EO46" s="231">
        <v>301431.18</v>
      </c>
      <c r="EP46" s="231">
        <v>76484.63</v>
      </c>
      <c r="EQ46" s="229">
        <v>0.25369999999999998</v>
      </c>
      <c r="ER46" s="231">
        <v>82332</v>
      </c>
      <c r="ES46" s="231">
        <v>59241</v>
      </c>
      <c r="ET46" s="231">
        <v>242936</v>
      </c>
      <c r="EU46" s="231">
        <v>672420574</v>
      </c>
      <c r="EV46" s="231">
        <v>384508</v>
      </c>
      <c r="EW46" s="231">
        <v>529326</v>
      </c>
      <c r="EX46" s="231">
        <v>-144818</v>
      </c>
      <c r="EY46" s="229">
        <v>-0.27360000000000001</v>
      </c>
      <c r="EZ46" s="229">
        <v>0.52310000000000001</v>
      </c>
      <c r="FA46" s="227" t="s">
        <v>567</v>
      </c>
      <c r="FB46" s="161">
        <f t="shared" si="0"/>
        <v>191646000</v>
      </c>
    </row>
    <row r="47" spans="1:158" ht="17.25" thickBot="1" x14ac:dyDescent="0.3">
      <c r="A47" s="226">
        <v>45869</v>
      </c>
      <c r="B47" s="227" t="s">
        <v>175</v>
      </c>
      <c r="C47" s="227" t="s">
        <v>598</v>
      </c>
      <c r="D47" s="228">
        <v>475</v>
      </c>
      <c r="E47" s="231">
        <v>1476</v>
      </c>
      <c r="F47" s="231">
        <v>1502.3</v>
      </c>
      <c r="G47" s="228">
        <v>-26.3</v>
      </c>
      <c r="H47" s="229">
        <v>-1.7500000000000002E-2</v>
      </c>
      <c r="I47" s="231">
        <v>1480.8</v>
      </c>
      <c r="J47" s="231">
        <v>1512.8</v>
      </c>
      <c r="K47" s="228">
        <v>-32</v>
      </c>
      <c r="L47" s="229">
        <v>-2.12E-2</v>
      </c>
      <c r="M47" s="231">
        <v>1481</v>
      </c>
      <c r="N47" s="231">
        <v>1516.7</v>
      </c>
      <c r="O47" s="228">
        <v>-35.700000000000003</v>
      </c>
      <c r="P47" s="229">
        <v>-2.35E-2</v>
      </c>
      <c r="Q47" s="231">
        <v>1476</v>
      </c>
      <c r="R47" s="231">
        <v>1502.3</v>
      </c>
      <c r="S47" s="228">
        <v>-26.3</v>
      </c>
      <c r="T47" s="229">
        <v>-1.7500000000000002E-2</v>
      </c>
      <c r="U47" s="231">
        <v>1478.9</v>
      </c>
      <c r="V47" s="231">
        <v>1505</v>
      </c>
      <c r="W47" s="228">
        <v>-26.1</v>
      </c>
      <c r="X47" s="229">
        <v>-1.7299999999999999E-2</v>
      </c>
      <c r="Y47" s="228">
        <v>-4.8</v>
      </c>
      <c r="Z47" s="228">
        <v>3.9</v>
      </c>
      <c r="AA47" s="228">
        <v>-8.6999999999999993</v>
      </c>
      <c r="AB47" s="229">
        <v>-3.2000000000000002E-3</v>
      </c>
      <c r="AC47" s="228">
        <v>0.2</v>
      </c>
      <c r="AD47" s="228">
        <v>3.9</v>
      </c>
      <c r="AE47" s="228">
        <v>-3.7</v>
      </c>
      <c r="AF47" s="229">
        <v>1E-4</v>
      </c>
      <c r="AG47" s="228">
        <v>-4.8</v>
      </c>
      <c r="AH47" s="228">
        <v>-10.5</v>
      </c>
      <c r="AI47" s="228">
        <v>5.7</v>
      </c>
      <c r="AJ47" s="229">
        <v>-3.2000000000000002E-3</v>
      </c>
      <c r="AK47" s="228">
        <v>-1.9</v>
      </c>
      <c r="AL47" s="228">
        <v>-7.8</v>
      </c>
      <c r="AM47" s="228">
        <v>5.9</v>
      </c>
      <c r="AN47" s="229">
        <v>-1.2999999999999999E-3</v>
      </c>
      <c r="AO47" s="231">
        <v>1494.18</v>
      </c>
      <c r="AP47" s="231">
        <v>1485.22</v>
      </c>
      <c r="AQ47" s="228">
        <v>0</v>
      </c>
      <c r="AR47" s="230">
        <v>7635150</v>
      </c>
      <c r="AS47" s="230">
        <v>7010525</v>
      </c>
      <c r="AT47" s="230">
        <v>624625</v>
      </c>
      <c r="AU47" s="229">
        <v>8.9099999999999999E-2</v>
      </c>
      <c r="AV47" s="230">
        <v>3270850</v>
      </c>
      <c r="AW47" s="230">
        <v>3158750</v>
      </c>
      <c r="AX47" s="230">
        <v>112100</v>
      </c>
      <c r="AY47" s="229">
        <v>3.5499999999999997E-2</v>
      </c>
      <c r="AZ47" s="230">
        <v>4193775</v>
      </c>
      <c r="BA47" s="230">
        <v>3697875</v>
      </c>
      <c r="BB47" s="230">
        <v>495900</v>
      </c>
      <c r="BC47" s="229">
        <v>0.1341</v>
      </c>
      <c r="BD47" s="230">
        <v>170525</v>
      </c>
      <c r="BE47" s="230">
        <v>153900</v>
      </c>
      <c r="BF47" s="230">
        <v>16625</v>
      </c>
      <c r="BG47" s="229">
        <v>0.108</v>
      </c>
      <c r="BH47" s="230">
        <v>7356325</v>
      </c>
      <c r="BI47" s="230">
        <v>10367350</v>
      </c>
      <c r="BJ47" s="230">
        <v>-3011025</v>
      </c>
      <c r="BK47" s="229">
        <v>-0.29039999999999999</v>
      </c>
      <c r="BL47" s="230">
        <v>5038800</v>
      </c>
      <c r="BM47" s="230">
        <v>6512725</v>
      </c>
      <c r="BN47" s="230">
        <v>-1473925</v>
      </c>
      <c r="BO47" s="229">
        <v>-0.2263</v>
      </c>
      <c r="BP47" s="230">
        <v>20030275</v>
      </c>
      <c r="BQ47" s="230">
        <v>23890600</v>
      </c>
      <c r="BR47" s="230">
        <v>-3860325</v>
      </c>
      <c r="BS47" s="229">
        <v>-0.16159999999999999</v>
      </c>
      <c r="BT47" s="230">
        <v>2862587</v>
      </c>
      <c r="BU47" s="230">
        <v>2574925</v>
      </c>
      <c r="BV47" s="230">
        <v>287662</v>
      </c>
      <c r="BW47" s="229">
        <v>0.11169999999999999</v>
      </c>
      <c r="BX47" s="230">
        <v>9327575</v>
      </c>
      <c r="BY47" s="230">
        <v>10907900</v>
      </c>
      <c r="BZ47" s="230">
        <v>-1580325</v>
      </c>
      <c r="CA47" s="229">
        <v>-0.1449</v>
      </c>
      <c r="CB47" s="230">
        <v>888250</v>
      </c>
      <c r="CC47" s="230">
        <v>2449575</v>
      </c>
      <c r="CD47" s="230">
        <v>-1561325</v>
      </c>
      <c r="CE47" s="229">
        <v>-0.63739999999999997</v>
      </c>
      <c r="CF47" s="230">
        <v>8774200</v>
      </c>
      <c r="CG47" s="230">
        <v>7989500</v>
      </c>
      <c r="CH47" s="230">
        <v>784700</v>
      </c>
      <c r="CI47" s="229">
        <v>9.8199999999999996E-2</v>
      </c>
      <c r="CJ47" s="230">
        <v>553375</v>
      </c>
      <c r="CK47" s="230">
        <v>468825</v>
      </c>
      <c r="CL47" s="230">
        <v>84550</v>
      </c>
      <c r="CM47" s="229">
        <v>0.18029999999999999</v>
      </c>
      <c r="CN47" s="230">
        <v>4680650</v>
      </c>
      <c r="CO47" s="230">
        <v>9194575</v>
      </c>
      <c r="CP47" s="230">
        <v>-4513925</v>
      </c>
      <c r="CQ47" s="229">
        <v>-0.4909</v>
      </c>
      <c r="CR47" s="230">
        <v>3281775</v>
      </c>
      <c r="CS47" s="230">
        <v>5197450</v>
      </c>
      <c r="CT47" s="230">
        <v>-1915675</v>
      </c>
      <c r="CU47" s="229">
        <v>-0.36859999999999998</v>
      </c>
      <c r="CV47" s="230">
        <v>17290000</v>
      </c>
      <c r="CW47" s="230">
        <v>25299925</v>
      </c>
      <c r="CX47" s="230">
        <v>-8009925</v>
      </c>
      <c r="CY47" s="229">
        <v>-0.31659999999999999</v>
      </c>
      <c r="CZ47" s="228">
        <v>34.049999999999997</v>
      </c>
      <c r="DA47" s="228">
        <v>34.43</v>
      </c>
      <c r="DB47" s="228">
        <v>-0.38</v>
      </c>
      <c r="DC47" s="228">
        <v>-0.38</v>
      </c>
      <c r="DD47" s="228">
        <v>51.37</v>
      </c>
      <c r="DE47" s="228">
        <v>51.44</v>
      </c>
      <c r="DF47" s="228">
        <v>-17.32</v>
      </c>
      <c r="DG47" s="228">
        <v>-7.0000000000000007E-2</v>
      </c>
      <c r="DH47" s="228">
        <v>34.549999999999997</v>
      </c>
      <c r="DI47" s="228">
        <v>34.82</v>
      </c>
      <c r="DJ47" s="228">
        <v>-0.27</v>
      </c>
      <c r="DK47" s="228">
        <v>-0.27</v>
      </c>
      <c r="DL47" s="228">
        <v>33.32</v>
      </c>
      <c r="DM47" s="228">
        <v>33.76</v>
      </c>
      <c r="DN47" s="228">
        <v>-0.44</v>
      </c>
      <c r="DO47" s="228">
        <v>-0.44</v>
      </c>
      <c r="DP47" s="228">
        <v>0.7</v>
      </c>
      <c r="DQ47" s="228">
        <v>0.56999999999999995</v>
      </c>
      <c r="DR47" s="228">
        <v>0.13</v>
      </c>
      <c r="DS47" s="229">
        <v>0.2281</v>
      </c>
      <c r="DT47" s="231">
        <v>1800</v>
      </c>
      <c r="DU47" s="231">
        <v>1600</v>
      </c>
      <c r="DV47" s="228">
        <v>0.68</v>
      </c>
      <c r="DW47" s="228">
        <v>0.63</v>
      </c>
      <c r="DX47" s="228">
        <v>0.05</v>
      </c>
      <c r="DY47" s="229">
        <v>7.9399999999999998E-2</v>
      </c>
      <c r="DZ47" s="229">
        <v>0.91310000000000002</v>
      </c>
      <c r="EA47" s="230">
        <v>8458325</v>
      </c>
      <c r="EB47" s="229">
        <v>-3.3999999999999998E-3</v>
      </c>
      <c r="EC47" s="229">
        <v>0.91310000000000002</v>
      </c>
      <c r="ED47" s="228">
        <v>-8.9600000000000009</v>
      </c>
      <c r="EE47" s="229">
        <v>-6.0000000000000001E-3</v>
      </c>
      <c r="EF47" s="230">
        <v>952065</v>
      </c>
      <c r="EG47" s="230">
        <v>815410</v>
      </c>
      <c r="EH47" s="229">
        <v>0.1676</v>
      </c>
      <c r="EI47" s="229">
        <v>0.33260000000000001</v>
      </c>
      <c r="EJ47" s="231">
        <v>120535.84</v>
      </c>
      <c r="EK47" s="231">
        <v>78138.880000000005</v>
      </c>
      <c r="EL47" s="231">
        <v>113695.65</v>
      </c>
      <c r="EM47" s="228">
        <v>0</v>
      </c>
      <c r="EN47" s="231">
        <v>312370.37</v>
      </c>
      <c r="EO47" s="231">
        <v>377542.29</v>
      </c>
      <c r="EP47" s="231">
        <v>-65171.92</v>
      </c>
      <c r="EQ47" s="229">
        <v>-0.1726</v>
      </c>
      <c r="ER47" s="231">
        <v>78881</v>
      </c>
      <c r="ES47" s="231">
        <v>50224</v>
      </c>
      <c r="ET47" s="231">
        <v>137691</v>
      </c>
      <c r="EU47" s="231">
        <v>35530000</v>
      </c>
      <c r="EV47" s="231">
        <v>266796</v>
      </c>
      <c r="EW47" s="231">
        <v>408084</v>
      </c>
      <c r="EX47" s="231">
        <v>-141288</v>
      </c>
      <c r="EY47" s="229">
        <v>-0.34620000000000001</v>
      </c>
      <c r="EZ47" s="229">
        <v>0.48659999999999998</v>
      </c>
      <c r="FA47" s="227" t="s">
        <v>568</v>
      </c>
      <c r="FB47" s="161">
        <f t="shared" si="0"/>
        <v>8439325</v>
      </c>
    </row>
    <row r="48" spans="1:158" ht="17.25" thickBot="1" x14ac:dyDescent="0.3">
      <c r="A48" s="226">
        <v>45869</v>
      </c>
      <c r="B48" s="227" t="s">
        <v>161</v>
      </c>
      <c r="C48" s="227" t="s">
        <v>602</v>
      </c>
      <c r="D48" s="228">
        <v>3625</v>
      </c>
      <c r="E48" s="228">
        <v>170.04</v>
      </c>
      <c r="F48" s="228">
        <v>177.75</v>
      </c>
      <c r="G48" s="228">
        <v>-7.71</v>
      </c>
      <c r="H48" s="229">
        <v>-4.3400000000000001E-2</v>
      </c>
      <c r="I48" s="228">
        <v>169.51</v>
      </c>
      <c r="J48" s="228">
        <v>176.61</v>
      </c>
      <c r="K48" s="228">
        <v>-7.1</v>
      </c>
      <c r="L48" s="229">
        <v>-4.02E-2</v>
      </c>
      <c r="M48" s="228">
        <v>169.05</v>
      </c>
      <c r="N48" s="228">
        <v>176.87</v>
      </c>
      <c r="O48" s="228">
        <v>-7.82</v>
      </c>
      <c r="P48" s="229">
        <v>-4.4200000000000003E-2</v>
      </c>
      <c r="Q48" s="228">
        <v>170.04</v>
      </c>
      <c r="R48" s="228">
        <v>177.75</v>
      </c>
      <c r="S48" s="228">
        <v>-7.71</v>
      </c>
      <c r="T48" s="229">
        <v>-4.3400000000000001E-2</v>
      </c>
      <c r="U48" s="228">
        <v>0</v>
      </c>
      <c r="V48" s="228">
        <v>0</v>
      </c>
      <c r="W48" s="228">
        <v>0</v>
      </c>
      <c r="X48" s="229">
        <v>0</v>
      </c>
      <c r="Y48" s="228">
        <v>0.53</v>
      </c>
      <c r="Z48" s="228">
        <v>0.26</v>
      </c>
      <c r="AA48" s="228">
        <v>0.27</v>
      </c>
      <c r="AB48" s="229">
        <v>3.0999999999999999E-3</v>
      </c>
      <c r="AC48" s="228">
        <v>-0.46</v>
      </c>
      <c r="AD48" s="228">
        <v>0.26</v>
      </c>
      <c r="AE48" s="228">
        <v>-0.72</v>
      </c>
      <c r="AF48" s="229">
        <v>-2.7000000000000001E-3</v>
      </c>
      <c r="AG48" s="228">
        <v>0.53</v>
      </c>
      <c r="AH48" s="228">
        <v>1.1399999999999999</v>
      </c>
      <c r="AI48" s="228">
        <v>-0.61</v>
      </c>
      <c r="AJ48" s="229">
        <v>3.0999999999999999E-3</v>
      </c>
      <c r="AK48" s="228">
        <v>0</v>
      </c>
      <c r="AL48" s="228">
        <v>0</v>
      </c>
      <c r="AM48" s="228">
        <v>0</v>
      </c>
      <c r="AN48" s="229">
        <v>0</v>
      </c>
      <c r="AO48" s="228">
        <v>172.29</v>
      </c>
      <c r="AP48" s="228">
        <v>173.25</v>
      </c>
      <c r="AQ48" s="228">
        <v>0</v>
      </c>
      <c r="AR48" s="230">
        <v>18958750</v>
      </c>
      <c r="AS48" s="230">
        <v>23725625</v>
      </c>
      <c r="AT48" s="230">
        <v>-4766875</v>
      </c>
      <c r="AU48" s="229">
        <v>-0.2009</v>
      </c>
      <c r="AV48" s="230">
        <v>7641500</v>
      </c>
      <c r="AW48" s="230">
        <v>9352500</v>
      </c>
      <c r="AX48" s="230">
        <v>-1711000</v>
      </c>
      <c r="AY48" s="229">
        <v>-0.18290000000000001</v>
      </c>
      <c r="AZ48" s="230">
        <v>11317250</v>
      </c>
      <c r="BA48" s="230">
        <v>14373125</v>
      </c>
      <c r="BB48" s="230">
        <v>-3055875</v>
      </c>
      <c r="BC48" s="229">
        <v>-0.21260000000000001</v>
      </c>
      <c r="BD48" s="228">
        <v>0</v>
      </c>
      <c r="BE48" s="228">
        <v>0</v>
      </c>
      <c r="BF48" s="228">
        <v>0</v>
      </c>
      <c r="BG48" s="229">
        <v>0</v>
      </c>
      <c r="BH48" s="230">
        <v>14862500</v>
      </c>
      <c r="BI48" s="230">
        <v>19861375</v>
      </c>
      <c r="BJ48" s="230">
        <v>-4998875</v>
      </c>
      <c r="BK48" s="229">
        <v>-0.25169999999999998</v>
      </c>
      <c r="BL48" s="230">
        <v>7938750</v>
      </c>
      <c r="BM48" s="230">
        <v>8359250</v>
      </c>
      <c r="BN48" s="230">
        <v>-420500</v>
      </c>
      <c r="BO48" s="229">
        <v>-5.0299999999999997E-2</v>
      </c>
      <c r="BP48" s="230">
        <v>41760000</v>
      </c>
      <c r="BQ48" s="230">
        <v>51946250</v>
      </c>
      <c r="BR48" s="230">
        <v>-10186250</v>
      </c>
      <c r="BS48" s="229">
        <v>-0.1961</v>
      </c>
      <c r="BT48" s="230">
        <v>6396046</v>
      </c>
      <c r="BU48" s="230">
        <v>6630867</v>
      </c>
      <c r="BV48" s="230">
        <v>-234821</v>
      </c>
      <c r="BW48" s="229">
        <v>-3.5400000000000001E-2</v>
      </c>
      <c r="BX48" s="230">
        <v>15714375</v>
      </c>
      <c r="BY48" s="230">
        <v>17392750</v>
      </c>
      <c r="BZ48" s="230">
        <v>-1678375</v>
      </c>
      <c r="CA48" s="229">
        <v>-9.6500000000000002E-2</v>
      </c>
      <c r="CB48" s="230">
        <v>1210750</v>
      </c>
      <c r="CC48" s="230">
        <v>4357250</v>
      </c>
      <c r="CD48" s="230">
        <v>-3146500</v>
      </c>
      <c r="CE48" s="229">
        <v>-0.72209999999999996</v>
      </c>
      <c r="CF48" s="230">
        <v>15714375</v>
      </c>
      <c r="CG48" s="230">
        <v>13035500</v>
      </c>
      <c r="CH48" s="230">
        <v>2678875</v>
      </c>
      <c r="CI48" s="229">
        <v>0.20549999999999999</v>
      </c>
      <c r="CJ48" s="228">
        <v>0</v>
      </c>
      <c r="CK48" s="228">
        <v>0</v>
      </c>
      <c r="CL48" s="228">
        <v>0</v>
      </c>
      <c r="CM48" s="229">
        <v>0</v>
      </c>
      <c r="CN48" s="230">
        <v>3965750</v>
      </c>
      <c r="CO48" s="230">
        <v>10440000</v>
      </c>
      <c r="CP48" s="230">
        <v>-6474250</v>
      </c>
      <c r="CQ48" s="229">
        <v>-0.62009999999999998</v>
      </c>
      <c r="CR48" s="230">
        <v>1877750</v>
      </c>
      <c r="CS48" s="230">
        <v>6050125</v>
      </c>
      <c r="CT48" s="230">
        <v>-4172375</v>
      </c>
      <c r="CU48" s="229">
        <v>-0.68959999999999999</v>
      </c>
      <c r="CV48" s="230">
        <v>21557875</v>
      </c>
      <c r="CW48" s="230">
        <v>33882875</v>
      </c>
      <c r="CX48" s="230">
        <v>-12325000</v>
      </c>
      <c r="CY48" s="229">
        <v>-0.36380000000000001</v>
      </c>
      <c r="CZ48" s="228">
        <v>32.75</v>
      </c>
      <c r="DA48" s="228">
        <v>35.15</v>
      </c>
      <c r="DB48" s="228">
        <v>-2.4</v>
      </c>
      <c r="DC48" s="228">
        <v>-2.4</v>
      </c>
      <c r="DD48" s="228">
        <v>43.24</v>
      </c>
      <c r="DE48" s="228">
        <v>42.93</v>
      </c>
      <c r="DF48" s="228">
        <v>-10.49</v>
      </c>
      <c r="DG48" s="228">
        <v>0.31</v>
      </c>
      <c r="DH48" s="228">
        <v>33.75</v>
      </c>
      <c r="DI48" s="228">
        <v>35.15</v>
      </c>
      <c r="DJ48" s="228">
        <v>-1.4</v>
      </c>
      <c r="DK48" s="228">
        <v>-1.4</v>
      </c>
      <c r="DL48" s="228">
        <v>30.59</v>
      </c>
      <c r="DM48" s="228">
        <v>35.14</v>
      </c>
      <c r="DN48" s="228">
        <v>-4.55</v>
      </c>
      <c r="DO48" s="228">
        <v>-4.55</v>
      </c>
      <c r="DP48" s="228">
        <v>0.47</v>
      </c>
      <c r="DQ48" s="228">
        <v>0.57999999999999996</v>
      </c>
      <c r="DR48" s="228">
        <v>-0.11</v>
      </c>
      <c r="DS48" s="229">
        <v>-0.18970000000000001</v>
      </c>
      <c r="DT48" s="228">
        <v>200</v>
      </c>
      <c r="DU48" s="228">
        <v>160</v>
      </c>
      <c r="DV48" s="228">
        <v>0.53</v>
      </c>
      <c r="DW48" s="228">
        <v>0.42</v>
      </c>
      <c r="DX48" s="228">
        <v>0.11</v>
      </c>
      <c r="DY48" s="229">
        <v>0.26190000000000002</v>
      </c>
      <c r="DZ48" s="229">
        <v>0.92849999999999999</v>
      </c>
      <c r="EA48" s="230">
        <v>13035500</v>
      </c>
      <c r="EB48" s="229">
        <v>5.8999999999999999E-3</v>
      </c>
      <c r="EC48" s="229">
        <v>0.92849999999999999</v>
      </c>
      <c r="ED48" s="228">
        <v>0.96</v>
      </c>
      <c r="EE48" s="229">
        <v>5.5999999999999999E-3</v>
      </c>
      <c r="EF48" s="230">
        <v>2816216</v>
      </c>
      <c r="EG48" s="230">
        <v>2628396</v>
      </c>
      <c r="EH48" s="229">
        <v>7.1499999999999994E-2</v>
      </c>
      <c r="EI48" s="229">
        <v>0.44030000000000002</v>
      </c>
      <c r="EJ48" s="231">
        <v>27360.79</v>
      </c>
      <c r="EK48" s="231">
        <v>13962.9</v>
      </c>
      <c r="EL48" s="231">
        <v>32773</v>
      </c>
      <c r="EM48" s="228">
        <v>0</v>
      </c>
      <c r="EN48" s="231">
        <v>74096.69</v>
      </c>
      <c r="EO48" s="231">
        <v>94517.97</v>
      </c>
      <c r="EP48" s="231">
        <v>-20421.28</v>
      </c>
      <c r="EQ48" s="229">
        <v>-0.21609999999999999</v>
      </c>
      <c r="ER48" s="231">
        <v>7288</v>
      </c>
      <c r="ES48" s="231">
        <v>3173</v>
      </c>
      <c r="ET48" s="231">
        <v>26721</v>
      </c>
      <c r="EU48" s="231">
        <v>126959974</v>
      </c>
      <c r="EV48" s="231">
        <v>37182</v>
      </c>
      <c r="EW48" s="231">
        <v>60564</v>
      </c>
      <c r="EX48" s="231">
        <v>-23382</v>
      </c>
      <c r="EY48" s="229">
        <v>-0.3861</v>
      </c>
      <c r="EZ48" s="229">
        <v>0.16980000000000001</v>
      </c>
      <c r="FA48" s="227" t="s">
        <v>568</v>
      </c>
      <c r="FB48" s="161">
        <f t="shared" si="0"/>
        <v>14503625</v>
      </c>
    </row>
    <row r="49" spans="1:158" ht="17.25" thickBot="1" x14ac:dyDescent="0.3">
      <c r="A49" s="226">
        <v>45869</v>
      </c>
      <c r="B49" s="227" t="s">
        <v>161</v>
      </c>
      <c r="C49" s="227" t="s">
        <v>613</v>
      </c>
      <c r="D49" s="228">
        <v>850</v>
      </c>
      <c r="E49" s="228">
        <v>664.2</v>
      </c>
      <c r="F49" s="228">
        <v>664.45</v>
      </c>
      <c r="G49" s="228">
        <v>-0.25</v>
      </c>
      <c r="H49" s="229">
        <v>-4.0000000000000002E-4</v>
      </c>
      <c r="I49" s="228">
        <v>661.7</v>
      </c>
      <c r="J49" s="228">
        <v>660.35</v>
      </c>
      <c r="K49" s="228">
        <v>1.35</v>
      </c>
      <c r="L49" s="229">
        <v>2E-3</v>
      </c>
      <c r="M49" s="228">
        <v>659.7</v>
      </c>
      <c r="N49" s="228">
        <v>660.25</v>
      </c>
      <c r="O49" s="228">
        <v>-0.55000000000000004</v>
      </c>
      <c r="P49" s="229">
        <v>-8.0000000000000004E-4</v>
      </c>
      <c r="Q49" s="228">
        <v>664.2</v>
      </c>
      <c r="R49" s="228">
        <v>664.45</v>
      </c>
      <c r="S49" s="228">
        <v>-0.25</v>
      </c>
      <c r="T49" s="229">
        <v>-4.0000000000000002E-4</v>
      </c>
      <c r="U49" s="228">
        <v>667.9</v>
      </c>
      <c r="V49" s="228">
        <v>668.95</v>
      </c>
      <c r="W49" s="228">
        <v>-1.05</v>
      </c>
      <c r="X49" s="229">
        <v>-1.6000000000000001E-3</v>
      </c>
      <c r="Y49" s="228">
        <v>2.5</v>
      </c>
      <c r="Z49" s="228">
        <v>-0.1</v>
      </c>
      <c r="AA49" s="228">
        <v>2.6</v>
      </c>
      <c r="AB49" s="229">
        <v>3.8E-3</v>
      </c>
      <c r="AC49" s="228">
        <v>-2</v>
      </c>
      <c r="AD49" s="228">
        <v>-0.1</v>
      </c>
      <c r="AE49" s="228">
        <v>-1.9</v>
      </c>
      <c r="AF49" s="229">
        <v>-3.0000000000000001E-3</v>
      </c>
      <c r="AG49" s="228">
        <v>2.5</v>
      </c>
      <c r="AH49" s="228">
        <v>4.0999999999999996</v>
      </c>
      <c r="AI49" s="228">
        <v>-1.6</v>
      </c>
      <c r="AJ49" s="229">
        <v>3.8E-3</v>
      </c>
      <c r="AK49" s="228">
        <v>6.2</v>
      </c>
      <c r="AL49" s="228">
        <v>8.6</v>
      </c>
      <c r="AM49" s="228">
        <v>-2.4</v>
      </c>
      <c r="AN49" s="229">
        <v>9.4000000000000004E-3</v>
      </c>
      <c r="AO49" s="228">
        <v>660.26</v>
      </c>
      <c r="AP49" s="228">
        <v>664.33</v>
      </c>
      <c r="AQ49" s="228">
        <v>0</v>
      </c>
      <c r="AR49" s="230">
        <v>7975550</v>
      </c>
      <c r="AS49" s="230">
        <v>9998550</v>
      </c>
      <c r="AT49" s="230">
        <v>-2023000</v>
      </c>
      <c r="AU49" s="229">
        <v>-0.20230000000000001</v>
      </c>
      <c r="AV49" s="230">
        <v>3320100</v>
      </c>
      <c r="AW49" s="230">
        <v>4627400</v>
      </c>
      <c r="AX49" s="230">
        <v>-1307300</v>
      </c>
      <c r="AY49" s="229">
        <v>-0.28249999999999997</v>
      </c>
      <c r="AZ49" s="230">
        <v>4598500</v>
      </c>
      <c r="BA49" s="230">
        <v>5349050</v>
      </c>
      <c r="BB49" s="230">
        <v>-750550</v>
      </c>
      <c r="BC49" s="229">
        <v>-0.14030000000000001</v>
      </c>
      <c r="BD49" s="230">
        <v>56950</v>
      </c>
      <c r="BE49" s="230">
        <v>22100</v>
      </c>
      <c r="BF49" s="230">
        <v>34850</v>
      </c>
      <c r="BG49" s="229">
        <v>1.5769</v>
      </c>
      <c r="BH49" s="230">
        <v>3519000</v>
      </c>
      <c r="BI49" s="230">
        <v>4802500</v>
      </c>
      <c r="BJ49" s="230">
        <v>-1283500</v>
      </c>
      <c r="BK49" s="229">
        <v>-0.26729999999999998</v>
      </c>
      <c r="BL49" s="230">
        <v>1411850</v>
      </c>
      <c r="BM49" s="230">
        <v>2011950</v>
      </c>
      <c r="BN49" s="230">
        <v>-600100</v>
      </c>
      <c r="BO49" s="229">
        <v>-0.29830000000000001</v>
      </c>
      <c r="BP49" s="230">
        <v>12906400</v>
      </c>
      <c r="BQ49" s="230">
        <v>16813000</v>
      </c>
      <c r="BR49" s="230">
        <v>-3906600</v>
      </c>
      <c r="BS49" s="229">
        <v>-0.2324</v>
      </c>
      <c r="BT49" s="230">
        <v>2071585</v>
      </c>
      <c r="BU49" s="230">
        <v>5528286</v>
      </c>
      <c r="BV49" s="230">
        <v>-3456701</v>
      </c>
      <c r="BW49" s="229">
        <v>-0.62529999999999997</v>
      </c>
      <c r="BX49" s="230">
        <v>17855100</v>
      </c>
      <c r="BY49" s="230">
        <v>20515600</v>
      </c>
      <c r="BZ49" s="230">
        <v>-2660500</v>
      </c>
      <c r="CA49" s="229">
        <v>-0.12970000000000001</v>
      </c>
      <c r="CB49" s="230">
        <v>3546200</v>
      </c>
      <c r="CC49" s="230">
        <v>4053650</v>
      </c>
      <c r="CD49" s="230">
        <v>-507450</v>
      </c>
      <c r="CE49" s="229">
        <v>-0.12520000000000001</v>
      </c>
      <c r="CF49" s="230">
        <v>17742050</v>
      </c>
      <c r="CG49" s="230">
        <v>16365900</v>
      </c>
      <c r="CH49" s="230">
        <v>1376150</v>
      </c>
      <c r="CI49" s="229">
        <v>8.4099999999999994E-2</v>
      </c>
      <c r="CJ49" s="230">
        <v>113050</v>
      </c>
      <c r="CK49" s="230">
        <v>96050</v>
      </c>
      <c r="CL49" s="230">
        <v>17000</v>
      </c>
      <c r="CM49" s="229">
        <v>0.17699999999999999</v>
      </c>
      <c r="CN49" s="230">
        <v>1467100</v>
      </c>
      <c r="CO49" s="230">
        <v>4893450</v>
      </c>
      <c r="CP49" s="230">
        <v>-3426350</v>
      </c>
      <c r="CQ49" s="229">
        <v>-0.70020000000000004</v>
      </c>
      <c r="CR49" s="230">
        <v>1313250</v>
      </c>
      <c r="CS49" s="230">
        <v>3202800</v>
      </c>
      <c r="CT49" s="230">
        <v>-1889550</v>
      </c>
      <c r="CU49" s="229">
        <v>-0.59</v>
      </c>
      <c r="CV49" s="230">
        <v>20635450</v>
      </c>
      <c r="CW49" s="230">
        <v>28611850</v>
      </c>
      <c r="CX49" s="230">
        <v>-7976400</v>
      </c>
      <c r="CY49" s="229">
        <v>-0.27879999999999999</v>
      </c>
      <c r="CZ49" s="228">
        <v>28.44</v>
      </c>
      <c r="DA49" s="228">
        <v>29.09</v>
      </c>
      <c r="DB49" s="228">
        <v>-0.65</v>
      </c>
      <c r="DC49" s="228">
        <v>-0.65</v>
      </c>
      <c r="DD49" s="228">
        <v>44.81</v>
      </c>
      <c r="DE49" s="228">
        <v>44.93</v>
      </c>
      <c r="DF49" s="228">
        <v>-16.37</v>
      </c>
      <c r="DG49" s="228">
        <v>-0.12</v>
      </c>
      <c r="DH49" s="228">
        <v>28.42</v>
      </c>
      <c r="DI49" s="228">
        <v>29.47</v>
      </c>
      <c r="DJ49" s="228">
        <v>-1.05</v>
      </c>
      <c r="DK49" s="228">
        <v>-1.05</v>
      </c>
      <c r="DL49" s="228">
        <v>28.47</v>
      </c>
      <c r="DM49" s="228">
        <v>28.64</v>
      </c>
      <c r="DN49" s="228">
        <v>-0.17</v>
      </c>
      <c r="DO49" s="228">
        <v>-0.17</v>
      </c>
      <c r="DP49" s="228">
        <v>0.9</v>
      </c>
      <c r="DQ49" s="228">
        <v>0.65</v>
      </c>
      <c r="DR49" s="228">
        <v>0.25</v>
      </c>
      <c r="DS49" s="229">
        <v>0.3846</v>
      </c>
      <c r="DT49" s="228">
        <v>700</v>
      </c>
      <c r="DU49" s="228">
        <v>630</v>
      </c>
      <c r="DV49" s="228">
        <v>0.4</v>
      </c>
      <c r="DW49" s="228">
        <v>0.42</v>
      </c>
      <c r="DX49" s="228">
        <v>-0.02</v>
      </c>
      <c r="DY49" s="229">
        <v>-4.7600000000000003E-2</v>
      </c>
      <c r="DZ49" s="229">
        <v>0.83430000000000004</v>
      </c>
      <c r="EA49" s="230">
        <v>16461950</v>
      </c>
      <c r="EB49" s="229">
        <v>6.7999999999999996E-3</v>
      </c>
      <c r="EC49" s="229">
        <v>0.83430000000000004</v>
      </c>
      <c r="ED49" s="228">
        <v>4.07</v>
      </c>
      <c r="EE49" s="229">
        <v>6.1999999999999998E-3</v>
      </c>
      <c r="EF49" s="230">
        <v>790312</v>
      </c>
      <c r="EG49" s="230">
        <v>4523731</v>
      </c>
      <c r="EH49" s="229">
        <v>-0.82530000000000003</v>
      </c>
      <c r="EI49" s="229">
        <v>0.38150000000000001</v>
      </c>
      <c r="EJ49" s="231">
        <v>24214.12</v>
      </c>
      <c r="EK49" s="231">
        <v>9546.65</v>
      </c>
      <c r="EL49" s="231">
        <v>52850.96</v>
      </c>
      <c r="EM49" s="228">
        <v>0</v>
      </c>
      <c r="EN49" s="231">
        <v>86611.73</v>
      </c>
      <c r="EO49" s="231">
        <v>113174.83</v>
      </c>
      <c r="EP49" s="231">
        <v>-26563.1</v>
      </c>
      <c r="EQ49" s="229">
        <v>-0.23469999999999999</v>
      </c>
      <c r="ER49" s="231">
        <v>10169</v>
      </c>
      <c r="ES49" s="231">
        <v>8599</v>
      </c>
      <c r="ET49" s="231">
        <v>118598</v>
      </c>
      <c r="EU49" s="231">
        <v>128243866</v>
      </c>
      <c r="EV49" s="231">
        <v>137366</v>
      </c>
      <c r="EW49" s="231">
        <v>191009</v>
      </c>
      <c r="EX49" s="231">
        <v>-53643</v>
      </c>
      <c r="EY49" s="229">
        <v>-0.28079999999999999</v>
      </c>
      <c r="EZ49" s="229">
        <v>0.16089999999999999</v>
      </c>
      <c r="FA49" s="227" t="s">
        <v>568</v>
      </c>
      <c r="FB49" s="161">
        <f t="shared" si="0"/>
        <v>14308900</v>
      </c>
    </row>
    <row r="50" spans="1:158" ht="17.25" thickBot="1" x14ac:dyDescent="0.3">
      <c r="A50" s="226">
        <v>45869</v>
      </c>
      <c r="B50" s="227" t="s">
        <v>498</v>
      </c>
      <c r="C50" s="227" t="s">
        <v>532</v>
      </c>
      <c r="D50" s="228">
        <v>950</v>
      </c>
      <c r="E50" s="228">
        <v>0</v>
      </c>
      <c r="F50" s="228">
        <v>0</v>
      </c>
      <c r="G50" s="228">
        <v>0</v>
      </c>
      <c r="H50" s="229">
        <v>0</v>
      </c>
      <c r="I50" s="228">
        <v>514.9</v>
      </c>
      <c r="J50" s="228">
        <v>538.20000000000005</v>
      </c>
      <c r="K50" s="228">
        <v>-23.3</v>
      </c>
      <c r="L50" s="229">
        <v>-4.3299999999999998E-2</v>
      </c>
      <c r="M50" s="228">
        <v>514.04999999999995</v>
      </c>
      <c r="N50" s="228">
        <v>538</v>
      </c>
      <c r="O50" s="228">
        <v>-23.95</v>
      </c>
      <c r="P50" s="229">
        <v>-4.4499999999999998E-2</v>
      </c>
      <c r="Q50" s="228">
        <v>0</v>
      </c>
      <c r="R50" s="228">
        <v>0</v>
      </c>
      <c r="S50" s="228">
        <v>0</v>
      </c>
      <c r="T50" s="229">
        <v>0</v>
      </c>
      <c r="U50" s="228">
        <v>0</v>
      </c>
      <c r="V50" s="228">
        <v>0</v>
      </c>
      <c r="W50" s="228">
        <v>0</v>
      </c>
      <c r="X50" s="229">
        <v>0</v>
      </c>
      <c r="Y50" s="228">
        <v>0</v>
      </c>
      <c r="Z50" s="228">
        <v>-0.2</v>
      </c>
      <c r="AA50" s="228">
        <v>0</v>
      </c>
      <c r="AB50" s="229">
        <v>0</v>
      </c>
      <c r="AC50" s="228">
        <v>-0.85</v>
      </c>
      <c r="AD50" s="228">
        <v>-0.2</v>
      </c>
      <c r="AE50" s="228">
        <v>-0.65</v>
      </c>
      <c r="AF50" s="229">
        <v>-1.6999999999999999E-3</v>
      </c>
      <c r="AG50" s="228">
        <v>0</v>
      </c>
      <c r="AH50" s="228">
        <v>0</v>
      </c>
      <c r="AI50" s="228">
        <v>0</v>
      </c>
      <c r="AJ50" s="229">
        <v>0</v>
      </c>
      <c r="AK50" s="228">
        <v>0</v>
      </c>
      <c r="AL50" s="228">
        <v>0</v>
      </c>
      <c r="AM50" s="228">
        <v>0</v>
      </c>
      <c r="AN50" s="229">
        <v>0</v>
      </c>
      <c r="AO50" s="228">
        <v>519.53</v>
      </c>
      <c r="AP50" s="228">
        <v>0</v>
      </c>
      <c r="AQ50" s="228">
        <v>0</v>
      </c>
      <c r="AR50" s="230">
        <v>6610100</v>
      </c>
      <c r="AS50" s="230">
        <v>2780650</v>
      </c>
      <c r="AT50" s="230">
        <v>3829450</v>
      </c>
      <c r="AU50" s="229">
        <v>1.3772</v>
      </c>
      <c r="AV50" s="230">
        <v>6610100</v>
      </c>
      <c r="AW50" s="230">
        <v>2780650</v>
      </c>
      <c r="AX50" s="230">
        <v>3829450</v>
      </c>
      <c r="AY50" s="229">
        <v>1.3772</v>
      </c>
      <c r="AZ50" s="228">
        <v>0</v>
      </c>
      <c r="BA50" s="228">
        <v>0</v>
      </c>
      <c r="BB50" s="228">
        <v>0</v>
      </c>
      <c r="BC50" s="229">
        <v>0</v>
      </c>
      <c r="BD50" s="228">
        <v>0</v>
      </c>
      <c r="BE50" s="228">
        <v>0</v>
      </c>
      <c r="BF50" s="228">
        <v>0</v>
      </c>
      <c r="BG50" s="229">
        <v>0</v>
      </c>
      <c r="BH50" s="230">
        <v>2980150</v>
      </c>
      <c r="BI50" s="230">
        <v>12048850</v>
      </c>
      <c r="BJ50" s="230">
        <v>-9068700</v>
      </c>
      <c r="BK50" s="229">
        <v>-0.75270000000000004</v>
      </c>
      <c r="BL50" s="230">
        <v>2107100</v>
      </c>
      <c r="BM50" s="230">
        <v>2042500</v>
      </c>
      <c r="BN50" s="230">
        <v>64600</v>
      </c>
      <c r="BO50" s="229">
        <v>3.1600000000000003E-2</v>
      </c>
      <c r="BP50" s="230">
        <v>11697350</v>
      </c>
      <c r="BQ50" s="230">
        <v>16872000</v>
      </c>
      <c r="BR50" s="230">
        <v>-5174650</v>
      </c>
      <c r="BS50" s="229">
        <v>-0.30669999999999997</v>
      </c>
      <c r="BT50" s="230">
        <v>7749712</v>
      </c>
      <c r="BU50" s="230">
        <v>2731792</v>
      </c>
      <c r="BV50" s="230">
        <v>5017920</v>
      </c>
      <c r="BW50" s="229">
        <v>1.8369</v>
      </c>
      <c r="BX50" s="228">
        <v>0</v>
      </c>
      <c r="BY50" s="230">
        <v>5671500</v>
      </c>
      <c r="BZ50" s="230">
        <v>-5671500</v>
      </c>
      <c r="CA50" s="229">
        <v>-1</v>
      </c>
      <c r="CB50" s="230">
        <v>2045350</v>
      </c>
      <c r="CC50" s="230">
        <v>5671500</v>
      </c>
      <c r="CD50" s="230">
        <v>-3626150</v>
      </c>
      <c r="CE50" s="229">
        <v>-0.63939999999999997</v>
      </c>
      <c r="CF50" s="228">
        <v>0</v>
      </c>
      <c r="CG50" s="228">
        <v>0</v>
      </c>
      <c r="CH50" s="228">
        <v>0</v>
      </c>
      <c r="CI50" s="229">
        <v>0</v>
      </c>
      <c r="CJ50" s="228">
        <v>0</v>
      </c>
      <c r="CK50" s="228">
        <v>0</v>
      </c>
      <c r="CL50" s="228">
        <v>0</v>
      </c>
      <c r="CM50" s="229">
        <v>0</v>
      </c>
      <c r="CN50" s="230">
        <v>3632800</v>
      </c>
      <c r="CO50" s="230">
        <v>4419400</v>
      </c>
      <c r="CP50" s="230">
        <v>-786600</v>
      </c>
      <c r="CQ50" s="229">
        <v>-0.17799999999999999</v>
      </c>
      <c r="CR50" s="230">
        <v>1775550</v>
      </c>
      <c r="CS50" s="230">
        <v>2242000</v>
      </c>
      <c r="CT50" s="230">
        <v>-466450</v>
      </c>
      <c r="CU50" s="229">
        <v>-0.20810000000000001</v>
      </c>
      <c r="CV50" s="230">
        <v>5408350</v>
      </c>
      <c r="CW50" s="230">
        <v>12332900</v>
      </c>
      <c r="CX50" s="230">
        <v>-6924550</v>
      </c>
      <c r="CY50" s="229">
        <v>-0.5615</v>
      </c>
      <c r="CZ50" s="228">
        <v>46.04</v>
      </c>
      <c r="DA50" s="228">
        <v>46.04</v>
      </c>
      <c r="DB50" s="228">
        <v>0</v>
      </c>
      <c r="DC50" s="228">
        <v>0</v>
      </c>
      <c r="DD50" s="228">
        <v>46.04</v>
      </c>
      <c r="DE50" s="228">
        <v>46.04</v>
      </c>
      <c r="DF50" s="228">
        <v>0</v>
      </c>
      <c r="DG50" s="228">
        <v>0</v>
      </c>
      <c r="DH50" s="228">
        <v>46.04</v>
      </c>
      <c r="DI50" s="228">
        <v>46.04</v>
      </c>
      <c r="DJ50" s="228">
        <v>0</v>
      </c>
      <c r="DK50" s="228">
        <v>0</v>
      </c>
      <c r="DL50" s="228">
        <v>46.04</v>
      </c>
      <c r="DM50" s="228">
        <v>46.04</v>
      </c>
      <c r="DN50" s="228">
        <v>0</v>
      </c>
      <c r="DO50" s="228">
        <v>0</v>
      </c>
      <c r="DP50" s="228">
        <v>0.49</v>
      </c>
      <c r="DQ50" s="228">
        <v>0.51</v>
      </c>
      <c r="DR50" s="228">
        <v>-0.02</v>
      </c>
      <c r="DS50" s="229">
        <v>-3.9199999999999999E-2</v>
      </c>
      <c r="DT50" s="228">
        <v>570</v>
      </c>
      <c r="DU50" s="228">
        <v>530</v>
      </c>
      <c r="DV50" s="228">
        <v>0.71</v>
      </c>
      <c r="DW50" s="228">
        <v>0.17</v>
      </c>
      <c r="DX50" s="228">
        <v>0.54</v>
      </c>
      <c r="DY50" s="229">
        <v>3.1764999999999999</v>
      </c>
      <c r="DZ50" s="229">
        <v>0</v>
      </c>
      <c r="EA50" s="228">
        <v>0</v>
      </c>
      <c r="EB50" s="229">
        <v>0</v>
      </c>
      <c r="EC50" s="229">
        <v>0</v>
      </c>
      <c r="ED50" s="228">
        <v>0</v>
      </c>
      <c r="EE50" s="229">
        <v>0</v>
      </c>
      <c r="EF50" s="230">
        <v>4629175</v>
      </c>
      <c r="EG50" s="230">
        <v>1254329</v>
      </c>
      <c r="EH50" s="229">
        <v>2.6905999999999999</v>
      </c>
      <c r="EI50" s="229">
        <v>0.59730000000000005</v>
      </c>
      <c r="EJ50" s="231">
        <v>16512.900000000001</v>
      </c>
      <c r="EK50" s="231">
        <v>11642.98</v>
      </c>
      <c r="EL50" s="231">
        <v>34341.26</v>
      </c>
      <c r="EM50" s="228">
        <v>0</v>
      </c>
      <c r="EN50" s="231">
        <v>62497.14</v>
      </c>
      <c r="EO50" s="231">
        <v>93193.5</v>
      </c>
      <c r="EP50" s="231">
        <v>-30696.36</v>
      </c>
      <c r="EQ50" s="229">
        <v>-0.32940000000000003</v>
      </c>
      <c r="ER50" s="228">
        <v>0</v>
      </c>
      <c r="ES50" s="228">
        <v>0</v>
      </c>
      <c r="ET50" s="228">
        <v>0</v>
      </c>
      <c r="EU50" s="231">
        <v>31728204</v>
      </c>
      <c r="EV50" s="228">
        <v>0</v>
      </c>
      <c r="EW50" s="231">
        <v>68225</v>
      </c>
      <c r="EX50" s="231">
        <v>-68225</v>
      </c>
      <c r="EY50" s="229">
        <v>-1</v>
      </c>
      <c r="EZ50" s="229">
        <v>0.17050000000000001</v>
      </c>
      <c r="FA50" s="227" t="s">
        <v>237</v>
      </c>
      <c r="FB50" s="161">
        <f t="shared" si="0"/>
        <v>-2045350</v>
      </c>
    </row>
    <row r="51" spans="1:158" ht="17.25" thickBot="1" x14ac:dyDescent="0.3">
      <c r="A51" s="226">
        <v>45869</v>
      </c>
      <c r="B51" s="227" t="s">
        <v>175</v>
      </c>
      <c r="C51" s="227" t="s">
        <v>198</v>
      </c>
      <c r="D51" s="228">
        <v>625</v>
      </c>
      <c r="E51" s="231">
        <v>1426.8</v>
      </c>
      <c r="F51" s="231">
        <v>1482</v>
      </c>
      <c r="G51" s="228">
        <v>-55.2</v>
      </c>
      <c r="H51" s="229">
        <v>-3.7199999999999997E-2</v>
      </c>
      <c r="I51" s="231">
        <v>1443.2</v>
      </c>
      <c r="J51" s="231">
        <v>1478.1</v>
      </c>
      <c r="K51" s="228">
        <v>-34.9</v>
      </c>
      <c r="L51" s="229">
        <v>-2.3599999999999999E-2</v>
      </c>
      <c r="M51" s="231">
        <v>1442.2</v>
      </c>
      <c r="N51" s="231">
        <v>1476.6</v>
      </c>
      <c r="O51" s="228">
        <v>-34.4</v>
      </c>
      <c r="P51" s="229">
        <v>-2.3300000000000001E-2</v>
      </c>
      <c r="Q51" s="231">
        <v>1426.8</v>
      </c>
      <c r="R51" s="231">
        <v>1482</v>
      </c>
      <c r="S51" s="228">
        <v>-55.2</v>
      </c>
      <c r="T51" s="229">
        <v>-3.7199999999999997E-2</v>
      </c>
      <c r="U51" s="231">
        <v>1429.6</v>
      </c>
      <c r="V51" s="231">
        <v>1486.7</v>
      </c>
      <c r="W51" s="228">
        <v>-57.1</v>
      </c>
      <c r="X51" s="229">
        <v>-3.8399999999999997E-2</v>
      </c>
      <c r="Y51" s="228">
        <v>-16.399999999999999</v>
      </c>
      <c r="Z51" s="228">
        <v>-1.5</v>
      </c>
      <c r="AA51" s="228">
        <v>-14.9</v>
      </c>
      <c r="AB51" s="229">
        <v>-1.14E-2</v>
      </c>
      <c r="AC51" s="228">
        <v>-1</v>
      </c>
      <c r="AD51" s="228">
        <v>-1.5</v>
      </c>
      <c r="AE51" s="228">
        <v>0.5</v>
      </c>
      <c r="AF51" s="229">
        <v>-6.9999999999999999E-4</v>
      </c>
      <c r="AG51" s="228">
        <v>-16.399999999999999</v>
      </c>
      <c r="AH51" s="228">
        <v>3.9</v>
      </c>
      <c r="AI51" s="228">
        <v>-20.3</v>
      </c>
      <c r="AJ51" s="229">
        <v>-1.14E-2</v>
      </c>
      <c r="AK51" s="228">
        <v>-13.6</v>
      </c>
      <c r="AL51" s="228">
        <v>8.6</v>
      </c>
      <c r="AM51" s="228">
        <v>-22.2</v>
      </c>
      <c r="AN51" s="229">
        <v>-9.4000000000000004E-3</v>
      </c>
      <c r="AO51" s="231">
        <v>1450.27</v>
      </c>
      <c r="AP51" s="231">
        <v>1447.15</v>
      </c>
      <c r="AQ51" s="228">
        <v>0</v>
      </c>
      <c r="AR51" s="230">
        <v>13586250</v>
      </c>
      <c r="AS51" s="230">
        <v>7418750</v>
      </c>
      <c r="AT51" s="230">
        <v>6167500</v>
      </c>
      <c r="AU51" s="229">
        <v>0.83130000000000004</v>
      </c>
      <c r="AV51" s="230">
        <v>2847500</v>
      </c>
      <c r="AW51" s="230">
        <v>3245625</v>
      </c>
      <c r="AX51" s="230">
        <v>-398125</v>
      </c>
      <c r="AY51" s="229">
        <v>-0.1227</v>
      </c>
      <c r="AZ51" s="230">
        <v>10531875</v>
      </c>
      <c r="BA51" s="230">
        <v>4145000</v>
      </c>
      <c r="BB51" s="230">
        <v>6386875</v>
      </c>
      <c r="BC51" s="229">
        <v>1.5408999999999999</v>
      </c>
      <c r="BD51" s="230">
        <v>206875</v>
      </c>
      <c r="BE51" s="230">
        <v>28125</v>
      </c>
      <c r="BF51" s="230">
        <v>178750</v>
      </c>
      <c r="BG51" s="229">
        <v>6.3555999999999999</v>
      </c>
      <c r="BH51" s="230">
        <v>10028750</v>
      </c>
      <c r="BI51" s="230">
        <v>4839375</v>
      </c>
      <c r="BJ51" s="230">
        <v>5189375</v>
      </c>
      <c r="BK51" s="229">
        <v>1.0723</v>
      </c>
      <c r="BL51" s="230">
        <v>6640000</v>
      </c>
      <c r="BM51" s="230">
        <v>1883750</v>
      </c>
      <c r="BN51" s="230">
        <v>4756250</v>
      </c>
      <c r="BO51" s="229">
        <v>2.5249000000000001</v>
      </c>
      <c r="BP51" s="230">
        <v>30255000</v>
      </c>
      <c r="BQ51" s="230">
        <v>14141875</v>
      </c>
      <c r="BR51" s="230">
        <v>16113125</v>
      </c>
      <c r="BS51" s="229">
        <v>1.1394</v>
      </c>
      <c r="BT51" s="230">
        <v>6537632</v>
      </c>
      <c r="BU51" s="230">
        <v>766100</v>
      </c>
      <c r="BV51" s="230">
        <v>5771532</v>
      </c>
      <c r="BW51" s="229">
        <v>7.5336999999999996</v>
      </c>
      <c r="BX51" s="230">
        <v>13189375</v>
      </c>
      <c r="BY51" s="230">
        <v>12170000</v>
      </c>
      <c r="BZ51" s="230">
        <v>1019375</v>
      </c>
      <c r="CA51" s="229">
        <v>8.3799999999999999E-2</v>
      </c>
      <c r="CB51" s="230">
        <v>742500</v>
      </c>
      <c r="CC51" s="230">
        <v>1655000</v>
      </c>
      <c r="CD51" s="230">
        <v>-912500</v>
      </c>
      <c r="CE51" s="229">
        <v>-0.5514</v>
      </c>
      <c r="CF51" s="230">
        <v>13004375</v>
      </c>
      <c r="CG51" s="230">
        <v>10386875</v>
      </c>
      <c r="CH51" s="230">
        <v>2617500</v>
      </c>
      <c r="CI51" s="229">
        <v>0.252</v>
      </c>
      <c r="CJ51" s="230">
        <v>185000</v>
      </c>
      <c r="CK51" s="230">
        <v>128125</v>
      </c>
      <c r="CL51" s="230">
        <v>56875</v>
      </c>
      <c r="CM51" s="229">
        <v>0.44390000000000002</v>
      </c>
      <c r="CN51" s="230">
        <v>1916875</v>
      </c>
      <c r="CO51" s="230">
        <v>4482500</v>
      </c>
      <c r="CP51" s="230">
        <v>-2565625</v>
      </c>
      <c r="CQ51" s="229">
        <v>-0.57240000000000002</v>
      </c>
      <c r="CR51" s="230">
        <v>1425625</v>
      </c>
      <c r="CS51" s="230">
        <v>2868125</v>
      </c>
      <c r="CT51" s="230">
        <v>-1442500</v>
      </c>
      <c r="CU51" s="229">
        <v>-0.50290000000000001</v>
      </c>
      <c r="CV51" s="230">
        <v>16531875</v>
      </c>
      <c r="CW51" s="230">
        <v>19520625</v>
      </c>
      <c r="CX51" s="230">
        <v>-2988750</v>
      </c>
      <c r="CY51" s="229">
        <v>-0.15310000000000001</v>
      </c>
      <c r="CZ51" s="228">
        <v>31.65</v>
      </c>
      <c r="DA51" s="228">
        <v>31.44</v>
      </c>
      <c r="DB51" s="228">
        <v>0.21</v>
      </c>
      <c r="DC51" s="228">
        <v>0.21</v>
      </c>
      <c r="DD51" s="228">
        <v>40.11</v>
      </c>
      <c r="DE51" s="228">
        <v>40.08</v>
      </c>
      <c r="DF51" s="228">
        <v>-8.4600000000000009</v>
      </c>
      <c r="DG51" s="228">
        <v>0.03</v>
      </c>
      <c r="DH51" s="228">
        <v>31.59</v>
      </c>
      <c r="DI51" s="228">
        <v>31.43</v>
      </c>
      <c r="DJ51" s="228">
        <v>0.16</v>
      </c>
      <c r="DK51" s="228">
        <v>0.16</v>
      </c>
      <c r="DL51" s="228">
        <v>31.73</v>
      </c>
      <c r="DM51" s="228">
        <v>31.46</v>
      </c>
      <c r="DN51" s="228">
        <v>0.27</v>
      </c>
      <c r="DO51" s="228">
        <v>0.27</v>
      </c>
      <c r="DP51" s="228">
        <v>0.74</v>
      </c>
      <c r="DQ51" s="228">
        <v>0.64</v>
      </c>
      <c r="DR51" s="228">
        <v>0.1</v>
      </c>
      <c r="DS51" s="229">
        <v>0.15620000000000001</v>
      </c>
      <c r="DT51" s="231">
        <v>1600</v>
      </c>
      <c r="DU51" s="231">
        <v>1500</v>
      </c>
      <c r="DV51" s="228">
        <v>0.66</v>
      </c>
      <c r="DW51" s="228">
        <v>0.39</v>
      </c>
      <c r="DX51" s="228">
        <v>0.27</v>
      </c>
      <c r="DY51" s="229">
        <v>0.69230000000000003</v>
      </c>
      <c r="DZ51" s="229">
        <v>0.94669999999999999</v>
      </c>
      <c r="EA51" s="230">
        <v>10515000</v>
      </c>
      <c r="EB51" s="229">
        <v>-1.0699999999999999E-2</v>
      </c>
      <c r="EC51" s="229">
        <v>0.94669999999999999</v>
      </c>
      <c r="ED51" s="228">
        <v>-3.12</v>
      </c>
      <c r="EE51" s="229">
        <v>-2.2000000000000001E-3</v>
      </c>
      <c r="EF51" s="230">
        <v>4411786</v>
      </c>
      <c r="EG51" s="230">
        <v>393179</v>
      </c>
      <c r="EH51" s="229">
        <v>10.220800000000001</v>
      </c>
      <c r="EI51" s="229">
        <v>0.67479999999999996</v>
      </c>
      <c r="EJ51" s="231">
        <v>155406.63</v>
      </c>
      <c r="EK51" s="231">
        <v>97401.45</v>
      </c>
      <c r="EL51" s="231">
        <v>196703.29</v>
      </c>
      <c r="EM51" s="228">
        <v>0</v>
      </c>
      <c r="EN51" s="231">
        <v>449511.37</v>
      </c>
      <c r="EO51" s="231">
        <v>214041.35</v>
      </c>
      <c r="EP51" s="231">
        <v>235470.02</v>
      </c>
      <c r="EQ51" s="229">
        <v>1.1001000000000001</v>
      </c>
      <c r="ER51" s="231">
        <v>29577</v>
      </c>
      <c r="ES51" s="231">
        <v>20456</v>
      </c>
      <c r="ET51" s="231">
        <v>188191</v>
      </c>
      <c r="EU51" s="231">
        <v>84229462</v>
      </c>
      <c r="EV51" s="231">
        <v>238224</v>
      </c>
      <c r="EW51" s="231">
        <v>295335</v>
      </c>
      <c r="EX51" s="231">
        <v>-57111</v>
      </c>
      <c r="EY51" s="229">
        <v>-0.19339999999999999</v>
      </c>
      <c r="EZ51" s="229">
        <v>0.1963</v>
      </c>
      <c r="FA51" s="227" t="s">
        <v>567</v>
      </c>
      <c r="FB51" s="161">
        <f t="shared" si="0"/>
        <v>12446875</v>
      </c>
    </row>
    <row r="52" spans="1:158" ht="17.25" thickBot="1" x14ac:dyDescent="0.3">
      <c r="A52" s="226">
        <v>45869</v>
      </c>
      <c r="B52" s="227" t="s">
        <v>170</v>
      </c>
      <c r="C52" s="227" t="s">
        <v>199</v>
      </c>
      <c r="D52" s="228">
        <v>375</v>
      </c>
      <c r="E52" s="231">
        <v>1560.8</v>
      </c>
      <c r="F52" s="231">
        <v>1567.4</v>
      </c>
      <c r="G52" s="228">
        <v>-6.6</v>
      </c>
      <c r="H52" s="229">
        <v>-4.1999999999999997E-3</v>
      </c>
      <c r="I52" s="231">
        <v>1554.6</v>
      </c>
      <c r="J52" s="231">
        <v>1559.4</v>
      </c>
      <c r="K52" s="228">
        <v>-4.8</v>
      </c>
      <c r="L52" s="229">
        <v>-3.0999999999999999E-3</v>
      </c>
      <c r="M52" s="231">
        <v>1555.9</v>
      </c>
      <c r="N52" s="231">
        <v>1559</v>
      </c>
      <c r="O52" s="228">
        <v>-3.1</v>
      </c>
      <c r="P52" s="229">
        <v>-2E-3</v>
      </c>
      <c r="Q52" s="231">
        <v>1560.8</v>
      </c>
      <c r="R52" s="231">
        <v>1567.4</v>
      </c>
      <c r="S52" s="228">
        <v>-6.6</v>
      </c>
      <c r="T52" s="229">
        <v>-4.1999999999999997E-3</v>
      </c>
      <c r="U52" s="231">
        <v>1569</v>
      </c>
      <c r="V52" s="231">
        <v>1578.4</v>
      </c>
      <c r="W52" s="228">
        <v>-9.4</v>
      </c>
      <c r="X52" s="229">
        <v>-6.0000000000000001E-3</v>
      </c>
      <c r="Y52" s="228">
        <v>6.2</v>
      </c>
      <c r="Z52" s="228">
        <v>-0.4</v>
      </c>
      <c r="AA52" s="228">
        <v>6.6</v>
      </c>
      <c r="AB52" s="229">
        <v>4.0000000000000001E-3</v>
      </c>
      <c r="AC52" s="228">
        <v>1.3</v>
      </c>
      <c r="AD52" s="228">
        <v>-0.4</v>
      </c>
      <c r="AE52" s="228">
        <v>1.7</v>
      </c>
      <c r="AF52" s="229">
        <v>8.0000000000000004E-4</v>
      </c>
      <c r="AG52" s="228">
        <v>6.2</v>
      </c>
      <c r="AH52" s="228">
        <v>8</v>
      </c>
      <c r="AI52" s="228">
        <v>-1.8</v>
      </c>
      <c r="AJ52" s="229">
        <v>4.0000000000000001E-3</v>
      </c>
      <c r="AK52" s="228">
        <v>14.4</v>
      </c>
      <c r="AL52" s="228">
        <v>19</v>
      </c>
      <c r="AM52" s="228">
        <v>-4.5999999999999996</v>
      </c>
      <c r="AN52" s="229">
        <v>9.2999999999999992E-3</v>
      </c>
      <c r="AO52" s="231">
        <v>1548.92</v>
      </c>
      <c r="AP52" s="231">
        <v>1556.44</v>
      </c>
      <c r="AQ52" s="228">
        <v>0</v>
      </c>
      <c r="AR52" s="230">
        <v>4557000</v>
      </c>
      <c r="AS52" s="230">
        <v>7696875</v>
      </c>
      <c r="AT52" s="230">
        <v>-3139875</v>
      </c>
      <c r="AU52" s="229">
        <v>-0.40789999999999998</v>
      </c>
      <c r="AV52" s="230">
        <v>1935375</v>
      </c>
      <c r="AW52" s="230">
        <v>3633000</v>
      </c>
      <c r="AX52" s="230">
        <v>-1697625</v>
      </c>
      <c r="AY52" s="229">
        <v>-0.46729999999999999</v>
      </c>
      <c r="AZ52" s="230">
        <v>2592000</v>
      </c>
      <c r="BA52" s="230">
        <v>4039875</v>
      </c>
      <c r="BB52" s="230">
        <v>-1447875</v>
      </c>
      <c r="BC52" s="229">
        <v>-0.3584</v>
      </c>
      <c r="BD52" s="230">
        <v>29625</v>
      </c>
      <c r="BE52" s="230">
        <v>24000</v>
      </c>
      <c r="BF52" s="230">
        <v>5625</v>
      </c>
      <c r="BG52" s="229">
        <v>0.2344</v>
      </c>
      <c r="BH52" s="230">
        <v>3689625</v>
      </c>
      <c r="BI52" s="230">
        <v>6590250</v>
      </c>
      <c r="BJ52" s="230">
        <v>-2900625</v>
      </c>
      <c r="BK52" s="229">
        <v>-0.44009999999999999</v>
      </c>
      <c r="BL52" s="230">
        <v>3744750</v>
      </c>
      <c r="BM52" s="230">
        <v>3930000</v>
      </c>
      <c r="BN52" s="230">
        <v>-185250</v>
      </c>
      <c r="BO52" s="229">
        <v>-4.7100000000000003E-2</v>
      </c>
      <c r="BP52" s="230">
        <v>11991375</v>
      </c>
      <c r="BQ52" s="230">
        <v>18217125</v>
      </c>
      <c r="BR52" s="230">
        <v>-6225750</v>
      </c>
      <c r="BS52" s="229">
        <v>-0.34179999999999999</v>
      </c>
      <c r="BT52" s="230">
        <v>2515103</v>
      </c>
      <c r="BU52" s="230">
        <v>1428250</v>
      </c>
      <c r="BV52" s="230">
        <v>1086853</v>
      </c>
      <c r="BW52" s="229">
        <v>0.76100000000000001</v>
      </c>
      <c r="BX52" s="230">
        <v>11882250</v>
      </c>
      <c r="BY52" s="230">
        <v>12525750</v>
      </c>
      <c r="BZ52" s="230">
        <v>-643500</v>
      </c>
      <c r="CA52" s="229">
        <v>-5.1400000000000001E-2</v>
      </c>
      <c r="CB52" s="230">
        <v>496125</v>
      </c>
      <c r="CC52" s="230">
        <v>1636500</v>
      </c>
      <c r="CD52" s="230">
        <v>-1140375</v>
      </c>
      <c r="CE52" s="229">
        <v>-0.69679999999999997</v>
      </c>
      <c r="CF52" s="230">
        <v>11673750</v>
      </c>
      <c r="CG52" s="230">
        <v>10686000</v>
      </c>
      <c r="CH52" s="230">
        <v>987750</v>
      </c>
      <c r="CI52" s="229">
        <v>9.2399999999999996E-2</v>
      </c>
      <c r="CJ52" s="230">
        <v>208500</v>
      </c>
      <c r="CK52" s="230">
        <v>203250</v>
      </c>
      <c r="CL52" s="230">
        <v>5250</v>
      </c>
      <c r="CM52" s="229">
        <v>2.58E-2</v>
      </c>
      <c r="CN52" s="230">
        <v>1464750</v>
      </c>
      <c r="CO52" s="230">
        <v>5877375</v>
      </c>
      <c r="CP52" s="230">
        <v>-4412625</v>
      </c>
      <c r="CQ52" s="229">
        <v>-0.75080000000000002</v>
      </c>
      <c r="CR52" s="230">
        <v>963375</v>
      </c>
      <c r="CS52" s="230">
        <v>3937875</v>
      </c>
      <c r="CT52" s="230">
        <v>-2974500</v>
      </c>
      <c r="CU52" s="229">
        <v>-0.75539999999999996</v>
      </c>
      <c r="CV52" s="230">
        <v>14310375</v>
      </c>
      <c r="CW52" s="230">
        <v>22341000</v>
      </c>
      <c r="CX52" s="230">
        <v>-8030625</v>
      </c>
      <c r="CY52" s="229">
        <v>-0.35949999999999999</v>
      </c>
      <c r="CZ52" s="228">
        <v>21.58</v>
      </c>
      <c r="DA52" s="228">
        <v>22.08</v>
      </c>
      <c r="DB52" s="228">
        <v>-0.5</v>
      </c>
      <c r="DC52" s="228">
        <v>-0.5</v>
      </c>
      <c r="DD52" s="228">
        <v>27.27</v>
      </c>
      <c r="DE52" s="228">
        <v>27.33</v>
      </c>
      <c r="DF52" s="228">
        <v>-5.69</v>
      </c>
      <c r="DG52" s="228">
        <v>-0.06</v>
      </c>
      <c r="DH52" s="228">
        <v>21.29</v>
      </c>
      <c r="DI52" s="228">
        <v>22.04</v>
      </c>
      <c r="DJ52" s="228">
        <v>-0.75</v>
      </c>
      <c r="DK52" s="228">
        <v>-0.75</v>
      </c>
      <c r="DL52" s="228">
        <v>21.89</v>
      </c>
      <c r="DM52" s="228">
        <v>22.16</v>
      </c>
      <c r="DN52" s="228">
        <v>-0.27</v>
      </c>
      <c r="DO52" s="228">
        <v>-0.27</v>
      </c>
      <c r="DP52" s="228">
        <v>0.66</v>
      </c>
      <c r="DQ52" s="228">
        <v>0.67</v>
      </c>
      <c r="DR52" s="228">
        <v>-0.01</v>
      </c>
      <c r="DS52" s="229">
        <v>-1.49E-2</v>
      </c>
      <c r="DT52" s="231">
        <v>1600</v>
      </c>
      <c r="DU52" s="231">
        <v>1480</v>
      </c>
      <c r="DV52" s="228">
        <v>1.01</v>
      </c>
      <c r="DW52" s="228">
        <v>0.6</v>
      </c>
      <c r="DX52" s="228">
        <v>0.41</v>
      </c>
      <c r="DY52" s="229">
        <v>0.68330000000000002</v>
      </c>
      <c r="DZ52" s="229">
        <v>0.95989999999999998</v>
      </c>
      <c r="EA52" s="230">
        <v>10889250</v>
      </c>
      <c r="EB52" s="229">
        <v>3.0999999999999999E-3</v>
      </c>
      <c r="EC52" s="229">
        <v>0.95989999999999998</v>
      </c>
      <c r="ED52" s="228">
        <v>7.52</v>
      </c>
      <c r="EE52" s="229">
        <v>4.8999999999999998E-3</v>
      </c>
      <c r="EF52" s="230">
        <v>1620191</v>
      </c>
      <c r="EG52" s="230">
        <v>814260</v>
      </c>
      <c r="EH52" s="229">
        <v>0.98980000000000001</v>
      </c>
      <c r="EI52" s="229">
        <v>0.64419999999999999</v>
      </c>
      <c r="EJ52" s="231">
        <v>58897.2</v>
      </c>
      <c r="EK52" s="231">
        <v>57265.15</v>
      </c>
      <c r="EL52" s="231">
        <v>70783.820000000007</v>
      </c>
      <c r="EM52" s="228">
        <v>0</v>
      </c>
      <c r="EN52" s="231">
        <v>186946.17</v>
      </c>
      <c r="EO52" s="231">
        <v>286529.67</v>
      </c>
      <c r="EP52" s="231">
        <v>-99583.5</v>
      </c>
      <c r="EQ52" s="229">
        <v>-0.34760000000000002</v>
      </c>
      <c r="ER52" s="231">
        <v>23447</v>
      </c>
      <c r="ES52" s="231">
        <v>14437</v>
      </c>
      <c r="ET52" s="231">
        <v>185475</v>
      </c>
      <c r="EU52" s="231">
        <v>114117893</v>
      </c>
      <c r="EV52" s="231">
        <v>223359</v>
      </c>
      <c r="EW52" s="231">
        <v>348307</v>
      </c>
      <c r="EX52" s="231">
        <v>-124948</v>
      </c>
      <c r="EY52" s="229">
        <v>-0.35870000000000002</v>
      </c>
      <c r="EZ52" s="229">
        <v>0.12540000000000001</v>
      </c>
      <c r="FA52" s="227" t="s">
        <v>568</v>
      </c>
      <c r="FB52" s="161">
        <f t="shared" si="0"/>
        <v>11386125</v>
      </c>
    </row>
    <row r="53" spans="1:158" ht="17.25" thickBot="1" x14ac:dyDescent="0.3">
      <c r="A53" s="226">
        <v>45869</v>
      </c>
      <c r="B53" s="227" t="s">
        <v>227</v>
      </c>
      <c r="C53" s="227" t="s">
        <v>200</v>
      </c>
      <c r="D53" s="228">
        <v>1350</v>
      </c>
      <c r="E53" s="228">
        <v>370.7</v>
      </c>
      <c r="F53" s="228">
        <v>375.85</v>
      </c>
      <c r="G53" s="228">
        <v>-5.15</v>
      </c>
      <c r="H53" s="229">
        <v>-1.37E-2</v>
      </c>
      <c r="I53" s="228">
        <v>376.35</v>
      </c>
      <c r="J53" s="228">
        <v>379.9</v>
      </c>
      <c r="K53" s="228">
        <v>-3.55</v>
      </c>
      <c r="L53" s="229">
        <v>-9.2999999999999992E-3</v>
      </c>
      <c r="M53" s="228">
        <v>375.95</v>
      </c>
      <c r="N53" s="228">
        <v>379.75</v>
      </c>
      <c r="O53" s="228">
        <v>-3.8</v>
      </c>
      <c r="P53" s="229">
        <v>-0.01</v>
      </c>
      <c r="Q53" s="228">
        <v>370.7</v>
      </c>
      <c r="R53" s="228">
        <v>375.85</v>
      </c>
      <c r="S53" s="228">
        <v>-5.15</v>
      </c>
      <c r="T53" s="229">
        <v>-1.37E-2</v>
      </c>
      <c r="U53" s="228">
        <v>371.85</v>
      </c>
      <c r="V53" s="228">
        <v>377.3</v>
      </c>
      <c r="W53" s="228">
        <v>-5.45</v>
      </c>
      <c r="X53" s="229">
        <v>-1.44E-2</v>
      </c>
      <c r="Y53" s="228">
        <v>-5.65</v>
      </c>
      <c r="Z53" s="228">
        <v>-0.15</v>
      </c>
      <c r="AA53" s="228">
        <v>-5.5</v>
      </c>
      <c r="AB53" s="229">
        <v>-1.4999999999999999E-2</v>
      </c>
      <c r="AC53" s="228">
        <v>-0.4</v>
      </c>
      <c r="AD53" s="228">
        <v>-0.15</v>
      </c>
      <c r="AE53" s="228">
        <v>-0.25</v>
      </c>
      <c r="AF53" s="229">
        <v>-1.1000000000000001E-3</v>
      </c>
      <c r="AG53" s="228">
        <v>-5.65</v>
      </c>
      <c r="AH53" s="228">
        <v>-4.05</v>
      </c>
      <c r="AI53" s="228">
        <v>-1.6</v>
      </c>
      <c r="AJ53" s="229">
        <v>-1.4999999999999999E-2</v>
      </c>
      <c r="AK53" s="228">
        <v>-4.5</v>
      </c>
      <c r="AL53" s="228">
        <v>-2.6</v>
      </c>
      <c r="AM53" s="228">
        <v>-1.9</v>
      </c>
      <c r="AN53" s="229">
        <v>-1.2E-2</v>
      </c>
      <c r="AO53" s="228">
        <v>376.17</v>
      </c>
      <c r="AP53" s="228">
        <v>372.15</v>
      </c>
      <c r="AQ53" s="228">
        <v>0</v>
      </c>
      <c r="AR53" s="230">
        <v>37393650</v>
      </c>
      <c r="AS53" s="230">
        <v>45933750</v>
      </c>
      <c r="AT53" s="230">
        <v>-8540100</v>
      </c>
      <c r="AU53" s="229">
        <v>-0.18590000000000001</v>
      </c>
      <c r="AV53" s="230">
        <v>15859800</v>
      </c>
      <c r="AW53" s="230">
        <v>22110300</v>
      </c>
      <c r="AX53" s="230">
        <v>-6250500</v>
      </c>
      <c r="AY53" s="229">
        <v>-0.28270000000000001</v>
      </c>
      <c r="AZ53" s="230">
        <v>20407950</v>
      </c>
      <c r="BA53" s="230">
        <v>23137650</v>
      </c>
      <c r="BB53" s="230">
        <v>-2729700</v>
      </c>
      <c r="BC53" s="229">
        <v>-0.11799999999999999</v>
      </c>
      <c r="BD53" s="230">
        <v>1125900</v>
      </c>
      <c r="BE53" s="230">
        <v>685800</v>
      </c>
      <c r="BF53" s="230">
        <v>440100</v>
      </c>
      <c r="BG53" s="229">
        <v>0.64170000000000005</v>
      </c>
      <c r="BH53" s="230">
        <v>28102950</v>
      </c>
      <c r="BI53" s="230">
        <v>22527450</v>
      </c>
      <c r="BJ53" s="230">
        <v>5575500</v>
      </c>
      <c r="BK53" s="229">
        <v>0.2475</v>
      </c>
      <c r="BL53" s="230">
        <v>19527750</v>
      </c>
      <c r="BM53" s="230">
        <v>16785900</v>
      </c>
      <c r="BN53" s="230">
        <v>2741850</v>
      </c>
      <c r="BO53" s="229">
        <v>0.1633</v>
      </c>
      <c r="BP53" s="230">
        <v>85024350</v>
      </c>
      <c r="BQ53" s="230">
        <v>85247100</v>
      </c>
      <c r="BR53" s="230">
        <v>-222750</v>
      </c>
      <c r="BS53" s="229">
        <v>-2.5999999999999999E-3</v>
      </c>
      <c r="BT53" s="230">
        <v>6591622</v>
      </c>
      <c r="BU53" s="230">
        <v>5648966</v>
      </c>
      <c r="BV53" s="230">
        <v>942656</v>
      </c>
      <c r="BW53" s="229">
        <v>0.16689999999999999</v>
      </c>
      <c r="BX53" s="230">
        <v>72334350</v>
      </c>
      <c r="BY53" s="230">
        <v>76937850</v>
      </c>
      <c r="BZ53" s="230">
        <v>-4603500</v>
      </c>
      <c r="CA53" s="229">
        <v>-5.9799999999999999E-2</v>
      </c>
      <c r="CB53" s="230">
        <v>10071000</v>
      </c>
      <c r="CC53" s="230">
        <v>12710250</v>
      </c>
      <c r="CD53" s="230">
        <v>-2639250</v>
      </c>
      <c r="CE53" s="229">
        <v>-0.20760000000000001</v>
      </c>
      <c r="CF53" s="230">
        <v>70599600</v>
      </c>
      <c r="CG53" s="230">
        <v>62876250</v>
      </c>
      <c r="CH53" s="230">
        <v>7723350</v>
      </c>
      <c r="CI53" s="229">
        <v>0.12280000000000001</v>
      </c>
      <c r="CJ53" s="230">
        <v>1734750</v>
      </c>
      <c r="CK53" s="230">
        <v>1351350</v>
      </c>
      <c r="CL53" s="230">
        <v>383400</v>
      </c>
      <c r="CM53" s="229">
        <v>0.28370000000000001</v>
      </c>
      <c r="CN53" s="230">
        <v>20359350</v>
      </c>
      <c r="CO53" s="230">
        <v>39181050</v>
      </c>
      <c r="CP53" s="230">
        <v>-18821700</v>
      </c>
      <c r="CQ53" s="229">
        <v>-0.48039999999999999</v>
      </c>
      <c r="CR53" s="230">
        <v>20694150</v>
      </c>
      <c r="CS53" s="230">
        <v>29370600</v>
      </c>
      <c r="CT53" s="230">
        <v>-8676450</v>
      </c>
      <c r="CU53" s="229">
        <v>-0.2954</v>
      </c>
      <c r="CV53" s="230">
        <v>113387850</v>
      </c>
      <c r="CW53" s="230">
        <v>145489500</v>
      </c>
      <c r="CX53" s="230">
        <v>-32101650</v>
      </c>
      <c r="CY53" s="229">
        <v>-0.22059999999999999</v>
      </c>
      <c r="CZ53" s="228">
        <v>21.81</v>
      </c>
      <c r="DA53" s="228">
        <v>21.78</v>
      </c>
      <c r="DB53" s="228">
        <v>0.03</v>
      </c>
      <c r="DC53" s="228">
        <v>0.03</v>
      </c>
      <c r="DD53" s="228">
        <v>31.64</v>
      </c>
      <c r="DE53" s="228">
        <v>31.66</v>
      </c>
      <c r="DF53" s="228">
        <v>-9.83</v>
      </c>
      <c r="DG53" s="228">
        <v>-0.02</v>
      </c>
      <c r="DH53" s="228">
        <v>22.28</v>
      </c>
      <c r="DI53" s="228">
        <v>21.93</v>
      </c>
      <c r="DJ53" s="228">
        <v>0.35</v>
      </c>
      <c r="DK53" s="228">
        <v>0.35</v>
      </c>
      <c r="DL53" s="228">
        <v>21.11</v>
      </c>
      <c r="DM53" s="228">
        <v>21.59</v>
      </c>
      <c r="DN53" s="228">
        <v>-0.48</v>
      </c>
      <c r="DO53" s="228">
        <v>-0.48</v>
      </c>
      <c r="DP53" s="228">
        <v>1.02</v>
      </c>
      <c r="DQ53" s="228">
        <v>0.75</v>
      </c>
      <c r="DR53" s="228">
        <v>0.27</v>
      </c>
      <c r="DS53" s="229">
        <v>0.36</v>
      </c>
      <c r="DT53" s="228">
        <v>400</v>
      </c>
      <c r="DU53" s="228">
        <v>370</v>
      </c>
      <c r="DV53" s="228">
        <v>0.69</v>
      </c>
      <c r="DW53" s="228">
        <v>0.75</v>
      </c>
      <c r="DX53" s="228">
        <v>-0.06</v>
      </c>
      <c r="DY53" s="229">
        <v>-0.08</v>
      </c>
      <c r="DZ53" s="229">
        <v>0.87780000000000002</v>
      </c>
      <c r="EA53" s="230">
        <v>64227600</v>
      </c>
      <c r="EB53" s="229">
        <v>-1.4E-2</v>
      </c>
      <c r="EC53" s="229">
        <v>0.87780000000000002</v>
      </c>
      <c r="ED53" s="228">
        <v>-4.0199999999999996</v>
      </c>
      <c r="EE53" s="229">
        <v>-1.0699999999999999E-2</v>
      </c>
      <c r="EF53" s="230">
        <v>4062231</v>
      </c>
      <c r="EG53" s="230">
        <v>3153307</v>
      </c>
      <c r="EH53" s="229">
        <v>0.28820000000000001</v>
      </c>
      <c r="EI53" s="229">
        <v>0.61629999999999996</v>
      </c>
      <c r="EJ53" s="231">
        <v>109832.96000000001</v>
      </c>
      <c r="EK53" s="231">
        <v>74321.13</v>
      </c>
      <c r="EL53" s="231">
        <v>139817.62</v>
      </c>
      <c r="EM53" s="228">
        <v>0</v>
      </c>
      <c r="EN53" s="231">
        <v>323971.71000000002</v>
      </c>
      <c r="EO53" s="231">
        <v>327864.65000000002</v>
      </c>
      <c r="EP53" s="231">
        <v>-3892.94</v>
      </c>
      <c r="EQ53" s="229">
        <v>-1.1900000000000001E-2</v>
      </c>
      <c r="ER53" s="231">
        <v>79919</v>
      </c>
      <c r="ES53" s="231">
        <v>79371</v>
      </c>
      <c r="ET53" s="231">
        <v>268163</v>
      </c>
      <c r="EU53" s="231">
        <v>454398477</v>
      </c>
      <c r="EV53" s="231">
        <v>427453</v>
      </c>
      <c r="EW53" s="231">
        <v>559480</v>
      </c>
      <c r="EX53" s="231">
        <v>-132027</v>
      </c>
      <c r="EY53" s="229">
        <v>-0.23599999999999999</v>
      </c>
      <c r="EZ53" s="229">
        <v>0.2495</v>
      </c>
      <c r="FA53" s="227" t="s">
        <v>568</v>
      </c>
      <c r="FB53" s="161">
        <f t="shared" si="0"/>
        <v>62263350</v>
      </c>
    </row>
    <row r="54" spans="1:158" ht="17.25" thickBot="1" x14ac:dyDescent="0.3">
      <c r="A54" s="226">
        <v>45869</v>
      </c>
      <c r="B54" s="227" t="s">
        <v>221</v>
      </c>
      <c r="C54" s="227" t="s">
        <v>470</v>
      </c>
      <c r="D54" s="228">
        <v>375</v>
      </c>
      <c r="E54" s="231">
        <v>1752.6</v>
      </c>
      <c r="F54" s="231">
        <v>1752.6</v>
      </c>
      <c r="G54" s="228">
        <v>0</v>
      </c>
      <c r="H54" s="229">
        <v>0</v>
      </c>
      <c r="I54" s="231">
        <v>1748.2</v>
      </c>
      <c r="J54" s="231">
        <v>1749.5</v>
      </c>
      <c r="K54" s="228">
        <v>-1.3</v>
      </c>
      <c r="L54" s="229">
        <v>-6.9999999999999999E-4</v>
      </c>
      <c r="M54" s="231">
        <v>1743.2</v>
      </c>
      <c r="N54" s="231">
        <v>1743.8</v>
      </c>
      <c r="O54" s="228">
        <v>-0.6</v>
      </c>
      <c r="P54" s="229">
        <v>-2.9999999999999997E-4</v>
      </c>
      <c r="Q54" s="231">
        <v>1752.6</v>
      </c>
      <c r="R54" s="231">
        <v>1752.6</v>
      </c>
      <c r="S54" s="228">
        <v>0</v>
      </c>
      <c r="T54" s="229">
        <v>0</v>
      </c>
      <c r="U54" s="231">
        <v>1759.1</v>
      </c>
      <c r="V54" s="231">
        <v>1760</v>
      </c>
      <c r="W54" s="228">
        <v>-0.9</v>
      </c>
      <c r="X54" s="229">
        <v>-5.0000000000000001E-4</v>
      </c>
      <c r="Y54" s="228">
        <v>4.4000000000000004</v>
      </c>
      <c r="Z54" s="228">
        <v>-5.7</v>
      </c>
      <c r="AA54" s="228">
        <v>10.1</v>
      </c>
      <c r="AB54" s="229">
        <v>2.5000000000000001E-3</v>
      </c>
      <c r="AC54" s="228">
        <v>-5</v>
      </c>
      <c r="AD54" s="228">
        <v>-5.7</v>
      </c>
      <c r="AE54" s="228">
        <v>0.7</v>
      </c>
      <c r="AF54" s="229">
        <v>-2.8999999999999998E-3</v>
      </c>
      <c r="AG54" s="228">
        <v>4.4000000000000004</v>
      </c>
      <c r="AH54" s="228">
        <v>3.1</v>
      </c>
      <c r="AI54" s="228">
        <v>1.3</v>
      </c>
      <c r="AJ54" s="229">
        <v>2.5000000000000001E-3</v>
      </c>
      <c r="AK54" s="228">
        <v>10.9</v>
      </c>
      <c r="AL54" s="228">
        <v>10.5</v>
      </c>
      <c r="AM54" s="228">
        <v>0.4</v>
      </c>
      <c r="AN54" s="229">
        <v>6.1999999999999998E-3</v>
      </c>
      <c r="AO54" s="231">
        <v>1733.11</v>
      </c>
      <c r="AP54" s="231">
        <v>1740.72</v>
      </c>
      <c r="AQ54" s="228">
        <v>0</v>
      </c>
      <c r="AR54" s="230">
        <v>9644250</v>
      </c>
      <c r="AS54" s="230">
        <v>10526250</v>
      </c>
      <c r="AT54" s="230">
        <v>-882000</v>
      </c>
      <c r="AU54" s="229">
        <v>-8.3799999999999999E-2</v>
      </c>
      <c r="AV54" s="230">
        <v>4287375</v>
      </c>
      <c r="AW54" s="230">
        <v>4919250</v>
      </c>
      <c r="AX54" s="230">
        <v>-631875</v>
      </c>
      <c r="AY54" s="229">
        <v>-0.12839999999999999</v>
      </c>
      <c r="AZ54" s="230">
        <v>5292000</v>
      </c>
      <c r="BA54" s="230">
        <v>5563500</v>
      </c>
      <c r="BB54" s="230">
        <v>-271500</v>
      </c>
      <c r="BC54" s="229">
        <v>-4.8800000000000003E-2</v>
      </c>
      <c r="BD54" s="230">
        <v>64875</v>
      </c>
      <c r="BE54" s="230">
        <v>43500</v>
      </c>
      <c r="BF54" s="230">
        <v>21375</v>
      </c>
      <c r="BG54" s="229">
        <v>0.4914</v>
      </c>
      <c r="BH54" s="230">
        <v>8968125</v>
      </c>
      <c r="BI54" s="230">
        <v>14495625</v>
      </c>
      <c r="BJ54" s="230">
        <v>-5527500</v>
      </c>
      <c r="BK54" s="229">
        <v>-0.38129999999999997</v>
      </c>
      <c r="BL54" s="230">
        <v>3909750</v>
      </c>
      <c r="BM54" s="230">
        <v>4242000</v>
      </c>
      <c r="BN54" s="230">
        <v>-332250</v>
      </c>
      <c r="BO54" s="229">
        <v>-7.8299999999999995E-2</v>
      </c>
      <c r="BP54" s="230">
        <v>22522125</v>
      </c>
      <c r="BQ54" s="230">
        <v>29263875</v>
      </c>
      <c r="BR54" s="230">
        <v>-6741750</v>
      </c>
      <c r="BS54" s="229">
        <v>-0.23039999999999999</v>
      </c>
      <c r="BT54" s="230">
        <v>2900859</v>
      </c>
      <c r="BU54" s="230">
        <v>1993799</v>
      </c>
      <c r="BV54" s="230">
        <v>907060</v>
      </c>
      <c r="BW54" s="229">
        <v>0.45490000000000003</v>
      </c>
      <c r="BX54" s="230">
        <v>14785500</v>
      </c>
      <c r="BY54" s="230">
        <v>17562375</v>
      </c>
      <c r="BZ54" s="230">
        <v>-2776875</v>
      </c>
      <c r="CA54" s="229">
        <v>-0.15809999999999999</v>
      </c>
      <c r="CB54" s="230">
        <v>1191000</v>
      </c>
      <c r="CC54" s="230">
        <v>3820125</v>
      </c>
      <c r="CD54" s="230">
        <v>-2629125</v>
      </c>
      <c r="CE54" s="229">
        <v>-0.68820000000000003</v>
      </c>
      <c r="CF54" s="230">
        <v>14644500</v>
      </c>
      <c r="CG54" s="230">
        <v>13609500</v>
      </c>
      <c r="CH54" s="230">
        <v>1035000</v>
      </c>
      <c r="CI54" s="229">
        <v>7.5999999999999998E-2</v>
      </c>
      <c r="CJ54" s="230">
        <v>141000</v>
      </c>
      <c r="CK54" s="230">
        <v>132750</v>
      </c>
      <c r="CL54" s="230">
        <v>8250</v>
      </c>
      <c r="CM54" s="229">
        <v>6.2100000000000002E-2</v>
      </c>
      <c r="CN54" s="230">
        <v>2685375</v>
      </c>
      <c r="CO54" s="230">
        <v>8857500</v>
      </c>
      <c r="CP54" s="230">
        <v>-6172125</v>
      </c>
      <c r="CQ54" s="229">
        <v>-0.69679999999999997</v>
      </c>
      <c r="CR54" s="230">
        <v>1719375</v>
      </c>
      <c r="CS54" s="230">
        <v>3826875</v>
      </c>
      <c r="CT54" s="230">
        <v>-2107500</v>
      </c>
      <c r="CU54" s="229">
        <v>-0.55069999999999997</v>
      </c>
      <c r="CV54" s="230">
        <v>19190250</v>
      </c>
      <c r="CW54" s="230">
        <v>30246750</v>
      </c>
      <c r="CX54" s="230">
        <v>-11056500</v>
      </c>
      <c r="CY54" s="229">
        <v>-0.36549999999999999</v>
      </c>
      <c r="CZ54" s="228">
        <v>30.77</v>
      </c>
      <c r="DA54" s="228">
        <v>32.25</v>
      </c>
      <c r="DB54" s="228">
        <v>-1.48</v>
      </c>
      <c r="DC54" s="228">
        <v>-1.48</v>
      </c>
      <c r="DD54" s="228">
        <v>43.76</v>
      </c>
      <c r="DE54" s="228">
        <v>43.87</v>
      </c>
      <c r="DF54" s="228">
        <v>-12.99</v>
      </c>
      <c r="DG54" s="228">
        <v>-0.11</v>
      </c>
      <c r="DH54" s="228">
        <v>30.54</v>
      </c>
      <c r="DI54" s="228">
        <v>32.17</v>
      </c>
      <c r="DJ54" s="228">
        <v>-1.63</v>
      </c>
      <c r="DK54" s="228">
        <v>-1.63</v>
      </c>
      <c r="DL54" s="228">
        <v>31.23</v>
      </c>
      <c r="DM54" s="228">
        <v>32.49</v>
      </c>
      <c r="DN54" s="228">
        <v>-1.26</v>
      </c>
      <c r="DO54" s="228">
        <v>-1.26</v>
      </c>
      <c r="DP54" s="228">
        <v>0.64</v>
      </c>
      <c r="DQ54" s="228">
        <v>0.43</v>
      </c>
      <c r="DR54" s="228">
        <v>0.21</v>
      </c>
      <c r="DS54" s="229">
        <v>0.4884</v>
      </c>
      <c r="DT54" s="231">
        <v>1900</v>
      </c>
      <c r="DU54" s="231">
        <v>1700</v>
      </c>
      <c r="DV54" s="228">
        <v>0.44</v>
      </c>
      <c r="DW54" s="228">
        <v>0.28999999999999998</v>
      </c>
      <c r="DX54" s="228">
        <v>0.15</v>
      </c>
      <c r="DY54" s="229">
        <v>0.51719999999999999</v>
      </c>
      <c r="DZ54" s="229">
        <v>0.92549999999999999</v>
      </c>
      <c r="EA54" s="230">
        <v>13742250</v>
      </c>
      <c r="EB54" s="229">
        <v>5.4000000000000003E-3</v>
      </c>
      <c r="EC54" s="229">
        <v>0.92549999999999999</v>
      </c>
      <c r="ED54" s="228">
        <v>7.61</v>
      </c>
      <c r="EE54" s="229">
        <v>4.4000000000000003E-3</v>
      </c>
      <c r="EF54" s="230">
        <v>1645606</v>
      </c>
      <c r="EG54" s="230">
        <v>1106192</v>
      </c>
      <c r="EH54" s="229">
        <v>0.48759999999999998</v>
      </c>
      <c r="EI54" s="229">
        <v>0.56730000000000003</v>
      </c>
      <c r="EJ54" s="231">
        <v>164532.48000000001</v>
      </c>
      <c r="EK54" s="231">
        <v>68284.88</v>
      </c>
      <c r="EL54" s="231">
        <v>167557.85</v>
      </c>
      <c r="EM54" s="228">
        <v>0</v>
      </c>
      <c r="EN54" s="231">
        <v>400375.21</v>
      </c>
      <c r="EO54" s="231">
        <v>518331.5</v>
      </c>
      <c r="EP54" s="231">
        <v>-117956.29</v>
      </c>
      <c r="EQ54" s="229">
        <v>-0.2276</v>
      </c>
      <c r="ER54" s="231">
        <v>49352</v>
      </c>
      <c r="ES54" s="231">
        <v>28701</v>
      </c>
      <c r="ET54" s="231">
        <v>259140</v>
      </c>
      <c r="EU54" s="231">
        <v>66878856</v>
      </c>
      <c r="EV54" s="231">
        <v>337193</v>
      </c>
      <c r="EW54" s="231">
        <v>540409</v>
      </c>
      <c r="EX54" s="231">
        <v>-203216</v>
      </c>
      <c r="EY54" s="229">
        <v>-0.376</v>
      </c>
      <c r="EZ54" s="229">
        <v>0.28689999999999999</v>
      </c>
      <c r="FA54" s="227" t="s">
        <v>237</v>
      </c>
      <c r="FB54" s="161">
        <f t="shared" si="0"/>
        <v>13594500</v>
      </c>
    </row>
    <row r="55" spans="1:158" ht="17.25" thickBot="1" x14ac:dyDescent="0.3">
      <c r="A55" s="226">
        <v>45869</v>
      </c>
      <c r="B55" s="227" t="s">
        <v>168</v>
      </c>
      <c r="C55" s="227" t="s">
        <v>201</v>
      </c>
      <c r="D55" s="228">
        <v>225</v>
      </c>
      <c r="E55" s="231">
        <v>2258</v>
      </c>
      <c r="F55" s="231">
        <v>2248.9</v>
      </c>
      <c r="G55" s="228">
        <v>9.1</v>
      </c>
      <c r="H55" s="229">
        <v>4.0000000000000001E-3</v>
      </c>
      <c r="I55" s="231">
        <v>2245.3000000000002</v>
      </c>
      <c r="J55" s="231">
        <v>2237.1</v>
      </c>
      <c r="K55" s="228">
        <v>8.1999999999999993</v>
      </c>
      <c r="L55" s="229">
        <v>3.7000000000000002E-3</v>
      </c>
      <c r="M55" s="231">
        <v>2244.3000000000002</v>
      </c>
      <c r="N55" s="231">
        <v>2239.6999999999998</v>
      </c>
      <c r="O55" s="228">
        <v>4.5999999999999996</v>
      </c>
      <c r="P55" s="229">
        <v>2.0999999999999999E-3</v>
      </c>
      <c r="Q55" s="231">
        <v>2258</v>
      </c>
      <c r="R55" s="231">
        <v>2248.9</v>
      </c>
      <c r="S55" s="228">
        <v>9.1</v>
      </c>
      <c r="T55" s="229">
        <v>4.0000000000000001E-3</v>
      </c>
      <c r="U55" s="231">
        <v>2269.6</v>
      </c>
      <c r="V55" s="231">
        <v>2261.6999999999998</v>
      </c>
      <c r="W55" s="228">
        <v>7.9</v>
      </c>
      <c r="X55" s="229">
        <v>3.5000000000000001E-3</v>
      </c>
      <c r="Y55" s="228">
        <v>12.7</v>
      </c>
      <c r="Z55" s="228">
        <v>2.6</v>
      </c>
      <c r="AA55" s="228">
        <v>10.1</v>
      </c>
      <c r="AB55" s="229">
        <v>5.7000000000000002E-3</v>
      </c>
      <c r="AC55" s="228">
        <v>-1</v>
      </c>
      <c r="AD55" s="228">
        <v>2.6</v>
      </c>
      <c r="AE55" s="228">
        <v>-3.6</v>
      </c>
      <c r="AF55" s="229">
        <v>-4.0000000000000002E-4</v>
      </c>
      <c r="AG55" s="228">
        <v>12.7</v>
      </c>
      <c r="AH55" s="228">
        <v>11.8</v>
      </c>
      <c r="AI55" s="228">
        <v>0.9</v>
      </c>
      <c r="AJ55" s="229">
        <v>5.7000000000000002E-3</v>
      </c>
      <c r="AK55" s="228">
        <v>24.3</v>
      </c>
      <c r="AL55" s="228">
        <v>24.6</v>
      </c>
      <c r="AM55" s="228">
        <v>-0.3</v>
      </c>
      <c r="AN55" s="229">
        <v>1.0800000000000001E-2</v>
      </c>
      <c r="AO55" s="231">
        <v>2238.19</v>
      </c>
      <c r="AP55" s="231">
        <v>2250.65</v>
      </c>
      <c r="AQ55" s="228">
        <v>0</v>
      </c>
      <c r="AR55" s="230">
        <v>2773800</v>
      </c>
      <c r="AS55" s="230">
        <v>3112650</v>
      </c>
      <c r="AT55" s="230">
        <v>-338850</v>
      </c>
      <c r="AU55" s="229">
        <v>-0.1089</v>
      </c>
      <c r="AV55" s="230">
        <v>1246950</v>
      </c>
      <c r="AW55" s="230">
        <v>1424025</v>
      </c>
      <c r="AX55" s="230">
        <v>-177075</v>
      </c>
      <c r="AY55" s="229">
        <v>-0.12429999999999999</v>
      </c>
      <c r="AZ55" s="230">
        <v>1478250</v>
      </c>
      <c r="BA55" s="230">
        <v>1637775</v>
      </c>
      <c r="BB55" s="230">
        <v>-159525</v>
      </c>
      <c r="BC55" s="229">
        <v>-9.74E-2</v>
      </c>
      <c r="BD55" s="230">
        <v>48600</v>
      </c>
      <c r="BE55" s="230">
        <v>50850</v>
      </c>
      <c r="BF55" s="230">
        <v>-2250</v>
      </c>
      <c r="BG55" s="229">
        <v>-4.4200000000000003E-2</v>
      </c>
      <c r="BH55" s="230">
        <v>2502900</v>
      </c>
      <c r="BI55" s="230">
        <v>2461950</v>
      </c>
      <c r="BJ55" s="230">
        <v>40950</v>
      </c>
      <c r="BK55" s="229">
        <v>1.66E-2</v>
      </c>
      <c r="BL55" s="230">
        <v>1277325</v>
      </c>
      <c r="BM55" s="230">
        <v>864000</v>
      </c>
      <c r="BN55" s="230">
        <v>413325</v>
      </c>
      <c r="BO55" s="229">
        <v>0.47839999999999999</v>
      </c>
      <c r="BP55" s="230">
        <v>6554025</v>
      </c>
      <c r="BQ55" s="230">
        <v>6438600</v>
      </c>
      <c r="BR55" s="230">
        <v>115425</v>
      </c>
      <c r="BS55" s="229">
        <v>1.7899999999999999E-2</v>
      </c>
      <c r="BT55" s="230">
        <v>702509</v>
      </c>
      <c r="BU55" s="230">
        <v>908410</v>
      </c>
      <c r="BV55" s="230">
        <v>-205901</v>
      </c>
      <c r="BW55" s="229">
        <v>-0.22670000000000001</v>
      </c>
      <c r="BX55" s="230">
        <v>5520375</v>
      </c>
      <c r="BY55" s="230">
        <v>5809950</v>
      </c>
      <c r="BZ55" s="230">
        <v>-289575</v>
      </c>
      <c r="CA55" s="229">
        <v>-4.9799999999999997E-2</v>
      </c>
      <c r="CB55" s="230">
        <v>217575</v>
      </c>
      <c r="CC55" s="230">
        <v>983475</v>
      </c>
      <c r="CD55" s="230">
        <v>-765900</v>
      </c>
      <c r="CE55" s="229">
        <v>-0.77880000000000005</v>
      </c>
      <c r="CF55" s="230">
        <v>5325525</v>
      </c>
      <c r="CG55" s="230">
        <v>4657725</v>
      </c>
      <c r="CH55" s="230">
        <v>667800</v>
      </c>
      <c r="CI55" s="229">
        <v>0.1434</v>
      </c>
      <c r="CJ55" s="230">
        <v>194850</v>
      </c>
      <c r="CK55" s="230">
        <v>168750</v>
      </c>
      <c r="CL55" s="230">
        <v>26100</v>
      </c>
      <c r="CM55" s="229">
        <v>0.1547</v>
      </c>
      <c r="CN55" s="230">
        <v>1155825</v>
      </c>
      <c r="CO55" s="230">
        <v>2586600</v>
      </c>
      <c r="CP55" s="230">
        <v>-1430775</v>
      </c>
      <c r="CQ55" s="229">
        <v>-0.55310000000000004</v>
      </c>
      <c r="CR55" s="230">
        <v>1003050</v>
      </c>
      <c r="CS55" s="230">
        <v>1693350</v>
      </c>
      <c r="CT55" s="230">
        <v>-690300</v>
      </c>
      <c r="CU55" s="229">
        <v>-0.40770000000000001</v>
      </c>
      <c r="CV55" s="230">
        <v>7679250</v>
      </c>
      <c r="CW55" s="230">
        <v>10089900</v>
      </c>
      <c r="CX55" s="230">
        <v>-2410650</v>
      </c>
      <c r="CY55" s="229">
        <v>-0.2389</v>
      </c>
      <c r="CZ55" s="228">
        <v>19.97</v>
      </c>
      <c r="DA55" s="228">
        <v>20.239999999999998</v>
      </c>
      <c r="DB55" s="228">
        <v>-0.27</v>
      </c>
      <c r="DC55" s="228">
        <v>-0.27</v>
      </c>
      <c r="DD55" s="228">
        <v>28.86</v>
      </c>
      <c r="DE55" s="228">
        <v>28.93</v>
      </c>
      <c r="DF55" s="228">
        <v>-8.89</v>
      </c>
      <c r="DG55" s="228">
        <v>-7.0000000000000007E-2</v>
      </c>
      <c r="DH55" s="228">
        <v>20</v>
      </c>
      <c r="DI55" s="228">
        <v>20.52</v>
      </c>
      <c r="DJ55" s="228">
        <v>-0.52</v>
      </c>
      <c r="DK55" s="228">
        <v>-0.52</v>
      </c>
      <c r="DL55" s="228">
        <v>19.93</v>
      </c>
      <c r="DM55" s="228">
        <v>19.64</v>
      </c>
      <c r="DN55" s="228">
        <v>0.28999999999999998</v>
      </c>
      <c r="DO55" s="228">
        <v>0.28999999999999998</v>
      </c>
      <c r="DP55" s="228">
        <v>0.87</v>
      </c>
      <c r="DQ55" s="228">
        <v>0.65</v>
      </c>
      <c r="DR55" s="228">
        <v>0.22</v>
      </c>
      <c r="DS55" s="229">
        <v>0.33850000000000002</v>
      </c>
      <c r="DT55" s="231">
        <v>2300</v>
      </c>
      <c r="DU55" s="231">
        <v>2300</v>
      </c>
      <c r="DV55" s="228">
        <v>0.51</v>
      </c>
      <c r="DW55" s="228">
        <v>0.35</v>
      </c>
      <c r="DX55" s="228">
        <v>0.16</v>
      </c>
      <c r="DY55" s="229">
        <v>0.45710000000000001</v>
      </c>
      <c r="DZ55" s="229">
        <v>0.96209999999999996</v>
      </c>
      <c r="EA55" s="230">
        <v>4826475</v>
      </c>
      <c r="EB55" s="229">
        <v>6.1000000000000004E-3</v>
      </c>
      <c r="EC55" s="229">
        <v>0.96209999999999996</v>
      </c>
      <c r="ED55" s="228">
        <v>12.46</v>
      </c>
      <c r="EE55" s="229">
        <v>5.5999999999999999E-3</v>
      </c>
      <c r="EF55" s="230">
        <v>359977</v>
      </c>
      <c r="EG55" s="230">
        <v>601326</v>
      </c>
      <c r="EH55" s="229">
        <v>-0.40139999999999998</v>
      </c>
      <c r="EI55" s="229">
        <v>0.51239999999999997</v>
      </c>
      <c r="EJ55" s="231">
        <v>58773.49</v>
      </c>
      <c r="EK55" s="231">
        <v>29163.66</v>
      </c>
      <c r="EL55" s="231">
        <v>62280.24</v>
      </c>
      <c r="EM55" s="228">
        <v>0</v>
      </c>
      <c r="EN55" s="231">
        <v>150217.39000000001</v>
      </c>
      <c r="EO55" s="231">
        <v>146693.44</v>
      </c>
      <c r="EP55" s="231">
        <v>3523.95</v>
      </c>
      <c r="EQ55" s="229">
        <v>2.4E-2</v>
      </c>
      <c r="ER55" s="231">
        <v>27411</v>
      </c>
      <c r="ES55" s="231">
        <v>22609</v>
      </c>
      <c r="ET55" s="231">
        <v>124673</v>
      </c>
      <c r="EU55" s="231">
        <v>26654592</v>
      </c>
      <c r="EV55" s="231">
        <v>174693</v>
      </c>
      <c r="EW55" s="231">
        <v>231497</v>
      </c>
      <c r="EX55" s="231">
        <v>-56804</v>
      </c>
      <c r="EY55" s="229">
        <v>-0.24540000000000001</v>
      </c>
      <c r="EZ55" s="229">
        <v>0.28810000000000002</v>
      </c>
      <c r="FA55" s="227" t="s">
        <v>556</v>
      </c>
      <c r="FB55" s="161">
        <f t="shared" si="0"/>
        <v>5302800</v>
      </c>
    </row>
    <row r="56" spans="1:158" ht="17.25" thickBot="1" x14ac:dyDescent="0.3">
      <c r="A56" s="226">
        <v>45869</v>
      </c>
      <c r="B56" s="227" t="s">
        <v>215</v>
      </c>
      <c r="C56" s="227" t="s">
        <v>202</v>
      </c>
      <c r="D56" s="228">
        <v>1250</v>
      </c>
      <c r="E56" s="228">
        <v>579.4</v>
      </c>
      <c r="F56" s="228">
        <v>587</v>
      </c>
      <c r="G56" s="228">
        <v>-7.6</v>
      </c>
      <c r="H56" s="229">
        <v>-1.29E-2</v>
      </c>
      <c r="I56" s="228">
        <v>578.20000000000005</v>
      </c>
      <c r="J56" s="228">
        <v>585.15</v>
      </c>
      <c r="K56" s="228">
        <v>-6.95</v>
      </c>
      <c r="L56" s="229">
        <v>-1.1900000000000001E-2</v>
      </c>
      <c r="M56" s="228">
        <v>577.04999999999995</v>
      </c>
      <c r="N56" s="228">
        <v>586.6</v>
      </c>
      <c r="O56" s="228">
        <v>-9.5500000000000007</v>
      </c>
      <c r="P56" s="229">
        <v>-1.6299999999999999E-2</v>
      </c>
      <c r="Q56" s="228">
        <v>579.4</v>
      </c>
      <c r="R56" s="228">
        <v>587</v>
      </c>
      <c r="S56" s="228">
        <v>-7.6</v>
      </c>
      <c r="T56" s="229">
        <v>-1.29E-2</v>
      </c>
      <c r="U56" s="228">
        <v>581.5</v>
      </c>
      <c r="V56" s="228">
        <v>589.9</v>
      </c>
      <c r="W56" s="228">
        <v>-8.4</v>
      </c>
      <c r="X56" s="229">
        <v>-1.4200000000000001E-2</v>
      </c>
      <c r="Y56" s="228">
        <v>1.2</v>
      </c>
      <c r="Z56" s="228">
        <v>1.45</v>
      </c>
      <c r="AA56" s="228">
        <v>-0.25</v>
      </c>
      <c r="AB56" s="229">
        <v>2.0999999999999999E-3</v>
      </c>
      <c r="AC56" s="228">
        <v>-1.1499999999999999</v>
      </c>
      <c r="AD56" s="228">
        <v>1.45</v>
      </c>
      <c r="AE56" s="228">
        <v>-2.6</v>
      </c>
      <c r="AF56" s="229">
        <v>-2E-3</v>
      </c>
      <c r="AG56" s="228">
        <v>1.2</v>
      </c>
      <c r="AH56" s="228">
        <v>1.85</v>
      </c>
      <c r="AI56" s="228">
        <v>-0.65</v>
      </c>
      <c r="AJ56" s="229">
        <v>2.0999999999999999E-3</v>
      </c>
      <c r="AK56" s="228">
        <v>3.3</v>
      </c>
      <c r="AL56" s="228">
        <v>4.75</v>
      </c>
      <c r="AM56" s="228">
        <v>-1.45</v>
      </c>
      <c r="AN56" s="229">
        <v>5.7000000000000002E-3</v>
      </c>
      <c r="AO56" s="228">
        <v>581.04</v>
      </c>
      <c r="AP56" s="228">
        <v>582.41</v>
      </c>
      <c r="AQ56" s="228">
        <v>0</v>
      </c>
      <c r="AR56" s="230">
        <v>10966250</v>
      </c>
      <c r="AS56" s="230">
        <v>15541250</v>
      </c>
      <c r="AT56" s="230">
        <v>-4575000</v>
      </c>
      <c r="AU56" s="229">
        <v>-0.2944</v>
      </c>
      <c r="AV56" s="230">
        <v>4948750</v>
      </c>
      <c r="AW56" s="230">
        <v>7143750</v>
      </c>
      <c r="AX56" s="230">
        <v>-2195000</v>
      </c>
      <c r="AY56" s="229">
        <v>-0.30730000000000002</v>
      </c>
      <c r="AZ56" s="230">
        <v>5460000</v>
      </c>
      <c r="BA56" s="230">
        <v>8182500</v>
      </c>
      <c r="BB56" s="230">
        <v>-2722500</v>
      </c>
      <c r="BC56" s="229">
        <v>-0.3327</v>
      </c>
      <c r="BD56" s="230">
        <v>557500</v>
      </c>
      <c r="BE56" s="230">
        <v>215000</v>
      </c>
      <c r="BF56" s="230">
        <v>342500</v>
      </c>
      <c r="BG56" s="229">
        <v>1.593</v>
      </c>
      <c r="BH56" s="230">
        <v>3450000</v>
      </c>
      <c r="BI56" s="230">
        <v>5371250</v>
      </c>
      <c r="BJ56" s="230">
        <v>-1921250</v>
      </c>
      <c r="BK56" s="229">
        <v>-0.35770000000000002</v>
      </c>
      <c r="BL56" s="230">
        <v>3008750</v>
      </c>
      <c r="BM56" s="230">
        <v>3320000</v>
      </c>
      <c r="BN56" s="230">
        <v>-311250</v>
      </c>
      <c r="BO56" s="229">
        <v>-9.3799999999999994E-2</v>
      </c>
      <c r="BP56" s="230">
        <v>17425000</v>
      </c>
      <c r="BQ56" s="230">
        <v>24232500</v>
      </c>
      <c r="BR56" s="230">
        <v>-6807500</v>
      </c>
      <c r="BS56" s="229">
        <v>-0.28089999999999998</v>
      </c>
      <c r="BT56" s="230">
        <v>1056691</v>
      </c>
      <c r="BU56" s="230">
        <v>1326506</v>
      </c>
      <c r="BV56" s="230">
        <v>-269815</v>
      </c>
      <c r="BW56" s="229">
        <v>-0.2034</v>
      </c>
      <c r="BX56" s="230">
        <v>19470000</v>
      </c>
      <c r="BY56" s="230">
        <v>21493750</v>
      </c>
      <c r="BZ56" s="230">
        <v>-2023750</v>
      </c>
      <c r="CA56" s="229">
        <v>-9.4200000000000006E-2</v>
      </c>
      <c r="CB56" s="230">
        <v>1306250</v>
      </c>
      <c r="CC56" s="230">
        <v>3365000</v>
      </c>
      <c r="CD56" s="230">
        <v>-2058750</v>
      </c>
      <c r="CE56" s="229">
        <v>-0.61180000000000001</v>
      </c>
      <c r="CF56" s="230">
        <v>18690000</v>
      </c>
      <c r="CG56" s="230">
        <v>17490000</v>
      </c>
      <c r="CH56" s="230">
        <v>1200000</v>
      </c>
      <c r="CI56" s="229">
        <v>6.8599999999999994E-2</v>
      </c>
      <c r="CJ56" s="230">
        <v>780000</v>
      </c>
      <c r="CK56" s="230">
        <v>638750</v>
      </c>
      <c r="CL56" s="230">
        <v>141250</v>
      </c>
      <c r="CM56" s="229">
        <v>0.22109999999999999</v>
      </c>
      <c r="CN56" s="230">
        <v>3230000</v>
      </c>
      <c r="CO56" s="230">
        <v>8605000</v>
      </c>
      <c r="CP56" s="230">
        <v>-5375000</v>
      </c>
      <c r="CQ56" s="229">
        <v>-0.62460000000000004</v>
      </c>
      <c r="CR56" s="230">
        <v>3041250</v>
      </c>
      <c r="CS56" s="230">
        <v>5878750</v>
      </c>
      <c r="CT56" s="230">
        <v>-2837500</v>
      </c>
      <c r="CU56" s="229">
        <v>-0.48270000000000002</v>
      </c>
      <c r="CV56" s="230">
        <v>25741250</v>
      </c>
      <c r="CW56" s="230">
        <v>35977500</v>
      </c>
      <c r="CX56" s="230">
        <v>-10236250</v>
      </c>
      <c r="CY56" s="229">
        <v>-0.28449999999999998</v>
      </c>
      <c r="CZ56" s="228">
        <v>27.2</v>
      </c>
      <c r="DA56" s="228">
        <v>27.64</v>
      </c>
      <c r="DB56" s="228">
        <v>-0.44</v>
      </c>
      <c r="DC56" s="228">
        <v>-0.44</v>
      </c>
      <c r="DD56" s="228">
        <v>39.049999999999997</v>
      </c>
      <c r="DE56" s="228">
        <v>39.11</v>
      </c>
      <c r="DF56" s="228">
        <v>-11.85</v>
      </c>
      <c r="DG56" s="228">
        <v>-0.06</v>
      </c>
      <c r="DH56" s="228">
        <v>27.32</v>
      </c>
      <c r="DI56" s="228">
        <v>27.38</v>
      </c>
      <c r="DJ56" s="228">
        <v>-0.06</v>
      </c>
      <c r="DK56" s="228">
        <v>-0.06</v>
      </c>
      <c r="DL56" s="228">
        <v>27.07</v>
      </c>
      <c r="DM56" s="228">
        <v>27.96</v>
      </c>
      <c r="DN56" s="228">
        <v>-0.89</v>
      </c>
      <c r="DO56" s="228">
        <v>-0.89</v>
      </c>
      <c r="DP56" s="228">
        <v>0.94</v>
      </c>
      <c r="DQ56" s="228">
        <v>0.68</v>
      </c>
      <c r="DR56" s="228">
        <v>0.26</v>
      </c>
      <c r="DS56" s="229">
        <v>0.38240000000000002</v>
      </c>
      <c r="DT56" s="228">
        <v>600</v>
      </c>
      <c r="DU56" s="228">
        <v>600</v>
      </c>
      <c r="DV56" s="228">
        <v>0.87</v>
      </c>
      <c r="DW56" s="228">
        <v>0.62</v>
      </c>
      <c r="DX56" s="228">
        <v>0.25</v>
      </c>
      <c r="DY56" s="229">
        <v>0.4032</v>
      </c>
      <c r="DZ56" s="229">
        <v>0.93710000000000004</v>
      </c>
      <c r="EA56" s="230">
        <v>18128750</v>
      </c>
      <c r="EB56" s="229">
        <v>4.1000000000000003E-3</v>
      </c>
      <c r="EC56" s="229">
        <v>0.93710000000000004</v>
      </c>
      <c r="ED56" s="228">
        <v>1.37</v>
      </c>
      <c r="EE56" s="229">
        <v>2.3999999999999998E-3</v>
      </c>
      <c r="EF56" s="230">
        <v>541721</v>
      </c>
      <c r="EG56" s="230">
        <v>824368</v>
      </c>
      <c r="EH56" s="229">
        <v>-0.34289999999999998</v>
      </c>
      <c r="EI56" s="229">
        <v>0.51270000000000004</v>
      </c>
      <c r="EJ56" s="231">
        <v>21241.74</v>
      </c>
      <c r="EK56" s="231">
        <v>18235.34</v>
      </c>
      <c r="EL56" s="231">
        <v>63814.97</v>
      </c>
      <c r="EM56" s="228">
        <v>0</v>
      </c>
      <c r="EN56" s="231">
        <v>103292.05</v>
      </c>
      <c r="EO56" s="231">
        <v>146234.78</v>
      </c>
      <c r="EP56" s="231">
        <v>-42942.73</v>
      </c>
      <c r="EQ56" s="229">
        <v>-0.29370000000000002</v>
      </c>
      <c r="ER56" s="231">
        <v>20072</v>
      </c>
      <c r="ES56" s="231">
        <v>18224</v>
      </c>
      <c r="ET56" s="231">
        <v>112826</v>
      </c>
      <c r="EU56" s="231">
        <v>68852343</v>
      </c>
      <c r="EV56" s="231">
        <v>151121</v>
      </c>
      <c r="EW56" s="231">
        <v>215461</v>
      </c>
      <c r="EX56" s="231">
        <v>-64340</v>
      </c>
      <c r="EY56" s="229">
        <v>-0.29859999999999998</v>
      </c>
      <c r="EZ56" s="229">
        <v>0.37390000000000001</v>
      </c>
      <c r="FA56" s="227" t="s">
        <v>568</v>
      </c>
      <c r="FB56" s="161">
        <f t="shared" si="0"/>
        <v>18163750</v>
      </c>
    </row>
    <row r="57" spans="1:158" ht="17.25" thickBot="1" x14ac:dyDescent="0.3">
      <c r="A57" s="226">
        <v>45869</v>
      </c>
      <c r="B57" s="227" t="s">
        <v>184</v>
      </c>
      <c r="C57" s="227" t="s">
        <v>523</v>
      </c>
      <c r="D57" s="228">
        <v>1800</v>
      </c>
      <c r="E57" s="228">
        <v>324.85000000000002</v>
      </c>
      <c r="F57" s="228">
        <v>325.55</v>
      </c>
      <c r="G57" s="228">
        <v>-0.7</v>
      </c>
      <c r="H57" s="229">
        <v>-2.2000000000000001E-3</v>
      </c>
      <c r="I57" s="228">
        <v>323</v>
      </c>
      <c r="J57" s="228">
        <v>324.14999999999998</v>
      </c>
      <c r="K57" s="228">
        <v>-1.1499999999999999</v>
      </c>
      <c r="L57" s="229">
        <v>-3.5000000000000001E-3</v>
      </c>
      <c r="M57" s="228">
        <v>323.2</v>
      </c>
      <c r="N57" s="228">
        <v>323.7</v>
      </c>
      <c r="O57" s="228">
        <v>-0.5</v>
      </c>
      <c r="P57" s="229">
        <v>-1.5E-3</v>
      </c>
      <c r="Q57" s="228">
        <v>324.85000000000002</v>
      </c>
      <c r="R57" s="228">
        <v>325.55</v>
      </c>
      <c r="S57" s="228">
        <v>-0.7</v>
      </c>
      <c r="T57" s="229">
        <v>-2.2000000000000001E-3</v>
      </c>
      <c r="U57" s="228">
        <v>326.95</v>
      </c>
      <c r="V57" s="228">
        <v>327.25</v>
      </c>
      <c r="W57" s="228">
        <v>-0.3</v>
      </c>
      <c r="X57" s="229">
        <v>-8.9999999999999998E-4</v>
      </c>
      <c r="Y57" s="228">
        <v>1.85</v>
      </c>
      <c r="Z57" s="228">
        <v>-0.45</v>
      </c>
      <c r="AA57" s="228">
        <v>2.2999999999999998</v>
      </c>
      <c r="AB57" s="229">
        <v>5.7000000000000002E-3</v>
      </c>
      <c r="AC57" s="228">
        <v>0.2</v>
      </c>
      <c r="AD57" s="228">
        <v>-0.45</v>
      </c>
      <c r="AE57" s="228">
        <v>0.65</v>
      </c>
      <c r="AF57" s="229">
        <v>5.9999999999999995E-4</v>
      </c>
      <c r="AG57" s="228">
        <v>1.85</v>
      </c>
      <c r="AH57" s="228">
        <v>1.4</v>
      </c>
      <c r="AI57" s="228">
        <v>0.45</v>
      </c>
      <c r="AJ57" s="229">
        <v>5.7000000000000002E-3</v>
      </c>
      <c r="AK57" s="228">
        <v>3.95</v>
      </c>
      <c r="AL57" s="228">
        <v>3.1</v>
      </c>
      <c r="AM57" s="228">
        <v>0.85</v>
      </c>
      <c r="AN57" s="229">
        <v>1.2200000000000001E-2</v>
      </c>
      <c r="AO57" s="228">
        <v>323.5</v>
      </c>
      <c r="AP57" s="228">
        <v>325.31</v>
      </c>
      <c r="AQ57" s="228">
        <v>0</v>
      </c>
      <c r="AR57" s="230">
        <v>11984400</v>
      </c>
      <c r="AS57" s="230">
        <v>24656400</v>
      </c>
      <c r="AT57" s="230">
        <v>-12672000</v>
      </c>
      <c r="AU57" s="229">
        <v>-0.51390000000000002</v>
      </c>
      <c r="AV57" s="230">
        <v>4638600</v>
      </c>
      <c r="AW57" s="230">
        <v>10107000</v>
      </c>
      <c r="AX57" s="230">
        <v>-5468400</v>
      </c>
      <c r="AY57" s="229">
        <v>-0.54110000000000003</v>
      </c>
      <c r="AZ57" s="230">
        <v>7137000</v>
      </c>
      <c r="BA57" s="230">
        <v>14382000</v>
      </c>
      <c r="BB57" s="230">
        <v>-7245000</v>
      </c>
      <c r="BC57" s="229">
        <v>-0.50380000000000003</v>
      </c>
      <c r="BD57" s="230">
        <v>208800</v>
      </c>
      <c r="BE57" s="230">
        <v>167400</v>
      </c>
      <c r="BF57" s="230">
        <v>41400</v>
      </c>
      <c r="BG57" s="229">
        <v>0.24729999999999999</v>
      </c>
      <c r="BH57" s="230">
        <v>3830400</v>
      </c>
      <c r="BI57" s="230">
        <v>6393600</v>
      </c>
      <c r="BJ57" s="230">
        <v>-2563200</v>
      </c>
      <c r="BK57" s="229">
        <v>-0.40089999999999998</v>
      </c>
      <c r="BL57" s="230">
        <v>3835800</v>
      </c>
      <c r="BM57" s="230">
        <v>4944600</v>
      </c>
      <c r="BN57" s="230">
        <v>-1108800</v>
      </c>
      <c r="BO57" s="229">
        <v>-0.22420000000000001</v>
      </c>
      <c r="BP57" s="230">
        <v>19650600</v>
      </c>
      <c r="BQ57" s="230">
        <v>35994600</v>
      </c>
      <c r="BR57" s="230">
        <v>-16344000</v>
      </c>
      <c r="BS57" s="229">
        <v>-0.4541</v>
      </c>
      <c r="BT57" s="230">
        <v>1592607</v>
      </c>
      <c r="BU57" s="230">
        <v>2181754</v>
      </c>
      <c r="BV57" s="230">
        <v>-589147</v>
      </c>
      <c r="BW57" s="229">
        <v>-0.27</v>
      </c>
      <c r="BX57" s="230">
        <v>39115800</v>
      </c>
      <c r="BY57" s="230">
        <v>40125600</v>
      </c>
      <c r="BZ57" s="230">
        <v>-1009800</v>
      </c>
      <c r="CA57" s="229">
        <v>-2.52E-2</v>
      </c>
      <c r="CB57" s="230">
        <v>698400</v>
      </c>
      <c r="CC57" s="230">
        <v>3423600</v>
      </c>
      <c r="CD57" s="230">
        <v>-2725200</v>
      </c>
      <c r="CE57" s="229">
        <v>-0.79600000000000004</v>
      </c>
      <c r="CF57" s="230">
        <v>38601000</v>
      </c>
      <c r="CG57" s="230">
        <v>36334800</v>
      </c>
      <c r="CH57" s="230">
        <v>2266200</v>
      </c>
      <c r="CI57" s="229">
        <v>6.2399999999999997E-2</v>
      </c>
      <c r="CJ57" s="230">
        <v>514800</v>
      </c>
      <c r="CK57" s="230">
        <v>367200</v>
      </c>
      <c r="CL57" s="230">
        <v>147600</v>
      </c>
      <c r="CM57" s="229">
        <v>0.40200000000000002</v>
      </c>
      <c r="CN57" s="230">
        <v>2388600</v>
      </c>
      <c r="CO57" s="230">
        <v>7480800</v>
      </c>
      <c r="CP57" s="230">
        <v>-5092200</v>
      </c>
      <c r="CQ57" s="229">
        <v>-0.68069999999999997</v>
      </c>
      <c r="CR57" s="230">
        <v>2865600</v>
      </c>
      <c r="CS57" s="230">
        <v>4995000</v>
      </c>
      <c r="CT57" s="230">
        <v>-2129400</v>
      </c>
      <c r="CU57" s="229">
        <v>-0.42630000000000001</v>
      </c>
      <c r="CV57" s="230">
        <v>44370000</v>
      </c>
      <c r="CW57" s="230">
        <v>52601400</v>
      </c>
      <c r="CX57" s="230">
        <v>-8231400</v>
      </c>
      <c r="CY57" s="229">
        <v>-0.1565</v>
      </c>
      <c r="CZ57" s="228">
        <v>32.67</v>
      </c>
      <c r="DA57" s="228">
        <v>32.340000000000003</v>
      </c>
      <c r="DB57" s="228">
        <v>0.33</v>
      </c>
      <c r="DC57" s="228">
        <v>0.33</v>
      </c>
      <c r="DD57" s="228">
        <v>35.17</v>
      </c>
      <c r="DE57" s="228">
        <v>35.26</v>
      </c>
      <c r="DF57" s="228">
        <v>-2.5</v>
      </c>
      <c r="DG57" s="228">
        <v>-0.09</v>
      </c>
      <c r="DH57" s="228">
        <v>32.42</v>
      </c>
      <c r="DI57" s="228">
        <v>32.19</v>
      </c>
      <c r="DJ57" s="228">
        <v>0.23</v>
      </c>
      <c r="DK57" s="228">
        <v>0.23</v>
      </c>
      <c r="DL57" s="228">
        <v>32.94</v>
      </c>
      <c r="DM57" s="228">
        <v>32.57</v>
      </c>
      <c r="DN57" s="228">
        <v>0.37</v>
      </c>
      <c r="DO57" s="228">
        <v>0.37</v>
      </c>
      <c r="DP57" s="228">
        <v>1.2</v>
      </c>
      <c r="DQ57" s="228">
        <v>0.67</v>
      </c>
      <c r="DR57" s="228">
        <v>0.53</v>
      </c>
      <c r="DS57" s="229">
        <v>0.79100000000000004</v>
      </c>
      <c r="DT57" s="228">
        <v>360</v>
      </c>
      <c r="DU57" s="228">
        <v>330</v>
      </c>
      <c r="DV57" s="228">
        <v>1</v>
      </c>
      <c r="DW57" s="228">
        <v>0.77</v>
      </c>
      <c r="DX57" s="228">
        <v>0.23</v>
      </c>
      <c r="DY57" s="229">
        <v>0.29870000000000002</v>
      </c>
      <c r="DZ57" s="229">
        <v>0.98250000000000004</v>
      </c>
      <c r="EA57" s="230">
        <v>36702000</v>
      </c>
      <c r="EB57" s="229">
        <v>5.1000000000000004E-3</v>
      </c>
      <c r="EC57" s="229">
        <v>0.98250000000000004</v>
      </c>
      <c r="ED57" s="228">
        <v>1.81</v>
      </c>
      <c r="EE57" s="229">
        <v>5.5999999999999999E-3</v>
      </c>
      <c r="EF57" s="230">
        <v>839916</v>
      </c>
      <c r="EG57" s="230">
        <v>964727</v>
      </c>
      <c r="EH57" s="229">
        <v>-0.12939999999999999</v>
      </c>
      <c r="EI57" s="229">
        <v>0.52739999999999998</v>
      </c>
      <c r="EJ57" s="231">
        <v>13192.3</v>
      </c>
      <c r="EK57" s="231">
        <v>12880.34</v>
      </c>
      <c r="EL57" s="231">
        <v>38907.480000000003</v>
      </c>
      <c r="EM57" s="228">
        <v>0</v>
      </c>
      <c r="EN57" s="231">
        <v>64980.12</v>
      </c>
      <c r="EO57" s="231">
        <v>118417.55</v>
      </c>
      <c r="EP57" s="231">
        <v>-53437.43</v>
      </c>
      <c r="EQ57" s="229">
        <v>-0.45129999999999998</v>
      </c>
      <c r="ER57" s="231">
        <v>8196</v>
      </c>
      <c r="ES57" s="231">
        <v>9329</v>
      </c>
      <c r="ET57" s="231">
        <v>127078</v>
      </c>
      <c r="EU57" s="231">
        <v>128761832</v>
      </c>
      <c r="EV57" s="231">
        <v>144603</v>
      </c>
      <c r="EW57" s="231">
        <v>173496</v>
      </c>
      <c r="EX57" s="231">
        <v>-28893</v>
      </c>
      <c r="EY57" s="229">
        <v>-0.16650000000000001</v>
      </c>
      <c r="EZ57" s="229">
        <v>0.34460000000000002</v>
      </c>
      <c r="FA57" s="227" t="s">
        <v>568</v>
      </c>
      <c r="FB57" s="161">
        <f t="shared" si="0"/>
        <v>38417400</v>
      </c>
    </row>
    <row r="58" spans="1:158" ht="17.25" thickBot="1" x14ac:dyDescent="0.3">
      <c r="A58" s="226">
        <v>45869</v>
      </c>
      <c r="B58" s="227" t="s">
        <v>184</v>
      </c>
      <c r="C58" s="227" t="s">
        <v>203</v>
      </c>
      <c r="D58" s="228">
        <v>200</v>
      </c>
      <c r="E58" s="231">
        <v>3575.6</v>
      </c>
      <c r="F58" s="231">
        <v>3593.2</v>
      </c>
      <c r="G58" s="228">
        <v>-17.600000000000001</v>
      </c>
      <c r="H58" s="229">
        <v>-4.8999999999999998E-3</v>
      </c>
      <c r="I58" s="231">
        <v>3555.5</v>
      </c>
      <c r="J58" s="231">
        <v>3581.9</v>
      </c>
      <c r="K58" s="228">
        <v>-26.4</v>
      </c>
      <c r="L58" s="229">
        <v>-7.4000000000000003E-3</v>
      </c>
      <c r="M58" s="231">
        <v>3552</v>
      </c>
      <c r="N58" s="231">
        <v>3577.5</v>
      </c>
      <c r="O58" s="228">
        <v>-25.5</v>
      </c>
      <c r="P58" s="229">
        <v>-7.1000000000000004E-3</v>
      </c>
      <c r="Q58" s="231">
        <v>3575.6</v>
      </c>
      <c r="R58" s="231">
        <v>3593.2</v>
      </c>
      <c r="S58" s="228">
        <v>-17.600000000000001</v>
      </c>
      <c r="T58" s="229">
        <v>-4.8999999999999998E-3</v>
      </c>
      <c r="U58" s="231">
        <v>3592.1</v>
      </c>
      <c r="V58" s="231">
        <v>3613.7</v>
      </c>
      <c r="W58" s="228">
        <v>-21.6</v>
      </c>
      <c r="X58" s="229">
        <v>-6.0000000000000001E-3</v>
      </c>
      <c r="Y58" s="228">
        <v>20.100000000000001</v>
      </c>
      <c r="Z58" s="228">
        <v>-4.4000000000000004</v>
      </c>
      <c r="AA58" s="228">
        <v>24.5</v>
      </c>
      <c r="AB58" s="229">
        <v>5.7000000000000002E-3</v>
      </c>
      <c r="AC58" s="228">
        <v>-3.5</v>
      </c>
      <c r="AD58" s="228">
        <v>-4.4000000000000004</v>
      </c>
      <c r="AE58" s="228">
        <v>0.9</v>
      </c>
      <c r="AF58" s="229">
        <v>-1E-3</v>
      </c>
      <c r="AG58" s="228">
        <v>20.100000000000001</v>
      </c>
      <c r="AH58" s="228">
        <v>11.3</v>
      </c>
      <c r="AI58" s="228">
        <v>8.8000000000000007</v>
      </c>
      <c r="AJ58" s="229">
        <v>5.7000000000000002E-3</v>
      </c>
      <c r="AK58" s="228">
        <v>36.6</v>
      </c>
      <c r="AL58" s="228">
        <v>31.8</v>
      </c>
      <c r="AM58" s="228">
        <v>4.8</v>
      </c>
      <c r="AN58" s="229">
        <v>1.03E-2</v>
      </c>
      <c r="AO58" s="231">
        <v>3549.51</v>
      </c>
      <c r="AP58" s="231">
        <v>3568.69</v>
      </c>
      <c r="AQ58" s="228">
        <v>0</v>
      </c>
      <c r="AR58" s="230">
        <v>1922800</v>
      </c>
      <c r="AS58" s="230">
        <v>2028600</v>
      </c>
      <c r="AT58" s="230">
        <v>-105800</v>
      </c>
      <c r="AU58" s="229">
        <v>-5.2200000000000003E-2</v>
      </c>
      <c r="AV58" s="230">
        <v>694000</v>
      </c>
      <c r="AW58" s="230">
        <v>861600</v>
      </c>
      <c r="AX58" s="230">
        <v>-167600</v>
      </c>
      <c r="AY58" s="229">
        <v>-0.19450000000000001</v>
      </c>
      <c r="AZ58" s="230">
        <v>1220400</v>
      </c>
      <c r="BA58" s="230">
        <v>1160200</v>
      </c>
      <c r="BB58" s="230">
        <v>60200</v>
      </c>
      <c r="BC58" s="229">
        <v>5.1900000000000002E-2</v>
      </c>
      <c r="BD58" s="230">
        <v>8400</v>
      </c>
      <c r="BE58" s="230">
        <v>6800</v>
      </c>
      <c r="BF58" s="230">
        <v>1600</v>
      </c>
      <c r="BG58" s="229">
        <v>0.23530000000000001</v>
      </c>
      <c r="BH58" s="230">
        <v>779200</v>
      </c>
      <c r="BI58" s="230">
        <v>1015000</v>
      </c>
      <c r="BJ58" s="230">
        <v>-235800</v>
      </c>
      <c r="BK58" s="229">
        <v>-0.23230000000000001</v>
      </c>
      <c r="BL58" s="230">
        <v>574600</v>
      </c>
      <c r="BM58" s="230">
        <v>522200</v>
      </c>
      <c r="BN58" s="230">
        <v>52400</v>
      </c>
      <c r="BO58" s="229">
        <v>0.1003</v>
      </c>
      <c r="BP58" s="230">
        <v>3276600</v>
      </c>
      <c r="BQ58" s="230">
        <v>3565800</v>
      </c>
      <c r="BR58" s="230">
        <v>-289200</v>
      </c>
      <c r="BS58" s="229">
        <v>-8.1100000000000005E-2</v>
      </c>
      <c r="BT58" s="230">
        <v>623346</v>
      </c>
      <c r="BU58" s="230">
        <v>506173</v>
      </c>
      <c r="BV58" s="230">
        <v>117173</v>
      </c>
      <c r="BW58" s="229">
        <v>0.23150000000000001</v>
      </c>
      <c r="BX58" s="230">
        <v>3363400</v>
      </c>
      <c r="BY58" s="230">
        <v>3622600</v>
      </c>
      <c r="BZ58" s="230">
        <v>-259200</v>
      </c>
      <c r="CA58" s="229">
        <v>-7.1599999999999997E-2</v>
      </c>
      <c r="CB58" s="230">
        <v>179000</v>
      </c>
      <c r="CC58" s="230">
        <v>457600</v>
      </c>
      <c r="CD58" s="230">
        <v>-278600</v>
      </c>
      <c r="CE58" s="229">
        <v>-0.60880000000000001</v>
      </c>
      <c r="CF58" s="230">
        <v>3349000</v>
      </c>
      <c r="CG58" s="230">
        <v>3154400</v>
      </c>
      <c r="CH58" s="230">
        <v>194600</v>
      </c>
      <c r="CI58" s="229">
        <v>6.1699999999999998E-2</v>
      </c>
      <c r="CJ58" s="230">
        <v>14400</v>
      </c>
      <c r="CK58" s="230">
        <v>10600</v>
      </c>
      <c r="CL58" s="230">
        <v>3800</v>
      </c>
      <c r="CM58" s="229">
        <v>0.35849999999999999</v>
      </c>
      <c r="CN58" s="230">
        <v>168000</v>
      </c>
      <c r="CO58" s="230">
        <v>622200</v>
      </c>
      <c r="CP58" s="230">
        <v>-454200</v>
      </c>
      <c r="CQ58" s="229">
        <v>-0.73</v>
      </c>
      <c r="CR58" s="230">
        <v>178600</v>
      </c>
      <c r="CS58" s="230">
        <v>568400</v>
      </c>
      <c r="CT58" s="230">
        <v>-389800</v>
      </c>
      <c r="CU58" s="229">
        <v>-0.68579999999999997</v>
      </c>
      <c r="CV58" s="230">
        <v>3710000</v>
      </c>
      <c r="CW58" s="230">
        <v>4813200</v>
      </c>
      <c r="CX58" s="230">
        <v>-1103200</v>
      </c>
      <c r="CY58" s="229">
        <v>-0.22919999999999999</v>
      </c>
      <c r="CZ58" s="228">
        <v>32.28</v>
      </c>
      <c r="DA58" s="228">
        <v>31.33</v>
      </c>
      <c r="DB58" s="228">
        <v>0.95</v>
      </c>
      <c r="DC58" s="228">
        <v>0.95</v>
      </c>
      <c r="DD58" s="228">
        <v>38.29</v>
      </c>
      <c r="DE58" s="228">
        <v>38.369999999999997</v>
      </c>
      <c r="DF58" s="228">
        <v>-6.01</v>
      </c>
      <c r="DG58" s="228">
        <v>-0.08</v>
      </c>
      <c r="DH58" s="228">
        <v>31.81</v>
      </c>
      <c r="DI58" s="228">
        <v>31.08</v>
      </c>
      <c r="DJ58" s="228">
        <v>0.73</v>
      </c>
      <c r="DK58" s="228">
        <v>0.73</v>
      </c>
      <c r="DL58" s="228">
        <v>33.07</v>
      </c>
      <c r="DM58" s="228">
        <v>31.83</v>
      </c>
      <c r="DN58" s="228">
        <v>1.24</v>
      </c>
      <c r="DO58" s="228">
        <v>1.24</v>
      </c>
      <c r="DP58" s="228">
        <v>1.06</v>
      </c>
      <c r="DQ58" s="228">
        <v>0.91</v>
      </c>
      <c r="DR58" s="228">
        <v>0.15</v>
      </c>
      <c r="DS58" s="229">
        <v>0.1648</v>
      </c>
      <c r="DT58" s="231">
        <v>3900</v>
      </c>
      <c r="DU58" s="231">
        <v>3300</v>
      </c>
      <c r="DV58" s="228">
        <v>0.74</v>
      </c>
      <c r="DW58" s="228">
        <v>0.51</v>
      </c>
      <c r="DX58" s="228">
        <v>0.23</v>
      </c>
      <c r="DY58" s="229">
        <v>0.45100000000000001</v>
      </c>
      <c r="DZ58" s="229">
        <v>0.94950000000000001</v>
      </c>
      <c r="EA58" s="230">
        <v>3165000</v>
      </c>
      <c r="EB58" s="229">
        <v>6.6E-3</v>
      </c>
      <c r="EC58" s="229">
        <v>0.94950000000000001</v>
      </c>
      <c r="ED58" s="228">
        <v>19.18</v>
      </c>
      <c r="EE58" s="229">
        <v>5.4000000000000003E-3</v>
      </c>
      <c r="EF58" s="230">
        <v>270829</v>
      </c>
      <c r="EG58" s="230">
        <v>333205</v>
      </c>
      <c r="EH58" s="229">
        <v>-0.18720000000000001</v>
      </c>
      <c r="EI58" s="229">
        <v>0.4345</v>
      </c>
      <c r="EJ58" s="231">
        <v>28823.58</v>
      </c>
      <c r="EK58" s="231">
        <v>19961.91</v>
      </c>
      <c r="EL58" s="231">
        <v>68487.789999999994</v>
      </c>
      <c r="EM58" s="228">
        <v>0</v>
      </c>
      <c r="EN58" s="231">
        <v>117273.28</v>
      </c>
      <c r="EO58" s="231">
        <v>127381.34</v>
      </c>
      <c r="EP58" s="231">
        <v>-10108.06</v>
      </c>
      <c r="EQ58" s="229">
        <v>-7.9399999999999998E-2</v>
      </c>
      <c r="ER58" s="231">
        <v>6231</v>
      </c>
      <c r="ES58" s="231">
        <v>6042</v>
      </c>
      <c r="ET58" s="231">
        <v>120264</v>
      </c>
      <c r="EU58" s="231">
        <v>27165600</v>
      </c>
      <c r="EV58" s="231">
        <v>132537</v>
      </c>
      <c r="EW58" s="231">
        <v>171377</v>
      </c>
      <c r="EX58" s="231">
        <v>-38840</v>
      </c>
      <c r="EY58" s="229">
        <v>-0.2266</v>
      </c>
      <c r="EZ58" s="229">
        <v>0.1366</v>
      </c>
      <c r="FA58" s="227" t="s">
        <v>568</v>
      </c>
      <c r="FB58" s="161">
        <f t="shared" si="0"/>
        <v>3184400</v>
      </c>
    </row>
    <row r="59" spans="1:158" ht="17.25" thickBot="1" x14ac:dyDescent="0.3">
      <c r="A59" s="226">
        <v>45869</v>
      </c>
      <c r="B59" s="227" t="s">
        <v>221</v>
      </c>
      <c r="C59" s="227" t="s">
        <v>573</v>
      </c>
      <c r="D59" s="228">
        <v>425</v>
      </c>
      <c r="E59" s="231">
        <v>1212.2</v>
      </c>
      <c r="F59" s="231">
        <v>1229.5</v>
      </c>
      <c r="G59" s="228">
        <v>-17.3</v>
      </c>
      <c r="H59" s="229">
        <v>-1.41E-2</v>
      </c>
      <c r="I59" s="231">
        <v>1205.5999999999999</v>
      </c>
      <c r="J59" s="231">
        <v>1224.3</v>
      </c>
      <c r="K59" s="228">
        <v>-18.7</v>
      </c>
      <c r="L59" s="229">
        <v>-1.5299999999999999E-2</v>
      </c>
      <c r="M59" s="231">
        <v>1207.3</v>
      </c>
      <c r="N59" s="231">
        <v>1222.8</v>
      </c>
      <c r="O59" s="228">
        <v>-15.5</v>
      </c>
      <c r="P59" s="229">
        <v>-1.2699999999999999E-2</v>
      </c>
      <c r="Q59" s="231">
        <v>1212.2</v>
      </c>
      <c r="R59" s="231">
        <v>1229.5</v>
      </c>
      <c r="S59" s="228">
        <v>-17.3</v>
      </c>
      <c r="T59" s="229">
        <v>-1.41E-2</v>
      </c>
      <c r="U59" s="231">
        <v>1219</v>
      </c>
      <c r="V59" s="231">
        <v>1238</v>
      </c>
      <c r="W59" s="228">
        <v>-19</v>
      </c>
      <c r="X59" s="229">
        <v>-1.5299999999999999E-2</v>
      </c>
      <c r="Y59" s="228">
        <v>6.6</v>
      </c>
      <c r="Z59" s="228">
        <v>-1.5</v>
      </c>
      <c r="AA59" s="228">
        <v>8.1</v>
      </c>
      <c r="AB59" s="229">
        <v>5.4999999999999997E-3</v>
      </c>
      <c r="AC59" s="228">
        <v>1.7</v>
      </c>
      <c r="AD59" s="228">
        <v>-1.5</v>
      </c>
      <c r="AE59" s="228">
        <v>3.2</v>
      </c>
      <c r="AF59" s="229">
        <v>1.4E-3</v>
      </c>
      <c r="AG59" s="228">
        <v>6.6</v>
      </c>
      <c r="AH59" s="228">
        <v>5.2</v>
      </c>
      <c r="AI59" s="228">
        <v>1.4</v>
      </c>
      <c r="AJ59" s="229">
        <v>5.4999999999999997E-3</v>
      </c>
      <c r="AK59" s="228">
        <v>13.4</v>
      </c>
      <c r="AL59" s="228">
        <v>13.7</v>
      </c>
      <c r="AM59" s="228">
        <v>-0.3</v>
      </c>
      <c r="AN59" s="229">
        <v>1.11E-2</v>
      </c>
      <c r="AO59" s="231">
        <v>1212.45</v>
      </c>
      <c r="AP59" s="231">
        <v>1218.8800000000001</v>
      </c>
      <c r="AQ59" s="228">
        <v>0</v>
      </c>
      <c r="AR59" s="230">
        <v>1959675</v>
      </c>
      <c r="AS59" s="230">
        <v>1805825</v>
      </c>
      <c r="AT59" s="230">
        <v>153850</v>
      </c>
      <c r="AU59" s="229">
        <v>8.5199999999999998E-2</v>
      </c>
      <c r="AV59" s="230">
        <v>903550</v>
      </c>
      <c r="AW59" s="230">
        <v>840650</v>
      </c>
      <c r="AX59" s="230">
        <v>62900</v>
      </c>
      <c r="AY59" s="229">
        <v>7.4800000000000005E-2</v>
      </c>
      <c r="AZ59" s="230">
        <v>1034875</v>
      </c>
      <c r="BA59" s="230">
        <v>957100</v>
      </c>
      <c r="BB59" s="230">
        <v>77775</v>
      </c>
      <c r="BC59" s="229">
        <v>8.1299999999999997E-2</v>
      </c>
      <c r="BD59" s="230">
        <v>21250</v>
      </c>
      <c r="BE59" s="230">
        <v>8075</v>
      </c>
      <c r="BF59" s="230">
        <v>13175</v>
      </c>
      <c r="BG59" s="229">
        <v>1.6315999999999999</v>
      </c>
      <c r="BH59" s="230">
        <v>1238025</v>
      </c>
      <c r="BI59" s="230">
        <v>1289025</v>
      </c>
      <c r="BJ59" s="230">
        <v>-51000</v>
      </c>
      <c r="BK59" s="229">
        <v>-3.9600000000000003E-2</v>
      </c>
      <c r="BL59" s="230">
        <v>1016600</v>
      </c>
      <c r="BM59" s="230">
        <v>373150</v>
      </c>
      <c r="BN59" s="230">
        <v>643450</v>
      </c>
      <c r="BO59" s="229">
        <v>1.7243999999999999</v>
      </c>
      <c r="BP59" s="230">
        <v>4214300</v>
      </c>
      <c r="BQ59" s="230">
        <v>3468000</v>
      </c>
      <c r="BR59" s="230">
        <v>746300</v>
      </c>
      <c r="BS59" s="229">
        <v>0.2152</v>
      </c>
      <c r="BT59" s="230">
        <v>382168</v>
      </c>
      <c r="BU59" s="230">
        <v>390406</v>
      </c>
      <c r="BV59" s="230">
        <v>-8238</v>
      </c>
      <c r="BW59" s="229">
        <v>-2.1100000000000001E-2</v>
      </c>
      <c r="BX59" s="230">
        <v>2838150</v>
      </c>
      <c r="BY59" s="230">
        <v>3037900</v>
      </c>
      <c r="BZ59" s="230">
        <v>-199750</v>
      </c>
      <c r="CA59" s="229">
        <v>-6.5799999999999997E-2</v>
      </c>
      <c r="CB59" s="230">
        <v>142375</v>
      </c>
      <c r="CC59" s="230">
        <v>661725</v>
      </c>
      <c r="CD59" s="230">
        <v>-519350</v>
      </c>
      <c r="CE59" s="229">
        <v>-0.78480000000000005</v>
      </c>
      <c r="CF59" s="230">
        <v>2767600</v>
      </c>
      <c r="CG59" s="230">
        <v>2312425</v>
      </c>
      <c r="CH59" s="230">
        <v>455175</v>
      </c>
      <c r="CI59" s="229">
        <v>0.1968</v>
      </c>
      <c r="CJ59" s="230">
        <v>70550</v>
      </c>
      <c r="CK59" s="230">
        <v>63750</v>
      </c>
      <c r="CL59" s="230">
        <v>6800</v>
      </c>
      <c r="CM59" s="229">
        <v>0.1067</v>
      </c>
      <c r="CN59" s="230">
        <v>373575</v>
      </c>
      <c r="CO59" s="230">
        <v>1422475</v>
      </c>
      <c r="CP59" s="230">
        <v>-1048900</v>
      </c>
      <c r="CQ59" s="229">
        <v>-0.73740000000000006</v>
      </c>
      <c r="CR59" s="230">
        <v>399075</v>
      </c>
      <c r="CS59" s="230">
        <v>988125</v>
      </c>
      <c r="CT59" s="230">
        <v>-589050</v>
      </c>
      <c r="CU59" s="229">
        <v>-0.59609999999999996</v>
      </c>
      <c r="CV59" s="230">
        <v>3610800</v>
      </c>
      <c r="CW59" s="230">
        <v>5448500</v>
      </c>
      <c r="CX59" s="230">
        <v>-1837700</v>
      </c>
      <c r="CY59" s="229">
        <v>-0.33729999999999999</v>
      </c>
      <c r="CZ59" s="228">
        <v>31.33</v>
      </c>
      <c r="DA59" s="228">
        <v>31.61</v>
      </c>
      <c r="DB59" s="228">
        <v>-0.28000000000000003</v>
      </c>
      <c r="DC59" s="228">
        <v>-0.28000000000000003</v>
      </c>
      <c r="DD59" s="228">
        <v>47.33</v>
      </c>
      <c r="DE59" s="228">
        <v>47.41</v>
      </c>
      <c r="DF59" s="228">
        <v>-16</v>
      </c>
      <c r="DG59" s="228">
        <v>-0.08</v>
      </c>
      <c r="DH59" s="228">
        <v>32.28</v>
      </c>
      <c r="DI59" s="228">
        <v>31.87</v>
      </c>
      <c r="DJ59" s="228">
        <v>0.41</v>
      </c>
      <c r="DK59" s="228">
        <v>0.41</v>
      </c>
      <c r="DL59" s="228">
        <v>30.41</v>
      </c>
      <c r="DM59" s="228">
        <v>31.19</v>
      </c>
      <c r="DN59" s="228">
        <v>-0.78</v>
      </c>
      <c r="DO59" s="228">
        <v>-0.78</v>
      </c>
      <c r="DP59" s="228">
        <v>1.07</v>
      </c>
      <c r="DQ59" s="228">
        <v>0.69</v>
      </c>
      <c r="DR59" s="228">
        <v>0.38</v>
      </c>
      <c r="DS59" s="229">
        <v>0.55069999999999997</v>
      </c>
      <c r="DT59" s="231">
        <v>1300</v>
      </c>
      <c r="DU59" s="231">
        <v>1200</v>
      </c>
      <c r="DV59" s="228">
        <v>0.82</v>
      </c>
      <c r="DW59" s="228">
        <v>0.28999999999999998</v>
      </c>
      <c r="DX59" s="228">
        <v>0.53</v>
      </c>
      <c r="DY59" s="229">
        <v>1.8275999999999999</v>
      </c>
      <c r="DZ59" s="229">
        <v>0.95220000000000005</v>
      </c>
      <c r="EA59" s="230">
        <v>2376175</v>
      </c>
      <c r="EB59" s="229">
        <v>4.1000000000000003E-3</v>
      </c>
      <c r="EC59" s="229">
        <v>0.95220000000000005</v>
      </c>
      <c r="ED59" s="228">
        <v>6.43</v>
      </c>
      <c r="EE59" s="229">
        <v>5.3E-3</v>
      </c>
      <c r="EF59" s="230">
        <v>185839</v>
      </c>
      <c r="EG59" s="230">
        <v>248093</v>
      </c>
      <c r="EH59" s="229">
        <v>-0.25090000000000001</v>
      </c>
      <c r="EI59" s="229">
        <v>0.48630000000000001</v>
      </c>
      <c r="EJ59" s="231">
        <v>16155.91</v>
      </c>
      <c r="EK59" s="231">
        <v>12446.22</v>
      </c>
      <c r="EL59" s="231">
        <v>23828.87</v>
      </c>
      <c r="EM59" s="228">
        <v>0</v>
      </c>
      <c r="EN59" s="231">
        <v>52431</v>
      </c>
      <c r="EO59" s="231">
        <v>43387.43</v>
      </c>
      <c r="EP59" s="231">
        <v>9043.57</v>
      </c>
      <c r="EQ59" s="229">
        <v>0.2084</v>
      </c>
      <c r="ER59" s="231">
        <v>4835</v>
      </c>
      <c r="ES59" s="231">
        <v>4829</v>
      </c>
      <c r="ET59" s="231">
        <v>34409</v>
      </c>
      <c r="EU59" s="231">
        <v>16859165</v>
      </c>
      <c r="EV59" s="231">
        <v>44073</v>
      </c>
      <c r="EW59" s="231">
        <v>68269</v>
      </c>
      <c r="EX59" s="231">
        <v>-24196</v>
      </c>
      <c r="EY59" s="229">
        <v>-0.35439999999999999</v>
      </c>
      <c r="EZ59" s="229">
        <v>0.2142</v>
      </c>
      <c r="FA59" s="227" t="s">
        <v>568</v>
      </c>
      <c r="FB59" s="161">
        <f t="shared" si="0"/>
        <v>2695775</v>
      </c>
    </row>
    <row r="60" spans="1:158" ht="17.25" thickBot="1" x14ac:dyDescent="0.3">
      <c r="A60" s="226">
        <v>45869</v>
      </c>
      <c r="B60" s="227" t="s">
        <v>168</v>
      </c>
      <c r="C60" s="227" t="s">
        <v>204</v>
      </c>
      <c r="D60" s="228">
        <v>1250</v>
      </c>
      <c r="E60" s="228">
        <v>531.35</v>
      </c>
      <c r="F60" s="228">
        <v>521.70000000000005</v>
      </c>
      <c r="G60" s="228">
        <v>9.65</v>
      </c>
      <c r="H60" s="229">
        <v>1.8499999999999999E-2</v>
      </c>
      <c r="I60" s="228">
        <v>529</v>
      </c>
      <c r="J60" s="228">
        <v>522</v>
      </c>
      <c r="K60" s="228">
        <v>7</v>
      </c>
      <c r="L60" s="229">
        <v>1.34E-2</v>
      </c>
      <c r="M60" s="228">
        <v>528.9</v>
      </c>
      <c r="N60" s="228">
        <v>520.85</v>
      </c>
      <c r="O60" s="228">
        <v>8.0500000000000007</v>
      </c>
      <c r="P60" s="229">
        <v>1.55E-2</v>
      </c>
      <c r="Q60" s="228">
        <v>531.35</v>
      </c>
      <c r="R60" s="228">
        <v>521.70000000000005</v>
      </c>
      <c r="S60" s="228">
        <v>9.65</v>
      </c>
      <c r="T60" s="229">
        <v>1.8499999999999999E-2</v>
      </c>
      <c r="U60" s="228">
        <v>533.65</v>
      </c>
      <c r="V60" s="228">
        <v>524</v>
      </c>
      <c r="W60" s="228">
        <v>9.65</v>
      </c>
      <c r="X60" s="229">
        <v>1.84E-2</v>
      </c>
      <c r="Y60" s="228">
        <v>2.35</v>
      </c>
      <c r="Z60" s="228">
        <v>-1.1499999999999999</v>
      </c>
      <c r="AA60" s="228">
        <v>3.5</v>
      </c>
      <c r="AB60" s="229">
        <v>4.4000000000000003E-3</v>
      </c>
      <c r="AC60" s="228">
        <v>-0.1</v>
      </c>
      <c r="AD60" s="228">
        <v>-1.1499999999999999</v>
      </c>
      <c r="AE60" s="228">
        <v>1.05</v>
      </c>
      <c r="AF60" s="229">
        <v>-2.0000000000000001E-4</v>
      </c>
      <c r="AG60" s="228">
        <v>2.35</v>
      </c>
      <c r="AH60" s="228">
        <v>-0.3</v>
      </c>
      <c r="AI60" s="228">
        <v>2.65</v>
      </c>
      <c r="AJ60" s="229">
        <v>4.4000000000000003E-3</v>
      </c>
      <c r="AK60" s="228">
        <v>4.6500000000000004</v>
      </c>
      <c r="AL60" s="228">
        <v>2</v>
      </c>
      <c r="AM60" s="228">
        <v>2.65</v>
      </c>
      <c r="AN60" s="229">
        <v>8.8000000000000005E-3</v>
      </c>
      <c r="AO60" s="228">
        <v>527.29</v>
      </c>
      <c r="AP60" s="228">
        <v>529.4</v>
      </c>
      <c r="AQ60" s="228">
        <v>0</v>
      </c>
      <c r="AR60" s="230">
        <v>11350000</v>
      </c>
      <c r="AS60" s="230">
        <v>11426250</v>
      </c>
      <c r="AT60" s="230">
        <v>-76250</v>
      </c>
      <c r="AU60" s="229">
        <v>-6.7000000000000002E-3</v>
      </c>
      <c r="AV60" s="230">
        <v>3542500</v>
      </c>
      <c r="AW60" s="230">
        <v>5475000</v>
      </c>
      <c r="AX60" s="230">
        <v>-1932500</v>
      </c>
      <c r="AY60" s="229">
        <v>-0.35299999999999998</v>
      </c>
      <c r="AZ60" s="230">
        <v>7685000</v>
      </c>
      <c r="BA60" s="230">
        <v>5878750</v>
      </c>
      <c r="BB60" s="230">
        <v>1806250</v>
      </c>
      <c r="BC60" s="229">
        <v>0.30730000000000002</v>
      </c>
      <c r="BD60" s="230">
        <v>122500</v>
      </c>
      <c r="BE60" s="230">
        <v>72500</v>
      </c>
      <c r="BF60" s="230">
        <v>50000</v>
      </c>
      <c r="BG60" s="229">
        <v>0.68969999999999998</v>
      </c>
      <c r="BH60" s="230">
        <v>27936250</v>
      </c>
      <c r="BI60" s="230">
        <v>7411250</v>
      </c>
      <c r="BJ60" s="230">
        <v>20525000</v>
      </c>
      <c r="BK60" s="229">
        <v>2.7694000000000001</v>
      </c>
      <c r="BL60" s="230">
        <v>12781250</v>
      </c>
      <c r="BM60" s="230">
        <v>5373750</v>
      </c>
      <c r="BN60" s="230">
        <v>7407500</v>
      </c>
      <c r="BO60" s="229">
        <v>1.3785000000000001</v>
      </c>
      <c r="BP60" s="230">
        <v>52067500</v>
      </c>
      <c r="BQ60" s="230">
        <v>24211250</v>
      </c>
      <c r="BR60" s="230">
        <v>27856250</v>
      </c>
      <c r="BS60" s="229">
        <v>1.1505000000000001</v>
      </c>
      <c r="BT60" s="230">
        <v>3124722</v>
      </c>
      <c r="BU60" s="230">
        <v>1639925</v>
      </c>
      <c r="BV60" s="230">
        <v>1484797</v>
      </c>
      <c r="BW60" s="229">
        <v>0.90539999999999998</v>
      </c>
      <c r="BX60" s="230">
        <v>16286250</v>
      </c>
      <c r="BY60" s="230">
        <v>18068750</v>
      </c>
      <c r="BZ60" s="230">
        <v>-1782500</v>
      </c>
      <c r="CA60" s="229">
        <v>-9.8699999999999996E-2</v>
      </c>
      <c r="CB60" s="230">
        <v>943750</v>
      </c>
      <c r="CC60" s="230">
        <v>1966250</v>
      </c>
      <c r="CD60" s="230">
        <v>-1022500</v>
      </c>
      <c r="CE60" s="229">
        <v>-0.52</v>
      </c>
      <c r="CF60" s="230">
        <v>16073750</v>
      </c>
      <c r="CG60" s="230">
        <v>15907500</v>
      </c>
      <c r="CH60" s="230">
        <v>166250</v>
      </c>
      <c r="CI60" s="229">
        <v>1.0500000000000001E-2</v>
      </c>
      <c r="CJ60" s="230">
        <v>212500</v>
      </c>
      <c r="CK60" s="230">
        <v>195000</v>
      </c>
      <c r="CL60" s="230">
        <v>17500</v>
      </c>
      <c r="CM60" s="229">
        <v>8.9700000000000002E-2</v>
      </c>
      <c r="CN60" s="230">
        <v>5380000</v>
      </c>
      <c r="CO60" s="230">
        <v>12005000</v>
      </c>
      <c r="CP60" s="230">
        <v>-6625000</v>
      </c>
      <c r="CQ60" s="229">
        <v>-0.55189999999999995</v>
      </c>
      <c r="CR60" s="230">
        <v>3442500</v>
      </c>
      <c r="CS60" s="230">
        <v>12431250</v>
      </c>
      <c r="CT60" s="230">
        <v>-8988750</v>
      </c>
      <c r="CU60" s="229">
        <v>-0.72309999999999997</v>
      </c>
      <c r="CV60" s="230">
        <v>25108750</v>
      </c>
      <c r="CW60" s="230">
        <v>42505000</v>
      </c>
      <c r="CX60" s="230">
        <v>-17396250</v>
      </c>
      <c r="CY60" s="229">
        <v>-0.4093</v>
      </c>
      <c r="CZ60" s="228">
        <v>23.64</v>
      </c>
      <c r="DA60" s="228">
        <v>22.78</v>
      </c>
      <c r="DB60" s="228">
        <v>0.86</v>
      </c>
      <c r="DC60" s="228">
        <v>0.86</v>
      </c>
      <c r="DD60" s="228">
        <v>25.09</v>
      </c>
      <c r="DE60" s="228">
        <v>25.09</v>
      </c>
      <c r="DF60" s="228">
        <v>-1.45</v>
      </c>
      <c r="DG60" s="228">
        <v>0</v>
      </c>
      <c r="DH60" s="228">
        <v>23.43</v>
      </c>
      <c r="DI60" s="228">
        <v>22.87</v>
      </c>
      <c r="DJ60" s="228">
        <v>0.56000000000000005</v>
      </c>
      <c r="DK60" s="228">
        <v>0.56000000000000005</v>
      </c>
      <c r="DL60" s="228">
        <v>24.08</v>
      </c>
      <c r="DM60" s="228">
        <v>22.56</v>
      </c>
      <c r="DN60" s="228">
        <v>1.52</v>
      </c>
      <c r="DO60" s="228">
        <v>1.52</v>
      </c>
      <c r="DP60" s="228">
        <v>0.64</v>
      </c>
      <c r="DQ60" s="228">
        <v>1.04</v>
      </c>
      <c r="DR60" s="228">
        <v>-0.4</v>
      </c>
      <c r="DS60" s="229">
        <v>-0.3846</v>
      </c>
      <c r="DT60" s="228">
        <v>550</v>
      </c>
      <c r="DU60" s="228">
        <v>495</v>
      </c>
      <c r="DV60" s="228">
        <v>0.46</v>
      </c>
      <c r="DW60" s="228">
        <v>0.73</v>
      </c>
      <c r="DX60" s="228">
        <v>-0.27</v>
      </c>
      <c r="DY60" s="229">
        <v>-0.36990000000000001</v>
      </c>
      <c r="DZ60" s="229">
        <v>0.94520000000000004</v>
      </c>
      <c r="EA60" s="230">
        <v>16102500</v>
      </c>
      <c r="EB60" s="229">
        <v>4.5999999999999999E-3</v>
      </c>
      <c r="EC60" s="229">
        <v>0.94520000000000004</v>
      </c>
      <c r="ED60" s="228">
        <v>2.11</v>
      </c>
      <c r="EE60" s="229">
        <v>4.0000000000000001E-3</v>
      </c>
      <c r="EF60" s="230">
        <v>1383870</v>
      </c>
      <c r="EG60" s="230">
        <v>1084422</v>
      </c>
      <c r="EH60" s="229">
        <v>0.27610000000000001</v>
      </c>
      <c r="EI60" s="229">
        <v>0.44290000000000002</v>
      </c>
      <c r="EJ60" s="231">
        <v>152494.85999999999</v>
      </c>
      <c r="EK60" s="231">
        <v>66614.14</v>
      </c>
      <c r="EL60" s="231">
        <v>60014.39</v>
      </c>
      <c r="EM60" s="228">
        <v>0</v>
      </c>
      <c r="EN60" s="231">
        <v>279123.39</v>
      </c>
      <c r="EO60" s="231">
        <v>126913.74</v>
      </c>
      <c r="EP60" s="231">
        <v>152209.65</v>
      </c>
      <c r="EQ60" s="229">
        <v>1.1993</v>
      </c>
      <c r="ER60" s="231">
        <v>29336</v>
      </c>
      <c r="ES60" s="231">
        <v>17592</v>
      </c>
      <c r="ET60" s="231">
        <v>86542</v>
      </c>
      <c r="EU60" s="231">
        <v>119554853</v>
      </c>
      <c r="EV60" s="231">
        <v>133470</v>
      </c>
      <c r="EW60" s="231">
        <v>218175</v>
      </c>
      <c r="EX60" s="231">
        <v>-84705</v>
      </c>
      <c r="EY60" s="229">
        <v>-0.38819999999999999</v>
      </c>
      <c r="EZ60" s="229">
        <v>0.21</v>
      </c>
      <c r="FA60" s="227" t="s">
        <v>556</v>
      </c>
      <c r="FB60" s="161">
        <f t="shared" si="0"/>
        <v>15342500</v>
      </c>
    </row>
    <row r="61" spans="1:158" ht="17.25" thickBot="1" x14ac:dyDescent="0.3">
      <c r="A61" s="226">
        <v>45869</v>
      </c>
      <c r="B61" s="227" t="s">
        <v>157</v>
      </c>
      <c r="C61" s="227" t="s">
        <v>524</v>
      </c>
      <c r="D61" s="228">
        <v>325</v>
      </c>
      <c r="E61" s="231">
        <v>2245.9</v>
      </c>
      <c r="F61" s="231">
        <v>2250.1</v>
      </c>
      <c r="G61" s="228">
        <v>-4.2</v>
      </c>
      <c r="H61" s="229">
        <v>-1.9E-3</v>
      </c>
      <c r="I61" s="231">
        <v>2235.5</v>
      </c>
      <c r="J61" s="231">
        <v>2239.5</v>
      </c>
      <c r="K61" s="228">
        <v>-4</v>
      </c>
      <c r="L61" s="229">
        <v>-1.8E-3</v>
      </c>
      <c r="M61" s="231">
        <v>2238.8000000000002</v>
      </c>
      <c r="N61" s="231">
        <v>2238.5</v>
      </c>
      <c r="O61" s="228">
        <v>0.3</v>
      </c>
      <c r="P61" s="229">
        <v>1E-4</v>
      </c>
      <c r="Q61" s="231">
        <v>2245.9</v>
      </c>
      <c r="R61" s="231">
        <v>2250.1</v>
      </c>
      <c r="S61" s="228">
        <v>-4.2</v>
      </c>
      <c r="T61" s="229">
        <v>-1.9E-3</v>
      </c>
      <c r="U61" s="231">
        <v>2261</v>
      </c>
      <c r="V61" s="231">
        <v>2257</v>
      </c>
      <c r="W61" s="228">
        <v>4</v>
      </c>
      <c r="X61" s="229">
        <v>1.8E-3</v>
      </c>
      <c r="Y61" s="228">
        <v>10.4</v>
      </c>
      <c r="Z61" s="228">
        <v>-1</v>
      </c>
      <c r="AA61" s="228">
        <v>11.4</v>
      </c>
      <c r="AB61" s="229">
        <v>4.7000000000000002E-3</v>
      </c>
      <c r="AC61" s="228">
        <v>3.3</v>
      </c>
      <c r="AD61" s="228">
        <v>-1</v>
      </c>
      <c r="AE61" s="228">
        <v>4.3</v>
      </c>
      <c r="AF61" s="229">
        <v>1.5E-3</v>
      </c>
      <c r="AG61" s="228">
        <v>10.4</v>
      </c>
      <c r="AH61" s="228">
        <v>10.6</v>
      </c>
      <c r="AI61" s="228">
        <v>-0.2</v>
      </c>
      <c r="AJ61" s="229">
        <v>4.7000000000000002E-3</v>
      </c>
      <c r="AK61" s="228">
        <v>25.5</v>
      </c>
      <c r="AL61" s="228">
        <v>17.5</v>
      </c>
      <c r="AM61" s="228">
        <v>8</v>
      </c>
      <c r="AN61" s="229">
        <v>1.14E-2</v>
      </c>
      <c r="AO61" s="231">
        <v>2238.48</v>
      </c>
      <c r="AP61" s="231">
        <v>2247.73</v>
      </c>
      <c r="AQ61" s="228">
        <v>0</v>
      </c>
      <c r="AR61" s="230">
        <v>1131975</v>
      </c>
      <c r="AS61" s="230">
        <v>1976975</v>
      </c>
      <c r="AT61" s="230">
        <v>-845000</v>
      </c>
      <c r="AU61" s="229">
        <v>-0.4274</v>
      </c>
      <c r="AV61" s="230">
        <v>472550</v>
      </c>
      <c r="AW61" s="230">
        <v>856700</v>
      </c>
      <c r="AX61" s="230">
        <v>-384150</v>
      </c>
      <c r="AY61" s="229">
        <v>-0.44840000000000002</v>
      </c>
      <c r="AZ61" s="230">
        <v>657475</v>
      </c>
      <c r="BA61" s="230">
        <v>1116700</v>
      </c>
      <c r="BB61" s="230">
        <v>-459225</v>
      </c>
      <c r="BC61" s="229">
        <v>-0.41120000000000001</v>
      </c>
      <c r="BD61" s="230">
        <v>1950</v>
      </c>
      <c r="BE61" s="230">
        <v>3575</v>
      </c>
      <c r="BF61" s="230">
        <v>-1625</v>
      </c>
      <c r="BG61" s="229">
        <v>-0.45450000000000002</v>
      </c>
      <c r="BH61" s="230">
        <v>580450</v>
      </c>
      <c r="BI61" s="230">
        <v>1002625</v>
      </c>
      <c r="BJ61" s="230">
        <v>-422175</v>
      </c>
      <c r="BK61" s="229">
        <v>-0.42109999999999997</v>
      </c>
      <c r="BL61" s="230">
        <v>625950</v>
      </c>
      <c r="BM61" s="230">
        <v>481975</v>
      </c>
      <c r="BN61" s="230">
        <v>143975</v>
      </c>
      <c r="BO61" s="229">
        <v>0.29870000000000002</v>
      </c>
      <c r="BP61" s="230">
        <v>2338375</v>
      </c>
      <c r="BQ61" s="230">
        <v>3461575</v>
      </c>
      <c r="BR61" s="230">
        <v>-1123200</v>
      </c>
      <c r="BS61" s="229">
        <v>-0.32450000000000001</v>
      </c>
      <c r="BT61" s="230">
        <v>216381</v>
      </c>
      <c r="BU61" s="230">
        <v>383419</v>
      </c>
      <c r="BV61" s="230">
        <v>-167038</v>
      </c>
      <c r="BW61" s="229">
        <v>-0.43569999999999998</v>
      </c>
      <c r="BX61" s="230">
        <v>2697825</v>
      </c>
      <c r="BY61" s="230">
        <v>3237650</v>
      </c>
      <c r="BZ61" s="230">
        <v>-539825</v>
      </c>
      <c r="CA61" s="229">
        <v>-0.16669999999999999</v>
      </c>
      <c r="CB61" s="230">
        <v>478400</v>
      </c>
      <c r="CC61" s="230">
        <v>667225</v>
      </c>
      <c r="CD61" s="230">
        <v>-188825</v>
      </c>
      <c r="CE61" s="229">
        <v>-0.28299999999999997</v>
      </c>
      <c r="CF61" s="230">
        <v>2684825</v>
      </c>
      <c r="CG61" s="230">
        <v>2558075</v>
      </c>
      <c r="CH61" s="230">
        <v>126750</v>
      </c>
      <c r="CI61" s="229">
        <v>4.9500000000000002E-2</v>
      </c>
      <c r="CJ61" s="230">
        <v>13000</v>
      </c>
      <c r="CK61" s="230">
        <v>12350</v>
      </c>
      <c r="CL61" s="228">
        <v>650</v>
      </c>
      <c r="CM61" s="229">
        <v>5.2600000000000001E-2</v>
      </c>
      <c r="CN61" s="230">
        <v>164775</v>
      </c>
      <c r="CO61" s="230">
        <v>878150</v>
      </c>
      <c r="CP61" s="230">
        <v>-713375</v>
      </c>
      <c r="CQ61" s="229">
        <v>-0.81240000000000001</v>
      </c>
      <c r="CR61" s="230">
        <v>102700</v>
      </c>
      <c r="CS61" s="230">
        <v>511225</v>
      </c>
      <c r="CT61" s="230">
        <v>-408525</v>
      </c>
      <c r="CU61" s="229">
        <v>-0.79910000000000003</v>
      </c>
      <c r="CV61" s="230">
        <v>2965300</v>
      </c>
      <c r="CW61" s="230">
        <v>4627025</v>
      </c>
      <c r="CX61" s="230">
        <v>-1661725</v>
      </c>
      <c r="CY61" s="229">
        <v>-0.35909999999999997</v>
      </c>
      <c r="CZ61" s="228">
        <v>26.89</v>
      </c>
      <c r="DA61" s="228">
        <v>26.12</v>
      </c>
      <c r="DB61" s="228">
        <v>0.77</v>
      </c>
      <c r="DC61" s="228">
        <v>0.77</v>
      </c>
      <c r="DD61" s="228">
        <v>32.700000000000003</v>
      </c>
      <c r="DE61" s="228">
        <v>32.78</v>
      </c>
      <c r="DF61" s="228">
        <v>-5.81</v>
      </c>
      <c r="DG61" s="228">
        <v>-0.08</v>
      </c>
      <c r="DH61" s="228">
        <v>26.35</v>
      </c>
      <c r="DI61" s="228">
        <v>25.76</v>
      </c>
      <c r="DJ61" s="228">
        <v>0.59</v>
      </c>
      <c r="DK61" s="228">
        <v>0.59</v>
      </c>
      <c r="DL61" s="228">
        <v>27.64</v>
      </c>
      <c r="DM61" s="228">
        <v>26.51</v>
      </c>
      <c r="DN61" s="228">
        <v>1.1299999999999999</v>
      </c>
      <c r="DO61" s="228">
        <v>1.1299999999999999</v>
      </c>
      <c r="DP61" s="228">
        <v>0.62</v>
      </c>
      <c r="DQ61" s="228">
        <v>0.57999999999999996</v>
      </c>
      <c r="DR61" s="228">
        <v>0.04</v>
      </c>
      <c r="DS61" s="229">
        <v>6.9000000000000006E-2</v>
      </c>
      <c r="DT61" s="231">
        <v>2300</v>
      </c>
      <c r="DU61" s="231">
        <v>2220</v>
      </c>
      <c r="DV61" s="228">
        <v>1.08</v>
      </c>
      <c r="DW61" s="228">
        <v>0.48</v>
      </c>
      <c r="DX61" s="228">
        <v>0.6</v>
      </c>
      <c r="DY61" s="229">
        <v>1.25</v>
      </c>
      <c r="DZ61" s="229">
        <v>0.84940000000000004</v>
      </c>
      <c r="EA61" s="230">
        <v>2570425</v>
      </c>
      <c r="EB61" s="229">
        <v>3.2000000000000002E-3</v>
      </c>
      <c r="EC61" s="229">
        <v>0.84940000000000004</v>
      </c>
      <c r="ED61" s="228">
        <v>9.25</v>
      </c>
      <c r="EE61" s="229">
        <v>4.1000000000000003E-3</v>
      </c>
      <c r="EF61" s="230">
        <v>79671</v>
      </c>
      <c r="EG61" s="230">
        <v>229808</v>
      </c>
      <c r="EH61" s="229">
        <v>-0.65329999999999999</v>
      </c>
      <c r="EI61" s="229">
        <v>0.36820000000000003</v>
      </c>
      <c r="EJ61" s="231">
        <v>13458.45</v>
      </c>
      <c r="EK61" s="231">
        <v>13796.41</v>
      </c>
      <c r="EL61" s="231">
        <v>25400.17</v>
      </c>
      <c r="EM61" s="228">
        <v>0</v>
      </c>
      <c r="EN61" s="231">
        <v>52655.03</v>
      </c>
      <c r="EO61" s="231">
        <v>77722.39</v>
      </c>
      <c r="EP61" s="231">
        <v>-25067.360000000001</v>
      </c>
      <c r="EQ61" s="229">
        <v>-0.32250000000000001</v>
      </c>
      <c r="ER61" s="231">
        <v>3769</v>
      </c>
      <c r="ES61" s="231">
        <v>2204</v>
      </c>
      <c r="ET61" s="231">
        <v>60592</v>
      </c>
      <c r="EU61" s="231">
        <v>16566722</v>
      </c>
      <c r="EV61" s="231">
        <v>66566</v>
      </c>
      <c r="EW61" s="231">
        <v>104068</v>
      </c>
      <c r="EX61" s="231">
        <v>-37502</v>
      </c>
      <c r="EY61" s="229">
        <v>-0.3604</v>
      </c>
      <c r="EZ61" s="229">
        <v>0.17899999999999999</v>
      </c>
      <c r="FA61" s="227" t="s">
        <v>568</v>
      </c>
      <c r="FB61" s="161">
        <f t="shared" si="0"/>
        <v>2219425</v>
      </c>
    </row>
    <row r="62" spans="1:158" ht="17.25" thickBot="1" x14ac:dyDescent="0.3">
      <c r="A62" s="226">
        <v>45869</v>
      </c>
      <c r="B62" s="227" t="s">
        <v>616</v>
      </c>
      <c r="C62" s="227" t="s">
        <v>601</v>
      </c>
      <c r="D62" s="228">
        <v>2075</v>
      </c>
      <c r="E62" s="228">
        <v>428.1</v>
      </c>
      <c r="F62" s="228">
        <v>409.5</v>
      </c>
      <c r="G62" s="228">
        <v>18.600000000000001</v>
      </c>
      <c r="H62" s="229">
        <v>4.5400000000000003E-2</v>
      </c>
      <c r="I62" s="228">
        <v>425.25</v>
      </c>
      <c r="J62" s="228">
        <v>409.15</v>
      </c>
      <c r="K62" s="228">
        <v>16.100000000000001</v>
      </c>
      <c r="L62" s="229">
        <v>3.9300000000000002E-2</v>
      </c>
      <c r="M62" s="228">
        <v>426.4</v>
      </c>
      <c r="N62" s="228">
        <v>408.85</v>
      </c>
      <c r="O62" s="228">
        <v>17.55</v>
      </c>
      <c r="P62" s="229">
        <v>4.2900000000000001E-2</v>
      </c>
      <c r="Q62" s="228">
        <v>428.1</v>
      </c>
      <c r="R62" s="228">
        <v>409.5</v>
      </c>
      <c r="S62" s="228">
        <v>18.600000000000001</v>
      </c>
      <c r="T62" s="229">
        <v>4.5400000000000003E-2</v>
      </c>
      <c r="U62" s="228">
        <v>428.9</v>
      </c>
      <c r="V62" s="228">
        <v>410.55</v>
      </c>
      <c r="W62" s="228">
        <v>18.350000000000001</v>
      </c>
      <c r="X62" s="229">
        <v>4.4699999999999997E-2</v>
      </c>
      <c r="Y62" s="228">
        <v>2.85</v>
      </c>
      <c r="Z62" s="228">
        <v>-0.3</v>
      </c>
      <c r="AA62" s="228">
        <v>3.15</v>
      </c>
      <c r="AB62" s="229">
        <v>6.7000000000000002E-3</v>
      </c>
      <c r="AC62" s="228">
        <v>1.1499999999999999</v>
      </c>
      <c r="AD62" s="228">
        <v>-0.3</v>
      </c>
      <c r="AE62" s="228">
        <v>1.45</v>
      </c>
      <c r="AF62" s="229">
        <v>2.7000000000000001E-3</v>
      </c>
      <c r="AG62" s="228">
        <v>2.85</v>
      </c>
      <c r="AH62" s="228">
        <v>0.35</v>
      </c>
      <c r="AI62" s="228">
        <v>2.5</v>
      </c>
      <c r="AJ62" s="229">
        <v>6.7000000000000002E-3</v>
      </c>
      <c r="AK62" s="228">
        <v>3.65</v>
      </c>
      <c r="AL62" s="228">
        <v>1.4</v>
      </c>
      <c r="AM62" s="228">
        <v>2.25</v>
      </c>
      <c r="AN62" s="229">
        <v>8.6E-3</v>
      </c>
      <c r="AO62" s="228">
        <v>420.35</v>
      </c>
      <c r="AP62" s="228">
        <v>422.23</v>
      </c>
      <c r="AQ62" s="228">
        <v>0</v>
      </c>
      <c r="AR62" s="230">
        <v>23310550</v>
      </c>
      <c r="AS62" s="230">
        <v>15155800</v>
      </c>
      <c r="AT62" s="230">
        <v>8154750</v>
      </c>
      <c r="AU62" s="229">
        <v>0.53810000000000002</v>
      </c>
      <c r="AV62" s="230">
        <v>5604575</v>
      </c>
      <c r="AW62" s="230">
        <v>5849425</v>
      </c>
      <c r="AX62" s="230">
        <v>-244850</v>
      </c>
      <c r="AY62" s="229">
        <v>-4.19E-2</v>
      </c>
      <c r="AZ62" s="230">
        <v>17436225</v>
      </c>
      <c r="BA62" s="230">
        <v>9244125</v>
      </c>
      <c r="BB62" s="230">
        <v>8192100</v>
      </c>
      <c r="BC62" s="229">
        <v>0.88619999999999999</v>
      </c>
      <c r="BD62" s="230">
        <v>269750</v>
      </c>
      <c r="BE62" s="230">
        <v>62250</v>
      </c>
      <c r="BF62" s="230">
        <v>207500</v>
      </c>
      <c r="BG62" s="229">
        <v>3.3332999999999999</v>
      </c>
      <c r="BH62" s="230">
        <v>21965950</v>
      </c>
      <c r="BI62" s="230">
        <v>9283550</v>
      </c>
      <c r="BJ62" s="230">
        <v>12682400</v>
      </c>
      <c r="BK62" s="229">
        <v>1.3661000000000001</v>
      </c>
      <c r="BL62" s="230">
        <v>9015875</v>
      </c>
      <c r="BM62" s="230">
        <v>8030250</v>
      </c>
      <c r="BN62" s="230">
        <v>985625</v>
      </c>
      <c r="BO62" s="229">
        <v>0.1227</v>
      </c>
      <c r="BP62" s="230">
        <v>54292375</v>
      </c>
      <c r="BQ62" s="230">
        <v>32469600</v>
      </c>
      <c r="BR62" s="230">
        <v>21822775</v>
      </c>
      <c r="BS62" s="229">
        <v>0.67210000000000003</v>
      </c>
      <c r="BT62" s="230">
        <v>7091643</v>
      </c>
      <c r="BU62" s="230">
        <v>1790291</v>
      </c>
      <c r="BV62" s="230">
        <v>5301352</v>
      </c>
      <c r="BW62" s="229">
        <v>2.9611999999999998</v>
      </c>
      <c r="BX62" s="230">
        <v>11869000</v>
      </c>
      <c r="BY62" s="230">
        <v>12603550</v>
      </c>
      <c r="BZ62" s="230">
        <v>-734550</v>
      </c>
      <c r="CA62" s="229">
        <v>-5.8299999999999998E-2</v>
      </c>
      <c r="CB62" s="230">
        <v>500075</v>
      </c>
      <c r="CC62" s="230">
        <v>2365500</v>
      </c>
      <c r="CD62" s="230">
        <v>-1865425</v>
      </c>
      <c r="CE62" s="229">
        <v>-0.78859999999999997</v>
      </c>
      <c r="CF62" s="230">
        <v>11620000</v>
      </c>
      <c r="CG62" s="230">
        <v>10032625</v>
      </c>
      <c r="CH62" s="230">
        <v>1587375</v>
      </c>
      <c r="CI62" s="229">
        <v>0.15820000000000001</v>
      </c>
      <c r="CJ62" s="230">
        <v>249000</v>
      </c>
      <c r="CK62" s="230">
        <v>205425</v>
      </c>
      <c r="CL62" s="230">
        <v>43575</v>
      </c>
      <c r="CM62" s="229">
        <v>0.21210000000000001</v>
      </c>
      <c r="CN62" s="230">
        <v>4787025</v>
      </c>
      <c r="CO62" s="230">
        <v>7818600</v>
      </c>
      <c r="CP62" s="230">
        <v>-3031575</v>
      </c>
      <c r="CQ62" s="229">
        <v>-0.38769999999999999</v>
      </c>
      <c r="CR62" s="230">
        <v>2280425</v>
      </c>
      <c r="CS62" s="230">
        <v>4515200</v>
      </c>
      <c r="CT62" s="230">
        <v>-2234775</v>
      </c>
      <c r="CU62" s="229">
        <v>-0.49490000000000001</v>
      </c>
      <c r="CV62" s="230">
        <v>18936450</v>
      </c>
      <c r="CW62" s="230">
        <v>24937350</v>
      </c>
      <c r="CX62" s="230">
        <v>-6000900</v>
      </c>
      <c r="CY62" s="229">
        <v>-0.24060000000000001</v>
      </c>
      <c r="CZ62" s="228">
        <v>40.79</v>
      </c>
      <c r="DA62" s="228">
        <v>39.39</v>
      </c>
      <c r="DB62" s="228">
        <v>1.4</v>
      </c>
      <c r="DC62" s="228">
        <v>1.4</v>
      </c>
      <c r="DD62" s="228">
        <v>42.17</v>
      </c>
      <c r="DE62" s="228">
        <v>41.85</v>
      </c>
      <c r="DF62" s="228">
        <v>-1.38</v>
      </c>
      <c r="DG62" s="228">
        <v>0.32</v>
      </c>
      <c r="DH62" s="228">
        <v>40.1</v>
      </c>
      <c r="DI62" s="228">
        <v>39.46</v>
      </c>
      <c r="DJ62" s="228">
        <v>0.64</v>
      </c>
      <c r="DK62" s="228">
        <v>0.64</v>
      </c>
      <c r="DL62" s="228">
        <v>42.41</v>
      </c>
      <c r="DM62" s="228">
        <v>39.33</v>
      </c>
      <c r="DN62" s="228">
        <v>3.08</v>
      </c>
      <c r="DO62" s="228">
        <v>3.08</v>
      </c>
      <c r="DP62" s="228">
        <v>0.48</v>
      </c>
      <c r="DQ62" s="228">
        <v>0.57999999999999996</v>
      </c>
      <c r="DR62" s="228">
        <v>-0.1</v>
      </c>
      <c r="DS62" s="229">
        <v>-0.1724</v>
      </c>
      <c r="DT62" s="228">
        <v>440</v>
      </c>
      <c r="DU62" s="228">
        <v>400</v>
      </c>
      <c r="DV62" s="228">
        <v>0.41</v>
      </c>
      <c r="DW62" s="228">
        <v>0.86</v>
      </c>
      <c r="DX62" s="228">
        <v>-0.45</v>
      </c>
      <c r="DY62" s="229">
        <v>-0.52329999999999999</v>
      </c>
      <c r="DZ62" s="229">
        <v>0.95960000000000001</v>
      </c>
      <c r="EA62" s="230">
        <v>10238050</v>
      </c>
      <c r="EB62" s="229">
        <v>4.0000000000000001E-3</v>
      </c>
      <c r="EC62" s="229">
        <v>0.95960000000000001</v>
      </c>
      <c r="ED62" s="228">
        <v>1.88</v>
      </c>
      <c r="EE62" s="229">
        <v>4.4999999999999997E-3</v>
      </c>
      <c r="EF62" s="230">
        <v>2389573</v>
      </c>
      <c r="EG62" s="230">
        <v>697737</v>
      </c>
      <c r="EH62" s="229">
        <v>2.4247000000000001</v>
      </c>
      <c r="EI62" s="229">
        <v>0.33700000000000002</v>
      </c>
      <c r="EJ62" s="231">
        <v>96801.96</v>
      </c>
      <c r="EK62" s="231">
        <v>37330.58</v>
      </c>
      <c r="EL62" s="231">
        <v>98328.91</v>
      </c>
      <c r="EM62" s="228">
        <v>0</v>
      </c>
      <c r="EN62" s="231">
        <v>232461.45</v>
      </c>
      <c r="EO62" s="231">
        <v>135683.88</v>
      </c>
      <c r="EP62" s="231">
        <v>96777.57</v>
      </c>
      <c r="EQ62" s="229">
        <v>0.71330000000000005</v>
      </c>
      <c r="ER62" s="231">
        <v>21316</v>
      </c>
      <c r="ES62" s="231">
        <v>9142</v>
      </c>
      <c r="ET62" s="231">
        <v>50813</v>
      </c>
      <c r="EU62" s="231">
        <v>149116295</v>
      </c>
      <c r="EV62" s="231">
        <v>81270</v>
      </c>
      <c r="EW62" s="231">
        <v>103123</v>
      </c>
      <c r="EX62" s="231">
        <v>-21853</v>
      </c>
      <c r="EY62" s="229">
        <v>-0.21190000000000001</v>
      </c>
      <c r="EZ62" s="229">
        <v>0.127</v>
      </c>
      <c r="FA62" s="227" t="s">
        <v>556</v>
      </c>
      <c r="FB62" s="161">
        <f t="shared" si="0"/>
        <v>11368925</v>
      </c>
    </row>
    <row r="63" spans="1:158" ht="17.25" thickBot="1" x14ac:dyDescent="0.3">
      <c r="A63" s="226">
        <v>45869</v>
      </c>
      <c r="B63" s="227" t="s">
        <v>170</v>
      </c>
      <c r="C63" s="227" t="s">
        <v>205</v>
      </c>
      <c r="D63" s="228">
        <v>100</v>
      </c>
      <c r="E63" s="231">
        <v>6623.5</v>
      </c>
      <c r="F63" s="231">
        <v>6692.5</v>
      </c>
      <c r="G63" s="228">
        <v>-69</v>
      </c>
      <c r="H63" s="229">
        <v>-1.03E-2</v>
      </c>
      <c r="I63" s="231">
        <v>6595.5</v>
      </c>
      <c r="J63" s="231">
        <v>6650</v>
      </c>
      <c r="K63" s="228">
        <v>-54.5</v>
      </c>
      <c r="L63" s="229">
        <v>-8.2000000000000007E-3</v>
      </c>
      <c r="M63" s="231">
        <v>6589.5</v>
      </c>
      <c r="N63" s="231">
        <v>6656</v>
      </c>
      <c r="O63" s="228">
        <v>-66.5</v>
      </c>
      <c r="P63" s="229">
        <v>-0.01</v>
      </c>
      <c r="Q63" s="231">
        <v>6623.5</v>
      </c>
      <c r="R63" s="231">
        <v>6692.5</v>
      </c>
      <c r="S63" s="228">
        <v>-69</v>
      </c>
      <c r="T63" s="229">
        <v>-1.03E-2</v>
      </c>
      <c r="U63" s="231">
        <v>6656</v>
      </c>
      <c r="V63" s="231">
        <v>6716</v>
      </c>
      <c r="W63" s="228">
        <v>-60</v>
      </c>
      <c r="X63" s="229">
        <v>-8.8999999999999999E-3</v>
      </c>
      <c r="Y63" s="228">
        <v>28</v>
      </c>
      <c r="Z63" s="228">
        <v>6</v>
      </c>
      <c r="AA63" s="228">
        <v>22</v>
      </c>
      <c r="AB63" s="229">
        <v>4.1999999999999997E-3</v>
      </c>
      <c r="AC63" s="228">
        <v>-6</v>
      </c>
      <c r="AD63" s="228">
        <v>6</v>
      </c>
      <c r="AE63" s="228">
        <v>-12</v>
      </c>
      <c r="AF63" s="229">
        <v>-8.9999999999999998E-4</v>
      </c>
      <c r="AG63" s="228">
        <v>28</v>
      </c>
      <c r="AH63" s="228">
        <v>42.5</v>
      </c>
      <c r="AI63" s="228">
        <v>-14.5</v>
      </c>
      <c r="AJ63" s="229">
        <v>4.1999999999999997E-3</v>
      </c>
      <c r="AK63" s="228">
        <v>60.5</v>
      </c>
      <c r="AL63" s="228">
        <v>66</v>
      </c>
      <c r="AM63" s="228">
        <v>-5.5</v>
      </c>
      <c r="AN63" s="229">
        <v>9.1999999999999998E-3</v>
      </c>
      <c r="AO63" s="231">
        <v>6605.59</v>
      </c>
      <c r="AP63" s="231">
        <v>6639.76</v>
      </c>
      <c r="AQ63" s="228">
        <v>0</v>
      </c>
      <c r="AR63" s="230">
        <v>758000</v>
      </c>
      <c r="AS63" s="230">
        <v>1954400</v>
      </c>
      <c r="AT63" s="230">
        <v>-1196400</v>
      </c>
      <c r="AU63" s="229">
        <v>-0.61219999999999997</v>
      </c>
      <c r="AV63" s="230">
        <v>252200</v>
      </c>
      <c r="AW63" s="230">
        <v>885200</v>
      </c>
      <c r="AX63" s="230">
        <v>-633000</v>
      </c>
      <c r="AY63" s="229">
        <v>-0.71509999999999996</v>
      </c>
      <c r="AZ63" s="230">
        <v>496400</v>
      </c>
      <c r="BA63" s="230">
        <v>1063500</v>
      </c>
      <c r="BB63" s="230">
        <v>-567100</v>
      </c>
      <c r="BC63" s="229">
        <v>-0.53320000000000001</v>
      </c>
      <c r="BD63" s="230">
        <v>9400</v>
      </c>
      <c r="BE63" s="230">
        <v>5700</v>
      </c>
      <c r="BF63" s="230">
        <v>3700</v>
      </c>
      <c r="BG63" s="229">
        <v>0.64910000000000001</v>
      </c>
      <c r="BH63" s="230">
        <v>734700</v>
      </c>
      <c r="BI63" s="230">
        <v>1236000</v>
      </c>
      <c r="BJ63" s="230">
        <v>-501300</v>
      </c>
      <c r="BK63" s="229">
        <v>-0.40560000000000002</v>
      </c>
      <c r="BL63" s="230">
        <v>403700</v>
      </c>
      <c r="BM63" s="230">
        <v>471900</v>
      </c>
      <c r="BN63" s="230">
        <v>-68200</v>
      </c>
      <c r="BO63" s="229">
        <v>-0.14449999999999999</v>
      </c>
      <c r="BP63" s="230">
        <v>1896400</v>
      </c>
      <c r="BQ63" s="230">
        <v>3662300</v>
      </c>
      <c r="BR63" s="230">
        <v>-1765900</v>
      </c>
      <c r="BS63" s="229">
        <v>-0.48220000000000002</v>
      </c>
      <c r="BT63" s="230">
        <v>213385</v>
      </c>
      <c r="BU63" s="230">
        <v>230361</v>
      </c>
      <c r="BV63" s="230">
        <v>-16976</v>
      </c>
      <c r="BW63" s="229">
        <v>-7.3700000000000002E-2</v>
      </c>
      <c r="BX63" s="230">
        <v>2970800</v>
      </c>
      <c r="BY63" s="230">
        <v>3048600</v>
      </c>
      <c r="BZ63" s="230">
        <v>-77800</v>
      </c>
      <c r="CA63" s="229">
        <v>-2.5499999999999998E-2</v>
      </c>
      <c r="CB63" s="230">
        <v>61400</v>
      </c>
      <c r="CC63" s="230">
        <v>213900</v>
      </c>
      <c r="CD63" s="230">
        <v>-152500</v>
      </c>
      <c r="CE63" s="229">
        <v>-0.71289999999999998</v>
      </c>
      <c r="CF63" s="230">
        <v>2948400</v>
      </c>
      <c r="CG63" s="230">
        <v>2814600</v>
      </c>
      <c r="CH63" s="230">
        <v>133800</v>
      </c>
      <c r="CI63" s="229">
        <v>4.7500000000000001E-2</v>
      </c>
      <c r="CJ63" s="230">
        <v>22400</v>
      </c>
      <c r="CK63" s="230">
        <v>20100</v>
      </c>
      <c r="CL63" s="230">
        <v>2300</v>
      </c>
      <c r="CM63" s="229">
        <v>0.1144</v>
      </c>
      <c r="CN63" s="230">
        <v>337500</v>
      </c>
      <c r="CO63" s="230">
        <v>1049000</v>
      </c>
      <c r="CP63" s="230">
        <v>-711500</v>
      </c>
      <c r="CQ63" s="229">
        <v>-0.67830000000000001</v>
      </c>
      <c r="CR63" s="230">
        <v>225100</v>
      </c>
      <c r="CS63" s="230">
        <v>607100</v>
      </c>
      <c r="CT63" s="230">
        <v>-382000</v>
      </c>
      <c r="CU63" s="229">
        <v>-0.62919999999999998</v>
      </c>
      <c r="CV63" s="230">
        <v>3533400</v>
      </c>
      <c r="CW63" s="230">
        <v>4704700</v>
      </c>
      <c r="CX63" s="230">
        <v>-1171300</v>
      </c>
      <c r="CY63" s="229">
        <v>-0.249</v>
      </c>
      <c r="CZ63" s="228">
        <v>31.03</v>
      </c>
      <c r="DA63" s="228">
        <v>29.29</v>
      </c>
      <c r="DB63" s="228">
        <v>1.74</v>
      </c>
      <c r="DC63" s="228">
        <v>1.74</v>
      </c>
      <c r="DD63" s="228">
        <v>31.69</v>
      </c>
      <c r="DE63" s="228">
        <v>31.75</v>
      </c>
      <c r="DF63" s="228">
        <v>-0.66</v>
      </c>
      <c r="DG63" s="228">
        <v>-0.06</v>
      </c>
      <c r="DH63" s="228">
        <v>31.19</v>
      </c>
      <c r="DI63" s="228">
        <v>29.18</v>
      </c>
      <c r="DJ63" s="228">
        <v>2.0099999999999998</v>
      </c>
      <c r="DK63" s="228">
        <v>2.0099999999999998</v>
      </c>
      <c r="DL63" s="228">
        <v>30.77</v>
      </c>
      <c r="DM63" s="228">
        <v>29.53</v>
      </c>
      <c r="DN63" s="228">
        <v>1.24</v>
      </c>
      <c r="DO63" s="228">
        <v>1.24</v>
      </c>
      <c r="DP63" s="228">
        <v>0.67</v>
      </c>
      <c r="DQ63" s="228">
        <v>0.57999999999999996</v>
      </c>
      <c r="DR63" s="228">
        <v>0.09</v>
      </c>
      <c r="DS63" s="229">
        <v>0.1552</v>
      </c>
      <c r="DT63" s="231">
        <v>7000</v>
      </c>
      <c r="DU63" s="231">
        <v>6300</v>
      </c>
      <c r="DV63" s="228">
        <v>0.55000000000000004</v>
      </c>
      <c r="DW63" s="228">
        <v>0.38</v>
      </c>
      <c r="DX63" s="228">
        <v>0.17</v>
      </c>
      <c r="DY63" s="229">
        <v>0.44740000000000002</v>
      </c>
      <c r="DZ63" s="229">
        <v>0.9798</v>
      </c>
      <c r="EA63" s="230">
        <v>2834700</v>
      </c>
      <c r="EB63" s="229">
        <v>5.1999999999999998E-3</v>
      </c>
      <c r="EC63" s="229">
        <v>0.9798</v>
      </c>
      <c r="ED63" s="228">
        <v>34.17</v>
      </c>
      <c r="EE63" s="229">
        <v>5.1999999999999998E-3</v>
      </c>
      <c r="EF63" s="230">
        <v>112241</v>
      </c>
      <c r="EG63" s="230">
        <v>131386</v>
      </c>
      <c r="EH63" s="229">
        <v>-0.1457</v>
      </c>
      <c r="EI63" s="229">
        <v>0.52600000000000002</v>
      </c>
      <c r="EJ63" s="231">
        <v>51157.3</v>
      </c>
      <c r="EK63" s="231">
        <v>26171.25</v>
      </c>
      <c r="EL63" s="231">
        <v>50246.06</v>
      </c>
      <c r="EM63" s="228">
        <v>0</v>
      </c>
      <c r="EN63" s="231">
        <v>127574.61</v>
      </c>
      <c r="EO63" s="231">
        <v>247901.35</v>
      </c>
      <c r="EP63" s="231">
        <v>-120326.74</v>
      </c>
      <c r="EQ63" s="229">
        <v>-0.4854</v>
      </c>
      <c r="ER63" s="231">
        <v>23623</v>
      </c>
      <c r="ES63" s="231">
        <v>14315</v>
      </c>
      <c r="ET63" s="231">
        <v>196778</v>
      </c>
      <c r="EU63" s="231">
        <v>25542698</v>
      </c>
      <c r="EV63" s="231">
        <v>234716</v>
      </c>
      <c r="EW63" s="231">
        <v>317611</v>
      </c>
      <c r="EX63" s="231">
        <v>-82895</v>
      </c>
      <c r="EY63" s="229">
        <v>-0.26100000000000001</v>
      </c>
      <c r="EZ63" s="229">
        <v>0.13830000000000001</v>
      </c>
      <c r="FA63" s="227" t="s">
        <v>568</v>
      </c>
      <c r="FB63" s="161">
        <f t="shared" si="0"/>
        <v>2909400</v>
      </c>
    </row>
    <row r="64" spans="1:158" ht="17.25" thickBot="1" x14ac:dyDescent="0.3">
      <c r="A64" s="226">
        <v>45869</v>
      </c>
      <c r="B64" s="227" t="s">
        <v>184</v>
      </c>
      <c r="C64" s="227" t="s">
        <v>512</v>
      </c>
      <c r="D64" s="228">
        <v>50</v>
      </c>
      <c r="E64" s="231">
        <v>16890</v>
      </c>
      <c r="F64" s="231">
        <v>16856</v>
      </c>
      <c r="G64" s="228">
        <v>34</v>
      </c>
      <c r="H64" s="229">
        <v>2E-3</v>
      </c>
      <c r="I64" s="231">
        <v>16841</v>
      </c>
      <c r="J64" s="231">
        <v>16765</v>
      </c>
      <c r="K64" s="228">
        <v>76</v>
      </c>
      <c r="L64" s="229">
        <v>4.4999999999999997E-3</v>
      </c>
      <c r="M64" s="231">
        <v>16812</v>
      </c>
      <c r="N64" s="231">
        <v>16771</v>
      </c>
      <c r="O64" s="228">
        <v>41</v>
      </c>
      <c r="P64" s="229">
        <v>2.3999999999999998E-3</v>
      </c>
      <c r="Q64" s="231">
        <v>16890</v>
      </c>
      <c r="R64" s="231">
        <v>16856</v>
      </c>
      <c r="S64" s="228">
        <v>34</v>
      </c>
      <c r="T64" s="229">
        <v>2E-3</v>
      </c>
      <c r="U64" s="231">
        <v>16967</v>
      </c>
      <c r="V64" s="231">
        <v>16931</v>
      </c>
      <c r="W64" s="228">
        <v>36</v>
      </c>
      <c r="X64" s="229">
        <v>2.0999999999999999E-3</v>
      </c>
      <c r="Y64" s="228">
        <v>49</v>
      </c>
      <c r="Z64" s="228">
        <v>6</v>
      </c>
      <c r="AA64" s="228">
        <v>43</v>
      </c>
      <c r="AB64" s="229">
        <v>2.8999999999999998E-3</v>
      </c>
      <c r="AC64" s="228">
        <v>-29</v>
      </c>
      <c r="AD64" s="228">
        <v>6</v>
      </c>
      <c r="AE64" s="228">
        <v>-35</v>
      </c>
      <c r="AF64" s="229">
        <v>-1.6999999999999999E-3</v>
      </c>
      <c r="AG64" s="228">
        <v>49</v>
      </c>
      <c r="AH64" s="228">
        <v>91</v>
      </c>
      <c r="AI64" s="228">
        <v>-42</v>
      </c>
      <c r="AJ64" s="229">
        <v>2.8999999999999998E-3</v>
      </c>
      <c r="AK64" s="228">
        <v>126</v>
      </c>
      <c r="AL64" s="228">
        <v>166</v>
      </c>
      <c r="AM64" s="228">
        <v>-40</v>
      </c>
      <c r="AN64" s="229">
        <v>7.4999999999999997E-3</v>
      </c>
      <c r="AO64" s="231">
        <v>16577.32</v>
      </c>
      <c r="AP64" s="231">
        <v>16671.11</v>
      </c>
      <c r="AQ64" s="228">
        <v>0</v>
      </c>
      <c r="AR64" s="230">
        <v>1560950</v>
      </c>
      <c r="AS64" s="230">
        <v>890650</v>
      </c>
      <c r="AT64" s="230">
        <v>670300</v>
      </c>
      <c r="AU64" s="229">
        <v>0.75260000000000005</v>
      </c>
      <c r="AV64" s="230">
        <v>619850</v>
      </c>
      <c r="AW64" s="230">
        <v>448750</v>
      </c>
      <c r="AX64" s="230">
        <v>171100</v>
      </c>
      <c r="AY64" s="229">
        <v>0.38129999999999997</v>
      </c>
      <c r="AZ64" s="230">
        <v>913250</v>
      </c>
      <c r="BA64" s="230">
        <v>436000</v>
      </c>
      <c r="BB64" s="230">
        <v>477250</v>
      </c>
      <c r="BC64" s="229">
        <v>1.0946</v>
      </c>
      <c r="BD64" s="230">
        <v>27850</v>
      </c>
      <c r="BE64" s="230">
        <v>5900</v>
      </c>
      <c r="BF64" s="230">
        <v>21950</v>
      </c>
      <c r="BG64" s="229">
        <v>3.7202999999999999</v>
      </c>
      <c r="BH64" s="230">
        <v>3313600</v>
      </c>
      <c r="BI64" s="230">
        <v>1948500</v>
      </c>
      <c r="BJ64" s="230">
        <v>1365100</v>
      </c>
      <c r="BK64" s="229">
        <v>0.7006</v>
      </c>
      <c r="BL64" s="230">
        <v>2786350</v>
      </c>
      <c r="BM64" s="230">
        <v>1591250</v>
      </c>
      <c r="BN64" s="230">
        <v>1195100</v>
      </c>
      <c r="BO64" s="229">
        <v>0.751</v>
      </c>
      <c r="BP64" s="230">
        <v>7660900</v>
      </c>
      <c r="BQ64" s="230">
        <v>4430400</v>
      </c>
      <c r="BR64" s="230">
        <v>3230500</v>
      </c>
      <c r="BS64" s="229">
        <v>0.72919999999999996</v>
      </c>
      <c r="BT64" s="230">
        <v>602325</v>
      </c>
      <c r="BU64" s="230">
        <v>160428</v>
      </c>
      <c r="BV64" s="230">
        <v>441897</v>
      </c>
      <c r="BW64" s="229">
        <v>2.7545000000000002</v>
      </c>
      <c r="BX64" s="230">
        <v>1362800</v>
      </c>
      <c r="BY64" s="230">
        <v>1624000</v>
      </c>
      <c r="BZ64" s="230">
        <v>-261200</v>
      </c>
      <c r="CA64" s="229">
        <v>-0.1608</v>
      </c>
      <c r="CB64" s="230">
        <v>189200</v>
      </c>
      <c r="CC64" s="230">
        <v>427700</v>
      </c>
      <c r="CD64" s="230">
        <v>-238500</v>
      </c>
      <c r="CE64" s="229">
        <v>-0.55759999999999998</v>
      </c>
      <c r="CF64" s="230">
        <v>1333700</v>
      </c>
      <c r="CG64" s="230">
        <v>1170800</v>
      </c>
      <c r="CH64" s="230">
        <v>162900</v>
      </c>
      <c r="CI64" s="229">
        <v>0.1391</v>
      </c>
      <c r="CJ64" s="230">
        <v>29100</v>
      </c>
      <c r="CK64" s="230">
        <v>25500</v>
      </c>
      <c r="CL64" s="230">
        <v>3600</v>
      </c>
      <c r="CM64" s="229">
        <v>0.14119999999999999</v>
      </c>
      <c r="CN64" s="230">
        <v>404100</v>
      </c>
      <c r="CO64" s="230">
        <v>1057050</v>
      </c>
      <c r="CP64" s="230">
        <v>-652950</v>
      </c>
      <c r="CQ64" s="229">
        <v>-0.61770000000000003</v>
      </c>
      <c r="CR64" s="230">
        <v>382100</v>
      </c>
      <c r="CS64" s="230">
        <v>934050</v>
      </c>
      <c r="CT64" s="230">
        <v>-551950</v>
      </c>
      <c r="CU64" s="229">
        <v>-0.59089999999999998</v>
      </c>
      <c r="CV64" s="230">
        <v>2149000</v>
      </c>
      <c r="CW64" s="230">
        <v>3615100</v>
      </c>
      <c r="CX64" s="230">
        <v>-1466100</v>
      </c>
      <c r="CY64" s="229">
        <v>-0.40550000000000003</v>
      </c>
      <c r="CZ64" s="228">
        <v>32.58</v>
      </c>
      <c r="DA64" s="228">
        <v>32.11</v>
      </c>
      <c r="DB64" s="228">
        <v>0.47</v>
      </c>
      <c r="DC64" s="228">
        <v>0.47</v>
      </c>
      <c r="DD64" s="228">
        <v>47.8</v>
      </c>
      <c r="DE64" s="228">
        <v>47.91</v>
      </c>
      <c r="DF64" s="228">
        <v>-15.22</v>
      </c>
      <c r="DG64" s="228">
        <v>-0.11</v>
      </c>
      <c r="DH64" s="228">
        <v>31.96</v>
      </c>
      <c r="DI64" s="228">
        <v>31.49</v>
      </c>
      <c r="DJ64" s="228">
        <v>0.47</v>
      </c>
      <c r="DK64" s="228">
        <v>0.47</v>
      </c>
      <c r="DL64" s="228">
        <v>33.409999999999997</v>
      </c>
      <c r="DM64" s="228">
        <v>32.909999999999997</v>
      </c>
      <c r="DN64" s="228">
        <v>0.5</v>
      </c>
      <c r="DO64" s="228">
        <v>0.5</v>
      </c>
      <c r="DP64" s="228">
        <v>0.95</v>
      </c>
      <c r="DQ64" s="228">
        <v>0.88</v>
      </c>
      <c r="DR64" s="228">
        <v>7.0000000000000007E-2</v>
      </c>
      <c r="DS64" s="229">
        <v>7.9500000000000001E-2</v>
      </c>
      <c r="DT64" s="231">
        <v>18000</v>
      </c>
      <c r="DU64" s="231">
        <v>15000</v>
      </c>
      <c r="DV64" s="228">
        <v>0.84</v>
      </c>
      <c r="DW64" s="228">
        <v>0.82</v>
      </c>
      <c r="DX64" s="228">
        <v>0.02</v>
      </c>
      <c r="DY64" s="229">
        <v>2.4400000000000002E-2</v>
      </c>
      <c r="DZ64" s="229">
        <v>0.87809999999999999</v>
      </c>
      <c r="EA64" s="230">
        <v>1196300</v>
      </c>
      <c r="EB64" s="229">
        <v>4.5999999999999999E-3</v>
      </c>
      <c r="EC64" s="229">
        <v>0.87809999999999999</v>
      </c>
      <c r="ED64" s="228">
        <v>93.79</v>
      </c>
      <c r="EE64" s="229">
        <v>5.7000000000000002E-3</v>
      </c>
      <c r="EF64" s="230">
        <v>180702</v>
      </c>
      <c r="EG64" s="230">
        <v>61669</v>
      </c>
      <c r="EH64" s="229">
        <v>1.9301999999999999</v>
      </c>
      <c r="EI64" s="229">
        <v>0.3</v>
      </c>
      <c r="EJ64" s="231">
        <v>573108.77</v>
      </c>
      <c r="EK64" s="231">
        <v>450522.38</v>
      </c>
      <c r="EL64" s="231">
        <v>259655.57</v>
      </c>
      <c r="EM64" s="228">
        <v>0</v>
      </c>
      <c r="EN64" s="231">
        <v>1283286.72</v>
      </c>
      <c r="EO64" s="231">
        <v>742769.1</v>
      </c>
      <c r="EP64" s="231">
        <v>540517.62</v>
      </c>
      <c r="EQ64" s="229">
        <v>0.72770000000000001</v>
      </c>
      <c r="ER64" s="231">
        <v>69397</v>
      </c>
      <c r="ES64" s="231">
        <v>59968</v>
      </c>
      <c r="ET64" s="231">
        <v>230199</v>
      </c>
      <c r="EU64" s="231">
        <v>8159946</v>
      </c>
      <c r="EV64" s="231">
        <v>359564</v>
      </c>
      <c r="EW64" s="231">
        <v>593332</v>
      </c>
      <c r="EX64" s="231">
        <v>-233768</v>
      </c>
      <c r="EY64" s="229">
        <v>-0.39400000000000002</v>
      </c>
      <c r="EZ64" s="229">
        <v>0.26340000000000002</v>
      </c>
      <c r="FA64" s="227" t="s">
        <v>556</v>
      </c>
      <c r="FB64" s="161">
        <f t="shared" si="0"/>
        <v>1173600</v>
      </c>
    </row>
    <row r="65" spans="1:158" ht="17.25" thickBot="1" x14ac:dyDescent="0.3">
      <c r="A65" s="226">
        <v>45869</v>
      </c>
      <c r="B65" s="227" t="s">
        <v>206</v>
      </c>
      <c r="C65" s="227" t="s">
        <v>207</v>
      </c>
      <c r="D65" s="228">
        <v>825</v>
      </c>
      <c r="E65" s="228">
        <v>787.25</v>
      </c>
      <c r="F65" s="228">
        <v>793.65</v>
      </c>
      <c r="G65" s="228">
        <v>-6.4</v>
      </c>
      <c r="H65" s="229">
        <v>-8.0999999999999996E-3</v>
      </c>
      <c r="I65" s="228">
        <v>784.25</v>
      </c>
      <c r="J65" s="228">
        <v>788.8</v>
      </c>
      <c r="K65" s="228">
        <v>-4.55</v>
      </c>
      <c r="L65" s="229">
        <v>-5.7999999999999996E-3</v>
      </c>
      <c r="M65" s="228">
        <v>783.4</v>
      </c>
      <c r="N65" s="228">
        <v>789.55</v>
      </c>
      <c r="O65" s="228">
        <v>-6.15</v>
      </c>
      <c r="P65" s="229">
        <v>-7.7999999999999996E-3</v>
      </c>
      <c r="Q65" s="228">
        <v>787.25</v>
      </c>
      <c r="R65" s="228">
        <v>793.65</v>
      </c>
      <c r="S65" s="228">
        <v>-6.4</v>
      </c>
      <c r="T65" s="229">
        <v>-8.0999999999999996E-3</v>
      </c>
      <c r="U65" s="228">
        <v>791.8</v>
      </c>
      <c r="V65" s="228">
        <v>797.85</v>
      </c>
      <c r="W65" s="228">
        <v>-6.05</v>
      </c>
      <c r="X65" s="229">
        <v>-7.6E-3</v>
      </c>
      <c r="Y65" s="228">
        <v>3</v>
      </c>
      <c r="Z65" s="228">
        <v>0.75</v>
      </c>
      <c r="AA65" s="228">
        <v>2.25</v>
      </c>
      <c r="AB65" s="229">
        <v>3.8E-3</v>
      </c>
      <c r="AC65" s="228">
        <v>-0.85</v>
      </c>
      <c r="AD65" s="228">
        <v>0.75</v>
      </c>
      <c r="AE65" s="228">
        <v>-1.6</v>
      </c>
      <c r="AF65" s="229">
        <v>-1.1000000000000001E-3</v>
      </c>
      <c r="AG65" s="228">
        <v>3</v>
      </c>
      <c r="AH65" s="228">
        <v>4.8499999999999996</v>
      </c>
      <c r="AI65" s="228">
        <v>-1.85</v>
      </c>
      <c r="AJ65" s="229">
        <v>3.8E-3</v>
      </c>
      <c r="AK65" s="228">
        <v>7.55</v>
      </c>
      <c r="AL65" s="228">
        <v>9.0500000000000007</v>
      </c>
      <c r="AM65" s="228">
        <v>-1.5</v>
      </c>
      <c r="AN65" s="229">
        <v>9.5999999999999992E-3</v>
      </c>
      <c r="AO65" s="228">
        <v>784.48</v>
      </c>
      <c r="AP65" s="228">
        <v>788.3</v>
      </c>
      <c r="AQ65" s="228">
        <v>0</v>
      </c>
      <c r="AR65" s="230">
        <v>18548475</v>
      </c>
      <c r="AS65" s="230">
        <v>19096275</v>
      </c>
      <c r="AT65" s="230">
        <v>-547800</v>
      </c>
      <c r="AU65" s="229">
        <v>-2.87E-2</v>
      </c>
      <c r="AV65" s="230">
        <v>7324350</v>
      </c>
      <c r="AW65" s="230">
        <v>9263100</v>
      </c>
      <c r="AX65" s="230">
        <v>-1938750</v>
      </c>
      <c r="AY65" s="229">
        <v>-0.20930000000000001</v>
      </c>
      <c r="AZ65" s="230">
        <v>10956000</v>
      </c>
      <c r="BA65" s="230">
        <v>9625275</v>
      </c>
      <c r="BB65" s="230">
        <v>1330725</v>
      </c>
      <c r="BC65" s="229">
        <v>0.13830000000000001</v>
      </c>
      <c r="BD65" s="230">
        <v>268125</v>
      </c>
      <c r="BE65" s="230">
        <v>207900</v>
      </c>
      <c r="BF65" s="230">
        <v>60225</v>
      </c>
      <c r="BG65" s="229">
        <v>0.28970000000000001</v>
      </c>
      <c r="BH65" s="230">
        <v>18139275</v>
      </c>
      <c r="BI65" s="230">
        <v>19074825</v>
      </c>
      <c r="BJ65" s="230">
        <v>-935550</v>
      </c>
      <c r="BK65" s="229">
        <v>-4.9000000000000002E-2</v>
      </c>
      <c r="BL65" s="230">
        <v>13519275</v>
      </c>
      <c r="BM65" s="230">
        <v>14237850</v>
      </c>
      <c r="BN65" s="230">
        <v>-718575</v>
      </c>
      <c r="BO65" s="229">
        <v>-5.0500000000000003E-2</v>
      </c>
      <c r="BP65" s="230">
        <v>50207025</v>
      </c>
      <c r="BQ65" s="230">
        <v>52408950</v>
      </c>
      <c r="BR65" s="230">
        <v>-2201925</v>
      </c>
      <c r="BS65" s="229">
        <v>-4.2000000000000003E-2</v>
      </c>
      <c r="BT65" s="230">
        <v>2327807</v>
      </c>
      <c r="BU65" s="230">
        <v>1670558</v>
      </c>
      <c r="BV65" s="230">
        <v>657249</v>
      </c>
      <c r="BW65" s="229">
        <v>0.39340000000000003</v>
      </c>
      <c r="BX65" s="230">
        <v>34889250</v>
      </c>
      <c r="BY65" s="230">
        <v>36670425</v>
      </c>
      <c r="BZ65" s="230">
        <v>-1781175</v>
      </c>
      <c r="CA65" s="229">
        <v>-4.8599999999999997E-2</v>
      </c>
      <c r="CB65" s="230">
        <v>1766325</v>
      </c>
      <c r="CC65" s="230">
        <v>6114900</v>
      </c>
      <c r="CD65" s="230">
        <v>-4348575</v>
      </c>
      <c r="CE65" s="229">
        <v>-0.71109999999999995</v>
      </c>
      <c r="CF65" s="230">
        <v>34281225</v>
      </c>
      <c r="CG65" s="230">
        <v>30077025</v>
      </c>
      <c r="CH65" s="230">
        <v>4204200</v>
      </c>
      <c r="CI65" s="229">
        <v>0.13980000000000001</v>
      </c>
      <c r="CJ65" s="230">
        <v>608025</v>
      </c>
      <c r="CK65" s="230">
        <v>478500</v>
      </c>
      <c r="CL65" s="230">
        <v>129525</v>
      </c>
      <c r="CM65" s="229">
        <v>0.2707</v>
      </c>
      <c r="CN65" s="230">
        <v>7730250</v>
      </c>
      <c r="CO65" s="230">
        <v>17018100</v>
      </c>
      <c r="CP65" s="230">
        <v>-9287850</v>
      </c>
      <c r="CQ65" s="229">
        <v>-0.54579999999999995</v>
      </c>
      <c r="CR65" s="230">
        <v>6618150</v>
      </c>
      <c r="CS65" s="230">
        <v>10599600</v>
      </c>
      <c r="CT65" s="230">
        <v>-3981450</v>
      </c>
      <c r="CU65" s="229">
        <v>-0.37559999999999999</v>
      </c>
      <c r="CV65" s="230">
        <v>49237650</v>
      </c>
      <c r="CW65" s="230">
        <v>64288125</v>
      </c>
      <c r="CX65" s="230">
        <v>-15050475</v>
      </c>
      <c r="CY65" s="229">
        <v>-0.2341</v>
      </c>
      <c r="CZ65" s="228">
        <v>30.28</v>
      </c>
      <c r="DA65" s="228">
        <v>30.91</v>
      </c>
      <c r="DB65" s="228">
        <v>-0.63</v>
      </c>
      <c r="DC65" s="228">
        <v>-0.63</v>
      </c>
      <c r="DD65" s="228">
        <v>39.83</v>
      </c>
      <c r="DE65" s="228">
        <v>39.93</v>
      </c>
      <c r="DF65" s="228">
        <v>-9.5500000000000007</v>
      </c>
      <c r="DG65" s="228">
        <v>-0.1</v>
      </c>
      <c r="DH65" s="228">
        <v>30.27</v>
      </c>
      <c r="DI65" s="228">
        <v>30.5</v>
      </c>
      <c r="DJ65" s="228">
        <v>-0.23</v>
      </c>
      <c r="DK65" s="228">
        <v>-0.23</v>
      </c>
      <c r="DL65" s="228">
        <v>30.28</v>
      </c>
      <c r="DM65" s="228">
        <v>31.42</v>
      </c>
      <c r="DN65" s="228">
        <v>-1.1399999999999999</v>
      </c>
      <c r="DO65" s="228">
        <v>-1.1399999999999999</v>
      </c>
      <c r="DP65" s="228">
        <v>0.86</v>
      </c>
      <c r="DQ65" s="228">
        <v>0.62</v>
      </c>
      <c r="DR65" s="228">
        <v>0.24</v>
      </c>
      <c r="DS65" s="229">
        <v>0.3871</v>
      </c>
      <c r="DT65" s="228">
        <v>800</v>
      </c>
      <c r="DU65" s="228">
        <v>800</v>
      </c>
      <c r="DV65" s="228">
        <v>0.75</v>
      </c>
      <c r="DW65" s="228">
        <v>0.75</v>
      </c>
      <c r="DX65" s="228">
        <v>0</v>
      </c>
      <c r="DY65" s="229">
        <v>0</v>
      </c>
      <c r="DZ65" s="229">
        <v>0.95179999999999998</v>
      </c>
      <c r="EA65" s="230">
        <v>30555525</v>
      </c>
      <c r="EB65" s="229">
        <v>4.8999999999999998E-3</v>
      </c>
      <c r="EC65" s="229">
        <v>0.95179999999999998</v>
      </c>
      <c r="ED65" s="228">
        <v>3.82</v>
      </c>
      <c r="EE65" s="229">
        <v>4.8999999999999998E-3</v>
      </c>
      <c r="EF65" s="230">
        <v>1065759</v>
      </c>
      <c r="EG65" s="230">
        <v>771994</v>
      </c>
      <c r="EH65" s="229">
        <v>0.3805</v>
      </c>
      <c r="EI65" s="229">
        <v>0.45779999999999998</v>
      </c>
      <c r="EJ65" s="231">
        <v>150291.79</v>
      </c>
      <c r="EK65" s="231">
        <v>108470.27</v>
      </c>
      <c r="EL65" s="231">
        <v>145952.32999999999</v>
      </c>
      <c r="EM65" s="228">
        <v>0</v>
      </c>
      <c r="EN65" s="231">
        <v>404714.39</v>
      </c>
      <c r="EO65" s="231">
        <v>423950.3</v>
      </c>
      <c r="EP65" s="231">
        <v>-19235.91</v>
      </c>
      <c r="EQ65" s="229">
        <v>-4.5400000000000003E-2</v>
      </c>
      <c r="ER65" s="231">
        <v>65049</v>
      </c>
      <c r="ES65" s="231">
        <v>51910</v>
      </c>
      <c r="ET65" s="231">
        <v>274693</v>
      </c>
      <c r="EU65" s="231">
        <v>128335464</v>
      </c>
      <c r="EV65" s="231">
        <v>391653</v>
      </c>
      <c r="EW65" s="231">
        <v>520640</v>
      </c>
      <c r="EX65" s="231">
        <v>-128987</v>
      </c>
      <c r="EY65" s="229">
        <v>-0.2477</v>
      </c>
      <c r="EZ65" s="229">
        <v>0.38369999999999999</v>
      </c>
      <c r="FA65" s="227" t="s">
        <v>568</v>
      </c>
      <c r="FB65" s="161">
        <f t="shared" si="0"/>
        <v>33122925</v>
      </c>
    </row>
    <row r="66" spans="1:158" ht="17.25" thickBot="1" x14ac:dyDescent="0.3">
      <c r="A66" s="226">
        <v>45869</v>
      </c>
      <c r="B66" s="227" t="s">
        <v>616</v>
      </c>
      <c r="C66" s="227" t="s">
        <v>584</v>
      </c>
      <c r="D66" s="228">
        <v>150</v>
      </c>
      <c r="E66" s="231">
        <v>4246.6000000000004</v>
      </c>
      <c r="F66" s="231">
        <v>4266</v>
      </c>
      <c r="G66" s="228">
        <v>-19.399999999999999</v>
      </c>
      <c r="H66" s="229">
        <v>-4.4999999999999997E-3</v>
      </c>
      <c r="I66" s="231">
        <v>4267.3999999999996</v>
      </c>
      <c r="J66" s="231">
        <v>4281.3999999999996</v>
      </c>
      <c r="K66" s="228">
        <v>-14</v>
      </c>
      <c r="L66" s="229">
        <v>-3.3E-3</v>
      </c>
      <c r="M66" s="231">
        <v>4273</v>
      </c>
      <c r="N66" s="231">
        <v>4286.1000000000004</v>
      </c>
      <c r="O66" s="228">
        <v>-13.1</v>
      </c>
      <c r="P66" s="229">
        <v>-3.0999999999999999E-3</v>
      </c>
      <c r="Q66" s="231">
        <v>4246.6000000000004</v>
      </c>
      <c r="R66" s="231">
        <v>4266</v>
      </c>
      <c r="S66" s="228">
        <v>-19.399999999999999</v>
      </c>
      <c r="T66" s="229">
        <v>-4.4999999999999997E-3</v>
      </c>
      <c r="U66" s="231">
        <v>4236.6000000000004</v>
      </c>
      <c r="V66" s="231">
        <v>4265.8</v>
      </c>
      <c r="W66" s="228">
        <v>-29.2</v>
      </c>
      <c r="X66" s="229">
        <v>-6.7999999999999996E-3</v>
      </c>
      <c r="Y66" s="228">
        <v>-20.8</v>
      </c>
      <c r="Z66" s="228">
        <v>4.7</v>
      </c>
      <c r="AA66" s="228">
        <v>-25.5</v>
      </c>
      <c r="AB66" s="229">
        <v>-4.8999999999999998E-3</v>
      </c>
      <c r="AC66" s="228">
        <v>5.6</v>
      </c>
      <c r="AD66" s="228">
        <v>4.7</v>
      </c>
      <c r="AE66" s="228">
        <v>0.9</v>
      </c>
      <c r="AF66" s="229">
        <v>1.2999999999999999E-3</v>
      </c>
      <c r="AG66" s="228">
        <v>-20.8</v>
      </c>
      <c r="AH66" s="228">
        <v>-15.4</v>
      </c>
      <c r="AI66" s="228">
        <v>-5.4</v>
      </c>
      <c r="AJ66" s="229">
        <v>-4.8999999999999998E-3</v>
      </c>
      <c r="AK66" s="228">
        <v>-30.8</v>
      </c>
      <c r="AL66" s="228">
        <v>-15.6</v>
      </c>
      <c r="AM66" s="228">
        <v>-15.2</v>
      </c>
      <c r="AN66" s="229">
        <v>-7.1999999999999998E-3</v>
      </c>
      <c r="AO66" s="231">
        <v>4302.3</v>
      </c>
      <c r="AP66" s="231">
        <v>4267.41</v>
      </c>
      <c r="AQ66" s="228">
        <v>0</v>
      </c>
      <c r="AR66" s="230">
        <v>3116400</v>
      </c>
      <c r="AS66" s="230">
        <v>6720750</v>
      </c>
      <c r="AT66" s="230">
        <v>-3604350</v>
      </c>
      <c r="AU66" s="229">
        <v>-0.5363</v>
      </c>
      <c r="AV66" s="230">
        <v>1281750</v>
      </c>
      <c r="AW66" s="230">
        <v>3109350</v>
      </c>
      <c r="AX66" s="230">
        <v>-1827600</v>
      </c>
      <c r="AY66" s="229">
        <v>-0.58779999999999999</v>
      </c>
      <c r="AZ66" s="230">
        <v>1792650</v>
      </c>
      <c r="BA66" s="230">
        <v>3538800</v>
      </c>
      <c r="BB66" s="230">
        <v>-1746150</v>
      </c>
      <c r="BC66" s="229">
        <v>-0.49340000000000001</v>
      </c>
      <c r="BD66" s="230">
        <v>42000</v>
      </c>
      <c r="BE66" s="230">
        <v>72600</v>
      </c>
      <c r="BF66" s="230">
        <v>-30600</v>
      </c>
      <c r="BG66" s="229">
        <v>-0.42149999999999999</v>
      </c>
      <c r="BH66" s="230">
        <v>11838450</v>
      </c>
      <c r="BI66" s="230">
        <v>42790950</v>
      </c>
      <c r="BJ66" s="230">
        <v>-30952500</v>
      </c>
      <c r="BK66" s="229">
        <v>-0.72330000000000005</v>
      </c>
      <c r="BL66" s="230">
        <v>5775450</v>
      </c>
      <c r="BM66" s="230">
        <v>12835650</v>
      </c>
      <c r="BN66" s="230">
        <v>-7060200</v>
      </c>
      <c r="BO66" s="229">
        <v>-0.55000000000000004</v>
      </c>
      <c r="BP66" s="230">
        <v>20730300</v>
      </c>
      <c r="BQ66" s="230">
        <v>62347350</v>
      </c>
      <c r="BR66" s="230">
        <v>-41617050</v>
      </c>
      <c r="BS66" s="229">
        <v>-0.66749999999999998</v>
      </c>
      <c r="BT66" s="230">
        <v>1163534</v>
      </c>
      <c r="BU66" s="230">
        <v>3601654</v>
      </c>
      <c r="BV66" s="230">
        <v>-2438120</v>
      </c>
      <c r="BW66" s="229">
        <v>-0.67689999999999995</v>
      </c>
      <c r="BX66" s="230">
        <v>5244150</v>
      </c>
      <c r="BY66" s="230">
        <v>6445650</v>
      </c>
      <c r="BZ66" s="230">
        <v>-1201500</v>
      </c>
      <c r="CA66" s="229">
        <v>-0.18640000000000001</v>
      </c>
      <c r="CB66" s="230">
        <v>877050</v>
      </c>
      <c r="CC66" s="230">
        <v>1157550</v>
      </c>
      <c r="CD66" s="230">
        <v>-280500</v>
      </c>
      <c r="CE66" s="229">
        <v>-0.24229999999999999</v>
      </c>
      <c r="CF66" s="230">
        <v>5185650</v>
      </c>
      <c r="CG66" s="230">
        <v>5236050</v>
      </c>
      <c r="CH66" s="230">
        <v>-50400</v>
      </c>
      <c r="CI66" s="229">
        <v>-9.5999999999999992E-3</v>
      </c>
      <c r="CJ66" s="230">
        <v>58500</v>
      </c>
      <c r="CK66" s="230">
        <v>52050</v>
      </c>
      <c r="CL66" s="230">
        <v>6450</v>
      </c>
      <c r="CM66" s="229">
        <v>0.1239</v>
      </c>
      <c r="CN66" s="230">
        <v>1029900</v>
      </c>
      <c r="CO66" s="230">
        <v>2716500</v>
      </c>
      <c r="CP66" s="230">
        <v>-1686600</v>
      </c>
      <c r="CQ66" s="229">
        <v>-0.62090000000000001</v>
      </c>
      <c r="CR66" s="230">
        <v>678900</v>
      </c>
      <c r="CS66" s="230">
        <v>2148450</v>
      </c>
      <c r="CT66" s="230">
        <v>-1469550</v>
      </c>
      <c r="CU66" s="229">
        <v>-0.68400000000000005</v>
      </c>
      <c r="CV66" s="230">
        <v>6952950</v>
      </c>
      <c r="CW66" s="230">
        <v>11310600</v>
      </c>
      <c r="CX66" s="230">
        <v>-4357650</v>
      </c>
      <c r="CY66" s="229">
        <v>-0.38529999999999998</v>
      </c>
      <c r="CZ66" s="228">
        <v>28</v>
      </c>
      <c r="DA66" s="228">
        <v>29.27</v>
      </c>
      <c r="DB66" s="228">
        <v>-1.27</v>
      </c>
      <c r="DC66" s="228">
        <v>-1.27</v>
      </c>
      <c r="DD66" s="228">
        <v>34.619999999999997</v>
      </c>
      <c r="DE66" s="228">
        <v>34.700000000000003</v>
      </c>
      <c r="DF66" s="228">
        <v>-6.62</v>
      </c>
      <c r="DG66" s="228">
        <v>-0.08</v>
      </c>
      <c r="DH66" s="228">
        <v>27.69</v>
      </c>
      <c r="DI66" s="228">
        <v>29.02</v>
      </c>
      <c r="DJ66" s="228">
        <v>-1.33</v>
      </c>
      <c r="DK66" s="228">
        <v>-1.33</v>
      </c>
      <c r="DL66" s="228">
        <v>28.92</v>
      </c>
      <c r="DM66" s="228">
        <v>29.99</v>
      </c>
      <c r="DN66" s="228">
        <v>-1.07</v>
      </c>
      <c r="DO66" s="228">
        <v>-1.07</v>
      </c>
      <c r="DP66" s="228">
        <v>0.66</v>
      </c>
      <c r="DQ66" s="228">
        <v>0.79</v>
      </c>
      <c r="DR66" s="228">
        <v>-0.13</v>
      </c>
      <c r="DS66" s="229">
        <v>-0.1646</v>
      </c>
      <c r="DT66" s="231">
        <v>4300</v>
      </c>
      <c r="DU66" s="231">
        <v>3950</v>
      </c>
      <c r="DV66" s="228">
        <v>0.49</v>
      </c>
      <c r="DW66" s="228">
        <v>0.3</v>
      </c>
      <c r="DX66" s="228">
        <v>0.19</v>
      </c>
      <c r="DY66" s="229">
        <v>0.63329999999999997</v>
      </c>
      <c r="DZ66" s="229">
        <v>0.85670000000000002</v>
      </c>
      <c r="EA66" s="230">
        <v>5288100</v>
      </c>
      <c r="EB66" s="229">
        <v>-6.1999999999999998E-3</v>
      </c>
      <c r="EC66" s="229">
        <v>0.85670000000000002</v>
      </c>
      <c r="ED66" s="228">
        <v>-34.89</v>
      </c>
      <c r="EE66" s="229">
        <v>-8.0999999999999996E-3</v>
      </c>
      <c r="EF66" s="230">
        <v>397511</v>
      </c>
      <c r="EG66" s="230">
        <v>1276968</v>
      </c>
      <c r="EH66" s="229">
        <v>-0.68869999999999998</v>
      </c>
      <c r="EI66" s="229">
        <v>0.34160000000000001</v>
      </c>
      <c r="EJ66" s="231">
        <v>529124.06000000006</v>
      </c>
      <c r="EK66" s="231">
        <v>240176.03</v>
      </c>
      <c r="EL66" s="231">
        <v>133433.51</v>
      </c>
      <c r="EM66" s="228">
        <v>0</v>
      </c>
      <c r="EN66" s="231">
        <v>902733.6</v>
      </c>
      <c r="EO66" s="231">
        <v>2694018.73</v>
      </c>
      <c r="EP66" s="231">
        <v>-1791285.13</v>
      </c>
      <c r="EQ66" s="229">
        <v>-0.66490000000000005</v>
      </c>
      <c r="ER66" s="231">
        <v>46066</v>
      </c>
      <c r="ES66" s="231">
        <v>26785</v>
      </c>
      <c r="ET66" s="231">
        <v>222692</v>
      </c>
      <c r="EU66" s="231">
        <v>32997182</v>
      </c>
      <c r="EV66" s="231">
        <v>295543</v>
      </c>
      <c r="EW66" s="231">
        <v>482213</v>
      </c>
      <c r="EX66" s="231">
        <v>-186670</v>
      </c>
      <c r="EY66" s="229">
        <v>-0.3871</v>
      </c>
      <c r="EZ66" s="229">
        <v>0.2107</v>
      </c>
      <c r="FA66" s="227" t="s">
        <v>568</v>
      </c>
      <c r="FB66" s="161">
        <f t="shared" si="0"/>
        <v>4367100</v>
      </c>
    </row>
    <row r="67" spans="1:158" ht="17.25" thickBot="1" x14ac:dyDescent="0.3">
      <c r="A67" s="226">
        <v>45869</v>
      </c>
      <c r="B67" s="227" t="s">
        <v>170</v>
      </c>
      <c r="C67" s="227" t="s">
        <v>208</v>
      </c>
      <c r="D67" s="228">
        <v>625</v>
      </c>
      <c r="E67" s="231">
        <v>1274.3</v>
      </c>
      <c r="F67" s="231">
        <v>1296.8</v>
      </c>
      <c r="G67" s="228">
        <v>-22.5</v>
      </c>
      <c r="H67" s="229">
        <v>-1.7399999999999999E-2</v>
      </c>
      <c r="I67" s="231">
        <v>1270.3</v>
      </c>
      <c r="J67" s="231">
        <v>1292.0999999999999</v>
      </c>
      <c r="K67" s="228">
        <v>-21.8</v>
      </c>
      <c r="L67" s="229">
        <v>-1.6899999999999998E-2</v>
      </c>
      <c r="M67" s="231">
        <v>1271.3</v>
      </c>
      <c r="N67" s="231">
        <v>1290.5</v>
      </c>
      <c r="O67" s="228">
        <v>-19.2</v>
      </c>
      <c r="P67" s="229">
        <v>-1.49E-2</v>
      </c>
      <c r="Q67" s="231">
        <v>1274.3</v>
      </c>
      <c r="R67" s="231">
        <v>1296.8</v>
      </c>
      <c r="S67" s="228">
        <v>-22.5</v>
      </c>
      <c r="T67" s="229">
        <v>-1.7399999999999999E-2</v>
      </c>
      <c r="U67" s="231">
        <v>1278.5</v>
      </c>
      <c r="V67" s="231">
        <v>1301.7</v>
      </c>
      <c r="W67" s="228">
        <v>-23.2</v>
      </c>
      <c r="X67" s="229">
        <v>-1.78E-2</v>
      </c>
      <c r="Y67" s="228">
        <v>4</v>
      </c>
      <c r="Z67" s="228">
        <v>-1.6</v>
      </c>
      <c r="AA67" s="228">
        <v>5.6</v>
      </c>
      <c r="AB67" s="229">
        <v>3.0999999999999999E-3</v>
      </c>
      <c r="AC67" s="228">
        <v>1</v>
      </c>
      <c r="AD67" s="228">
        <v>-1.6</v>
      </c>
      <c r="AE67" s="228">
        <v>2.6</v>
      </c>
      <c r="AF67" s="229">
        <v>8.0000000000000004E-4</v>
      </c>
      <c r="AG67" s="228">
        <v>4</v>
      </c>
      <c r="AH67" s="228">
        <v>4.7</v>
      </c>
      <c r="AI67" s="228">
        <v>-0.7</v>
      </c>
      <c r="AJ67" s="229">
        <v>3.0999999999999999E-3</v>
      </c>
      <c r="AK67" s="228">
        <v>8.1999999999999993</v>
      </c>
      <c r="AL67" s="228">
        <v>9.6</v>
      </c>
      <c r="AM67" s="228">
        <v>-1.4</v>
      </c>
      <c r="AN67" s="229">
        <v>6.4999999999999997E-3</v>
      </c>
      <c r="AO67" s="231">
        <v>1274.23</v>
      </c>
      <c r="AP67" s="231">
        <v>1275.68</v>
      </c>
      <c r="AQ67" s="228">
        <v>0</v>
      </c>
      <c r="AR67" s="230">
        <v>7660625</v>
      </c>
      <c r="AS67" s="230">
        <v>7475625</v>
      </c>
      <c r="AT67" s="230">
        <v>185000</v>
      </c>
      <c r="AU67" s="229">
        <v>2.47E-2</v>
      </c>
      <c r="AV67" s="230">
        <v>2875000</v>
      </c>
      <c r="AW67" s="230">
        <v>3383750</v>
      </c>
      <c r="AX67" s="230">
        <v>-508750</v>
      </c>
      <c r="AY67" s="229">
        <v>-0.15040000000000001</v>
      </c>
      <c r="AZ67" s="230">
        <v>4745000</v>
      </c>
      <c r="BA67" s="230">
        <v>4062500</v>
      </c>
      <c r="BB67" s="230">
        <v>682500</v>
      </c>
      <c r="BC67" s="229">
        <v>0.16800000000000001</v>
      </c>
      <c r="BD67" s="230">
        <v>40625</v>
      </c>
      <c r="BE67" s="230">
        <v>29375</v>
      </c>
      <c r="BF67" s="230">
        <v>11250</v>
      </c>
      <c r="BG67" s="229">
        <v>0.38300000000000001</v>
      </c>
      <c r="BH67" s="230">
        <v>8288125</v>
      </c>
      <c r="BI67" s="230">
        <v>12195000</v>
      </c>
      <c r="BJ67" s="230">
        <v>-3906875</v>
      </c>
      <c r="BK67" s="229">
        <v>-0.32040000000000002</v>
      </c>
      <c r="BL67" s="230">
        <v>7773750</v>
      </c>
      <c r="BM67" s="230">
        <v>6221875</v>
      </c>
      <c r="BN67" s="230">
        <v>1551875</v>
      </c>
      <c r="BO67" s="229">
        <v>0.24940000000000001</v>
      </c>
      <c r="BP67" s="230">
        <v>23722500</v>
      </c>
      <c r="BQ67" s="230">
        <v>25892500</v>
      </c>
      <c r="BR67" s="230">
        <v>-2170000</v>
      </c>
      <c r="BS67" s="229">
        <v>-8.3799999999999999E-2</v>
      </c>
      <c r="BT67" s="230">
        <v>2021750</v>
      </c>
      <c r="BU67" s="230">
        <v>1495665</v>
      </c>
      <c r="BV67" s="230">
        <v>526085</v>
      </c>
      <c r="BW67" s="229">
        <v>0.35170000000000001</v>
      </c>
      <c r="BX67" s="230">
        <v>11280000</v>
      </c>
      <c r="BY67" s="230">
        <v>12285625</v>
      </c>
      <c r="BZ67" s="230">
        <v>-1005625</v>
      </c>
      <c r="CA67" s="229">
        <v>-8.1900000000000001E-2</v>
      </c>
      <c r="CB67" s="230">
        <v>1113125</v>
      </c>
      <c r="CC67" s="230">
        <v>1976250</v>
      </c>
      <c r="CD67" s="230">
        <v>-863125</v>
      </c>
      <c r="CE67" s="229">
        <v>-0.43669999999999998</v>
      </c>
      <c r="CF67" s="230">
        <v>11190000</v>
      </c>
      <c r="CG67" s="230">
        <v>10228125</v>
      </c>
      <c r="CH67" s="230">
        <v>961875</v>
      </c>
      <c r="CI67" s="229">
        <v>9.4E-2</v>
      </c>
      <c r="CJ67" s="230">
        <v>90000</v>
      </c>
      <c r="CK67" s="230">
        <v>81250</v>
      </c>
      <c r="CL67" s="230">
        <v>8750</v>
      </c>
      <c r="CM67" s="229">
        <v>0.1077</v>
      </c>
      <c r="CN67" s="230">
        <v>2474375</v>
      </c>
      <c r="CO67" s="230">
        <v>12161875</v>
      </c>
      <c r="CP67" s="230">
        <v>-9687500</v>
      </c>
      <c r="CQ67" s="229">
        <v>-0.79649999999999999</v>
      </c>
      <c r="CR67" s="230">
        <v>1470000</v>
      </c>
      <c r="CS67" s="230">
        <v>5516875</v>
      </c>
      <c r="CT67" s="230">
        <v>-4046875</v>
      </c>
      <c r="CU67" s="229">
        <v>-0.73350000000000004</v>
      </c>
      <c r="CV67" s="230">
        <v>15224375</v>
      </c>
      <c r="CW67" s="230">
        <v>29964375</v>
      </c>
      <c r="CX67" s="230">
        <v>-14740000</v>
      </c>
      <c r="CY67" s="229">
        <v>-0.4919</v>
      </c>
      <c r="CZ67" s="228">
        <v>24.46</v>
      </c>
      <c r="DA67" s="228">
        <v>24.12</v>
      </c>
      <c r="DB67" s="228">
        <v>0.34</v>
      </c>
      <c r="DC67" s="228">
        <v>0.34</v>
      </c>
      <c r="DD67" s="228">
        <v>25.08</v>
      </c>
      <c r="DE67" s="228">
        <v>25.03</v>
      </c>
      <c r="DF67" s="228">
        <v>-0.62</v>
      </c>
      <c r="DG67" s="228">
        <v>0.05</v>
      </c>
      <c r="DH67" s="228">
        <v>24.27</v>
      </c>
      <c r="DI67" s="228">
        <v>23.86</v>
      </c>
      <c r="DJ67" s="228">
        <v>0.41</v>
      </c>
      <c r="DK67" s="228">
        <v>0.41</v>
      </c>
      <c r="DL67" s="228">
        <v>24.78</v>
      </c>
      <c r="DM67" s="228">
        <v>24.83</v>
      </c>
      <c r="DN67" s="228">
        <v>-0.05</v>
      </c>
      <c r="DO67" s="228">
        <v>-0.05</v>
      </c>
      <c r="DP67" s="228">
        <v>0.59</v>
      </c>
      <c r="DQ67" s="228">
        <v>0.45</v>
      </c>
      <c r="DR67" s="228">
        <v>0.14000000000000001</v>
      </c>
      <c r="DS67" s="229">
        <v>0.31109999999999999</v>
      </c>
      <c r="DT67" s="231">
        <v>1300</v>
      </c>
      <c r="DU67" s="231">
        <v>1100</v>
      </c>
      <c r="DV67" s="228">
        <v>0.94</v>
      </c>
      <c r="DW67" s="228">
        <v>0.51</v>
      </c>
      <c r="DX67" s="228">
        <v>0.43</v>
      </c>
      <c r="DY67" s="229">
        <v>0.84309999999999996</v>
      </c>
      <c r="DZ67" s="229">
        <v>0.91020000000000001</v>
      </c>
      <c r="EA67" s="230">
        <v>10309375</v>
      </c>
      <c r="EB67" s="229">
        <v>2.3999999999999998E-3</v>
      </c>
      <c r="EC67" s="229">
        <v>0.91020000000000001</v>
      </c>
      <c r="ED67" s="228">
        <v>1.45</v>
      </c>
      <c r="EE67" s="229">
        <v>1.1000000000000001E-3</v>
      </c>
      <c r="EF67" s="230">
        <v>917943</v>
      </c>
      <c r="EG67" s="230">
        <v>705059</v>
      </c>
      <c r="EH67" s="229">
        <v>0.3019</v>
      </c>
      <c r="EI67" s="229">
        <v>0.45400000000000001</v>
      </c>
      <c r="EJ67" s="231">
        <v>108998.76</v>
      </c>
      <c r="EK67" s="231">
        <v>98471.64</v>
      </c>
      <c r="EL67" s="231">
        <v>97685.15</v>
      </c>
      <c r="EM67" s="228">
        <v>0</v>
      </c>
      <c r="EN67" s="231">
        <v>305155.55</v>
      </c>
      <c r="EO67" s="231">
        <v>336174.21</v>
      </c>
      <c r="EP67" s="231">
        <v>-31018.66</v>
      </c>
      <c r="EQ67" s="229">
        <v>-9.2299999999999993E-2</v>
      </c>
      <c r="ER67" s="231">
        <v>32625</v>
      </c>
      <c r="ES67" s="231">
        <v>18228</v>
      </c>
      <c r="ET67" s="231">
        <v>143745</v>
      </c>
      <c r="EU67" s="231">
        <v>121939493</v>
      </c>
      <c r="EV67" s="231">
        <v>194597</v>
      </c>
      <c r="EW67" s="231">
        <v>390068</v>
      </c>
      <c r="EX67" s="231">
        <v>-195471</v>
      </c>
      <c r="EY67" s="229">
        <v>-0.50109999999999999</v>
      </c>
      <c r="EZ67" s="229">
        <v>0.1249</v>
      </c>
      <c r="FA67" s="227" t="s">
        <v>568</v>
      </c>
      <c r="FB67" s="161">
        <f t="shared" ref="FB67:FB130" si="1">BX67-CB67</f>
        <v>10166875</v>
      </c>
    </row>
    <row r="68" spans="1:158" ht="17.25" thickBot="1" x14ac:dyDescent="0.3">
      <c r="A68" s="226">
        <v>45869</v>
      </c>
      <c r="B68" s="227" t="s">
        <v>162</v>
      </c>
      <c r="C68" s="227" t="s">
        <v>209</v>
      </c>
      <c r="D68" s="228">
        <v>175</v>
      </c>
      <c r="E68" s="231">
        <v>5424.5</v>
      </c>
      <c r="F68" s="231">
        <v>5439</v>
      </c>
      <c r="G68" s="228">
        <v>-14.5</v>
      </c>
      <c r="H68" s="229">
        <v>-2.7000000000000001E-3</v>
      </c>
      <c r="I68" s="231">
        <v>5468.5</v>
      </c>
      <c r="J68" s="231">
        <v>5481</v>
      </c>
      <c r="K68" s="228">
        <v>-12.5</v>
      </c>
      <c r="L68" s="229">
        <v>-2.3E-3</v>
      </c>
      <c r="M68" s="231">
        <v>5460.5</v>
      </c>
      <c r="N68" s="231">
        <v>5482</v>
      </c>
      <c r="O68" s="228">
        <v>-21.5</v>
      </c>
      <c r="P68" s="229">
        <v>-3.8999999999999998E-3</v>
      </c>
      <c r="Q68" s="231">
        <v>5424.5</v>
      </c>
      <c r="R68" s="231">
        <v>5439</v>
      </c>
      <c r="S68" s="228">
        <v>-14.5</v>
      </c>
      <c r="T68" s="229">
        <v>-2.7000000000000001E-3</v>
      </c>
      <c r="U68" s="231">
        <v>5457</v>
      </c>
      <c r="V68" s="231">
        <v>5468</v>
      </c>
      <c r="W68" s="228">
        <v>-11</v>
      </c>
      <c r="X68" s="229">
        <v>-2E-3</v>
      </c>
      <c r="Y68" s="228">
        <v>-44</v>
      </c>
      <c r="Z68" s="228">
        <v>1</v>
      </c>
      <c r="AA68" s="228">
        <v>-45</v>
      </c>
      <c r="AB68" s="229">
        <v>-8.0000000000000002E-3</v>
      </c>
      <c r="AC68" s="228">
        <v>-8</v>
      </c>
      <c r="AD68" s="228">
        <v>1</v>
      </c>
      <c r="AE68" s="228">
        <v>-9</v>
      </c>
      <c r="AF68" s="229">
        <v>-1.5E-3</v>
      </c>
      <c r="AG68" s="228">
        <v>-44</v>
      </c>
      <c r="AH68" s="228">
        <v>-42</v>
      </c>
      <c r="AI68" s="228">
        <v>-2</v>
      </c>
      <c r="AJ68" s="229">
        <v>-8.0000000000000002E-3</v>
      </c>
      <c r="AK68" s="228">
        <v>-11.5</v>
      </c>
      <c r="AL68" s="228">
        <v>-13</v>
      </c>
      <c r="AM68" s="228">
        <v>1.5</v>
      </c>
      <c r="AN68" s="229">
        <v>-2.0999999999999999E-3</v>
      </c>
      <c r="AO68" s="231">
        <v>5461.22</v>
      </c>
      <c r="AP68" s="231">
        <v>5417.34</v>
      </c>
      <c r="AQ68" s="228">
        <v>0</v>
      </c>
      <c r="AR68" s="230">
        <v>1295875</v>
      </c>
      <c r="AS68" s="230">
        <v>1834175</v>
      </c>
      <c r="AT68" s="230">
        <v>-538300</v>
      </c>
      <c r="AU68" s="229">
        <v>-0.29349999999999998</v>
      </c>
      <c r="AV68" s="230">
        <v>470575</v>
      </c>
      <c r="AW68" s="230">
        <v>739025</v>
      </c>
      <c r="AX68" s="230">
        <v>-268450</v>
      </c>
      <c r="AY68" s="229">
        <v>-0.36320000000000002</v>
      </c>
      <c r="AZ68" s="230">
        <v>819525</v>
      </c>
      <c r="BA68" s="230">
        <v>1086925</v>
      </c>
      <c r="BB68" s="230">
        <v>-267400</v>
      </c>
      <c r="BC68" s="229">
        <v>-0.246</v>
      </c>
      <c r="BD68" s="230">
        <v>5775</v>
      </c>
      <c r="BE68" s="230">
        <v>8225</v>
      </c>
      <c r="BF68" s="230">
        <v>-2450</v>
      </c>
      <c r="BG68" s="229">
        <v>-0.2979</v>
      </c>
      <c r="BH68" s="230">
        <v>2009525</v>
      </c>
      <c r="BI68" s="230">
        <v>3566675</v>
      </c>
      <c r="BJ68" s="230">
        <v>-1557150</v>
      </c>
      <c r="BK68" s="229">
        <v>-0.43659999999999999</v>
      </c>
      <c r="BL68" s="230">
        <v>1325275</v>
      </c>
      <c r="BM68" s="230">
        <v>1188250</v>
      </c>
      <c r="BN68" s="230">
        <v>137025</v>
      </c>
      <c r="BO68" s="229">
        <v>0.1153</v>
      </c>
      <c r="BP68" s="230">
        <v>4630675</v>
      </c>
      <c r="BQ68" s="230">
        <v>6589100</v>
      </c>
      <c r="BR68" s="230">
        <v>-1958425</v>
      </c>
      <c r="BS68" s="229">
        <v>-0.29720000000000002</v>
      </c>
      <c r="BT68" s="230">
        <v>316649</v>
      </c>
      <c r="BU68" s="230">
        <v>274872</v>
      </c>
      <c r="BV68" s="230">
        <v>41777</v>
      </c>
      <c r="BW68" s="229">
        <v>0.152</v>
      </c>
      <c r="BX68" s="230">
        <v>3021550</v>
      </c>
      <c r="BY68" s="230">
        <v>3301200</v>
      </c>
      <c r="BZ68" s="230">
        <v>-279650</v>
      </c>
      <c r="CA68" s="229">
        <v>-8.4699999999999998E-2</v>
      </c>
      <c r="CB68" s="230">
        <v>222600</v>
      </c>
      <c r="CC68" s="230">
        <v>401800</v>
      </c>
      <c r="CD68" s="230">
        <v>-179200</v>
      </c>
      <c r="CE68" s="229">
        <v>-0.44600000000000001</v>
      </c>
      <c r="CF68" s="230">
        <v>3003175</v>
      </c>
      <c r="CG68" s="230">
        <v>2884350</v>
      </c>
      <c r="CH68" s="230">
        <v>118825</v>
      </c>
      <c r="CI68" s="229">
        <v>4.1200000000000001E-2</v>
      </c>
      <c r="CJ68" s="230">
        <v>18375</v>
      </c>
      <c r="CK68" s="230">
        <v>15050</v>
      </c>
      <c r="CL68" s="230">
        <v>3325</v>
      </c>
      <c r="CM68" s="229">
        <v>0.22090000000000001</v>
      </c>
      <c r="CN68" s="230">
        <v>707175</v>
      </c>
      <c r="CO68" s="230">
        <v>1957375</v>
      </c>
      <c r="CP68" s="230">
        <v>-1250200</v>
      </c>
      <c r="CQ68" s="229">
        <v>-0.63870000000000005</v>
      </c>
      <c r="CR68" s="230">
        <v>519400</v>
      </c>
      <c r="CS68" s="230">
        <v>1035475</v>
      </c>
      <c r="CT68" s="230">
        <v>-516075</v>
      </c>
      <c r="CU68" s="229">
        <v>-0.49840000000000001</v>
      </c>
      <c r="CV68" s="230">
        <v>4248125</v>
      </c>
      <c r="CW68" s="230">
        <v>6294050</v>
      </c>
      <c r="CX68" s="230">
        <v>-2045925</v>
      </c>
      <c r="CY68" s="229">
        <v>-0.3251</v>
      </c>
      <c r="CZ68" s="228">
        <v>26.55</v>
      </c>
      <c r="DA68" s="228">
        <v>25.89</v>
      </c>
      <c r="DB68" s="228">
        <v>0.66</v>
      </c>
      <c r="DC68" s="228">
        <v>0.66</v>
      </c>
      <c r="DD68" s="228">
        <v>29.35</v>
      </c>
      <c r="DE68" s="228">
        <v>29.42</v>
      </c>
      <c r="DF68" s="228">
        <v>-2.8</v>
      </c>
      <c r="DG68" s="228">
        <v>-7.0000000000000007E-2</v>
      </c>
      <c r="DH68" s="228">
        <v>26.42</v>
      </c>
      <c r="DI68" s="228">
        <v>26.09</v>
      </c>
      <c r="DJ68" s="228">
        <v>0.33</v>
      </c>
      <c r="DK68" s="228">
        <v>0.33</v>
      </c>
      <c r="DL68" s="228">
        <v>26.77</v>
      </c>
      <c r="DM68" s="228">
        <v>25.36</v>
      </c>
      <c r="DN68" s="228">
        <v>1.41</v>
      </c>
      <c r="DO68" s="228">
        <v>1.41</v>
      </c>
      <c r="DP68" s="228">
        <v>0.73</v>
      </c>
      <c r="DQ68" s="228">
        <v>0.53</v>
      </c>
      <c r="DR68" s="228">
        <v>0.2</v>
      </c>
      <c r="DS68" s="229">
        <v>0.37740000000000001</v>
      </c>
      <c r="DT68" s="231">
        <v>5800</v>
      </c>
      <c r="DU68" s="231">
        <v>5000</v>
      </c>
      <c r="DV68" s="228">
        <v>0.66</v>
      </c>
      <c r="DW68" s="228">
        <v>0.33</v>
      </c>
      <c r="DX68" s="228">
        <v>0.33</v>
      </c>
      <c r="DY68" s="229">
        <v>1</v>
      </c>
      <c r="DZ68" s="229">
        <v>0.93140000000000001</v>
      </c>
      <c r="EA68" s="230">
        <v>2899400</v>
      </c>
      <c r="EB68" s="229">
        <v>-6.6E-3</v>
      </c>
      <c r="EC68" s="229">
        <v>0.93140000000000001</v>
      </c>
      <c r="ED68" s="228">
        <v>-43.88</v>
      </c>
      <c r="EE68" s="229">
        <v>-8.0000000000000002E-3</v>
      </c>
      <c r="EF68" s="230">
        <v>147647</v>
      </c>
      <c r="EG68" s="230">
        <v>142717</v>
      </c>
      <c r="EH68" s="229">
        <v>3.4500000000000003E-2</v>
      </c>
      <c r="EI68" s="229">
        <v>0.46629999999999999</v>
      </c>
      <c r="EJ68" s="231">
        <v>114747.87</v>
      </c>
      <c r="EK68" s="231">
        <v>71489.88</v>
      </c>
      <c r="EL68" s="231">
        <v>70410.009999999995</v>
      </c>
      <c r="EM68" s="228">
        <v>0</v>
      </c>
      <c r="EN68" s="231">
        <v>256647.76</v>
      </c>
      <c r="EO68" s="231">
        <v>368186.21</v>
      </c>
      <c r="EP68" s="231">
        <v>-111538.45</v>
      </c>
      <c r="EQ68" s="229">
        <v>-0.3029</v>
      </c>
      <c r="ER68" s="231">
        <v>40355</v>
      </c>
      <c r="ES68" s="231">
        <v>27733</v>
      </c>
      <c r="ET68" s="231">
        <v>163910</v>
      </c>
      <c r="EU68" s="231">
        <v>27919827</v>
      </c>
      <c r="EV68" s="231">
        <v>231999</v>
      </c>
      <c r="EW68" s="231">
        <v>348742</v>
      </c>
      <c r="EX68" s="231">
        <v>-116743</v>
      </c>
      <c r="EY68" s="229">
        <v>-0.33479999999999999</v>
      </c>
      <c r="EZ68" s="229">
        <v>0.1522</v>
      </c>
      <c r="FA68" s="227" t="s">
        <v>568</v>
      </c>
      <c r="FB68" s="161">
        <f t="shared" si="1"/>
        <v>2798950</v>
      </c>
    </row>
    <row r="69" spans="1:158" ht="17.25" thickBot="1" x14ac:dyDescent="0.3">
      <c r="A69" s="226">
        <v>45869</v>
      </c>
      <c r="B69" s="227" t="s">
        <v>616</v>
      </c>
      <c r="C69" s="227" t="s">
        <v>669</v>
      </c>
      <c r="D69" s="228">
        <v>2425</v>
      </c>
      <c r="E69" s="228">
        <v>309.7</v>
      </c>
      <c r="F69" s="228">
        <v>305.3</v>
      </c>
      <c r="G69" s="228">
        <v>4.4000000000000004</v>
      </c>
      <c r="H69" s="229">
        <v>1.44E-2</v>
      </c>
      <c r="I69" s="228">
        <v>307.8</v>
      </c>
      <c r="J69" s="228">
        <v>303.45</v>
      </c>
      <c r="K69" s="228">
        <v>4.3499999999999996</v>
      </c>
      <c r="L69" s="229">
        <v>1.43E-2</v>
      </c>
      <c r="M69" s="228">
        <v>307.8</v>
      </c>
      <c r="N69" s="228">
        <v>303.55</v>
      </c>
      <c r="O69" s="228">
        <v>4.25</v>
      </c>
      <c r="P69" s="229">
        <v>1.4E-2</v>
      </c>
      <c r="Q69" s="228">
        <v>309.7</v>
      </c>
      <c r="R69" s="228">
        <v>305.3</v>
      </c>
      <c r="S69" s="228">
        <v>4.4000000000000004</v>
      </c>
      <c r="T69" s="229">
        <v>1.44E-2</v>
      </c>
      <c r="U69" s="228">
        <v>311.14999999999998</v>
      </c>
      <c r="V69" s="228">
        <v>306.75</v>
      </c>
      <c r="W69" s="228">
        <v>4.4000000000000004</v>
      </c>
      <c r="X69" s="229">
        <v>1.43E-2</v>
      </c>
      <c r="Y69" s="228">
        <v>1.9</v>
      </c>
      <c r="Z69" s="228">
        <v>0.1</v>
      </c>
      <c r="AA69" s="228">
        <v>1.8</v>
      </c>
      <c r="AB69" s="229">
        <v>6.1999999999999998E-3</v>
      </c>
      <c r="AC69" s="228">
        <v>0</v>
      </c>
      <c r="AD69" s="228">
        <v>0.1</v>
      </c>
      <c r="AE69" s="228">
        <v>-0.1</v>
      </c>
      <c r="AF69" s="229">
        <v>0</v>
      </c>
      <c r="AG69" s="228">
        <v>1.9</v>
      </c>
      <c r="AH69" s="228">
        <v>1.85</v>
      </c>
      <c r="AI69" s="228">
        <v>0.05</v>
      </c>
      <c r="AJ69" s="229">
        <v>6.1999999999999998E-3</v>
      </c>
      <c r="AK69" s="228">
        <v>3.35</v>
      </c>
      <c r="AL69" s="228">
        <v>3.3</v>
      </c>
      <c r="AM69" s="228">
        <v>0.05</v>
      </c>
      <c r="AN69" s="229">
        <v>1.09E-2</v>
      </c>
      <c r="AO69" s="228">
        <v>307.10000000000002</v>
      </c>
      <c r="AP69" s="228">
        <v>309.02</v>
      </c>
      <c r="AQ69" s="228">
        <v>0</v>
      </c>
      <c r="AR69" s="230">
        <v>76014050</v>
      </c>
      <c r="AS69" s="230">
        <v>74833075</v>
      </c>
      <c r="AT69" s="230">
        <v>1180975</v>
      </c>
      <c r="AU69" s="229">
        <v>1.5800000000000002E-2</v>
      </c>
      <c r="AV69" s="230">
        <v>30225200</v>
      </c>
      <c r="AW69" s="230">
        <v>35919100</v>
      </c>
      <c r="AX69" s="230">
        <v>-5693900</v>
      </c>
      <c r="AY69" s="229">
        <v>-0.1585</v>
      </c>
      <c r="AZ69" s="230">
        <v>44782475</v>
      </c>
      <c r="BA69" s="230">
        <v>38567200</v>
      </c>
      <c r="BB69" s="230">
        <v>6215275</v>
      </c>
      <c r="BC69" s="229">
        <v>0.16120000000000001</v>
      </c>
      <c r="BD69" s="230">
        <v>1006375</v>
      </c>
      <c r="BE69" s="230">
        <v>346775</v>
      </c>
      <c r="BF69" s="230">
        <v>659600</v>
      </c>
      <c r="BG69" s="229">
        <v>1.9020999999999999</v>
      </c>
      <c r="BH69" s="230">
        <v>107088000</v>
      </c>
      <c r="BI69" s="230">
        <v>79697625</v>
      </c>
      <c r="BJ69" s="230">
        <v>27390375</v>
      </c>
      <c r="BK69" s="229">
        <v>0.34370000000000001</v>
      </c>
      <c r="BL69" s="230">
        <v>55687700</v>
      </c>
      <c r="BM69" s="230">
        <v>56793500</v>
      </c>
      <c r="BN69" s="230">
        <v>-1105800</v>
      </c>
      <c r="BO69" s="229">
        <v>-1.95E-2</v>
      </c>
      <c r="BP69" s="230">
        <v>238789750</v>
      </c>
      <c r="BQ69" s="230">
        <v>211324200</v>
      </c>
      <c r="BR69" s="230">
        <v>27465550</v>
      </c>
      <c r="BS69" s="229">
        <v>0.13</v>
      </c>
      <c r="BT69" s="230">
        <v>34597893</v>
      </c>
      <c r="BU69" s="230">
        <v>22469860</v>
      </c>
      <c r="BV69" s="230">
        <v>12128033</v>
      </c>
      <c r="BW69" s="229">
        <v>0.53969999999999996</v>
      </c>
      <c r="BX69" s="230">
        <v>160205200</v>
      </c>
      <c r="BY69" s="230">
        <v>170048275</v>
      </c>
      <c r="BZ69" s="230">
        <v>-9843075</v>
      </c>
      <c r="CA69" s="229">
        <v>-5.79E-2</v>
      </c>
      <c r="CB69" s="230">
        <v>11807325</v>
      </c>
      <c r="CC69" s="230">
        <v>26895675</v>
      </c>
      <c r="CD69" s="230">
        <v>-15088350</v>
      </c>
      <c r="CE69" s="229">
        <v>-0.56100000000000005</v>
      </c>
      <c r="CF69" s="230">
        <v>158524675</v>
      </c>
      <c r="CG69" s="230">
        <v>141666075</v>
      </c>
      <c r="CH69" s="230">
        <v>16858600</v>
      </c>
      <c r="CI69" s="229">
        <v>0.11899999999999999</v>
      </c>
      <c r="CJ69" s="230">
        <v>1680525</v>
      </c>
      <c r="CK69" s="230">
        <v>1486525</v>
      </c>
      <c r="CL69" s="230">
        <v>194000</v>
      </c>
      <c r="CM69" s="229">
        <v>0.1305</v>
      </c>
      <c r="CN69" s="230">
        <v>38501725</v>
      </c>
      <c r="CO69" s="230">
        <v>81244775</v>
      </c>
      <c r="CP69" s="230">
        <v>-42743050</v>
      </c>
      <c r="CQ69" s="229">
        <v>-0.52610000000000001</v>
      </c>
      <c r="CR69" s="230">
        <v>30188825</v>
      </c>
      <c r="CS69" s="230">
        <v>76533000</v>
      </c>
      <c r="CT69" s="230">
        <v>-46344175</v>
      </c>
      <c r="CU69" s="229">
        <v>-0.60550000000000004</v>
      </c>
      <c r="CV69" s="230">
        <v>228895750</v>
      </c>
      <c r="CW69" s="230">
        <v>327826050</v>
      </c>
      <c r="CX69" s="230">
        <v>-98930300</v>
      </c>
      <c r="CY69" s="229">
        <v>-0.30180000000000001</v>
      </c>
      <c r="CZ69" s="228">
        <v>36.270000000000003</v>
      </c>
      <c r="DA69" s="228">
        <v>35.68</v>
      </c>
      <c r="DB69" s="228">
        <v>0.59</v>
      </c>
      <c r="DC69" s="228">
        <v>0.59</v>
      </c>
      <c r="DD69" s="228">
        <v>50.17</v>
      </c>
      <c r="DE69" s="228">
        <v>50.26</v>
      </c>
      <c r="DF69" s="228">
        <v>-13.9</v>
      </c>
      <c r="DG69" s="228">
        <v>-0.09</v>
      </c>
      <c r="DH69" s="228">
        <v>35.450000000000003</v>
      </c>
      <c r="DI69" s="228">
        <v>35.01</v>
      </c>
      <c r="DJ69" s="228">
        <v>0.44</v>
      </c>
      <c r="DK69" s="228">
        <v>0.44</v>
      </c>
      <c r="DL69" s="228">
        <v>37.909999999999997</v>
      </c>
      <c r="DM69" s="228">
        <v>36.520000000000003</v>
      </c>
      <c r="DN69" s="228">
        <v>1.39</v>
      </c>
      <c r="DO69" s="228">
        <v>1.39</v>
      </c>
      <c r="DP69" s="228">
        <v>0.78</v>
      </c>
      <c r="DQ69" s="228">
        <v>0.94</v>
      </c>
      <c r="DR69" s="228">
        <v>-0.16</v>
      </c>
      <c r="DS69" s="229">
        <v>-0.17019999999999999</v>
      </c>
      <c r="DT69" s="228">
        <v>310</v>
      </c>
      <c r="DU69" s="228">
        <v>300</v>
      </c>
      <c r="DV69" s="228">
        <v>0.52</v>
      </c>
      <c r="DW69" s="228">
        <v>0.71</v>
      </c>
      <c r="DX69" s="228">
        <v>-0.19</v>
      </c>
      <c r="DY69" s="229">
        <v>-0.2676</v>
      </c>
      <c r="DZ69" s="229">
        <v>0.93140000000000001</v>
      </c>
      <c r="EA69" s="230">
        <v>143152600</v>
      </c>
      <c r="EB69" s="229">
        <v>6.1999999999999998E-3</v>
      </c>
      <c r="EC69" s="229">
        <v>0.93140000000000001</v>
      </c>
      <c r="ED69" s="228">
        <v>1.92</v>
      </c>
      <c r="EE69" s="229">
        <v>6.3E-3</v>
      </c>
      <c r="EF69" s="230">
        <v>12017470</v>
      </c>
      <c r="EG69" s="230">
        <v>9474616</v>
      </c>
      <c r="EH69" s="229">
        <v>0.26840000000000003</v>
      </c>
      <c r="EI69" s="229">
        <v>0.3473</v>
      </c>
      <c r="EJ69" s="231">
        <v>343317.84</v>
      </c>
      <c r="EK69" s="231">
        <v>166680.59</v>
      </c>
      <c r="EL69" s="231">
        <v>234336.62</v>
      </c>
      <c r="EM69" s="228">
        <v>0</v>
      </c>
      <c r="EN69" s="231">
        <v>744335.05</v>
      </c>
      <c r="EO69" s="231">
        <v>650258.29</v>
      </c>
      <c r="EP69" s="231">
        <v>94076.76</v>
      </c>
      <c r="EQ69" s="229">
        <v>0.1447</v>
      </c>
      <c r="ER69" s="231">
        <v>118996</v>
      </c>
      <c r="ES69" s="231">
        <v>84964</v>
      </c>
      <c r="ET69" s="231">
        <v>496180</v>
      </c>
      <c r="EU69" s="231">
        <v>1814577127</v>
      </c>
      <c r="EV69" s="231">
        <v>700140</v>
      </c>
      <c r="EW69" s="231">
        <v>975310</v>
      </c>
      <c r="EX69" s="231">
        <v>-275170</v>
      </c>
      <c r="EY69" s="229">
        <v>-0.28210000000000002</v>
      </c>
      <c r="EZ69" s="229">
        <v>0.12609999999999999</v>
      </c>
      <c r="FA69" s="227" t="s">
        <v>556</v>
      </c>
      <c r="FB69" s="161">
        <f t="shared" si="1"/>
        <v>148397875</v>
      </c>
    </row>
    <row r="70" spans="1:158" ht="17.25" thickBot="1" x14ac:dyDescent="0.3">
      <c r="A70" s="226">
        <v>45869</v>
      </c>
      <c r="B70" s="227" t="s">
        <v>162</v>
      </c>
      <c r="C70" s="227" t="s">
        <v>211</v>
      </c>
      <c r="D70" s="228">
        <v>1800</v>
      </c>
      <c r="E70" s="228">
        <v>385.7</v>
      </c>
      <c r="F70" s="228">
        <v>393.3</v>
      </c>
      <c r="G70" s="228">
        <v>-7.6</v>
      </c>
      <c r="H70" s="229">
        <v>-1.9300000000000001E-2</v>
      </c>
      <c r="I70" s="228">
        <v>384.3</v>
      </c>
      <c r="J70" s="228">
        <v>391.05</v>
      </c>
      <c r="K70" s="228">
        <v>-6.75</v>
      </c>
      <c r="L70" s="229">
        <v>-1.7299999999999999E-2</v>
      </c>
      <c r="M70" s="228">
        <v>383.7</v>
      </c>
      <c r="N70" s="228">
        <v>391.3</v>
      </c>
      <c r="O70" s="228">
        <v>-7.6</v>
      </c>
      <c r="P70" s="229">
        <v>-1.9400000000000001E-2</v>
      </c>
      <c r="Q70" s="228">
        <v>385.7</v>
      </c>
      <c r="R70" s="228">
        <v>393.3</v>
      </c>
      <c r="S70" s="228">
        <v>-7.6</v>
      </c>
      <c r="T70" s="229">
        <v>-1.9300000000000001E-2</v>
      </c>
      <c r="U70" s="228">
        <v>388.1</v>
      </c>
      <c r="V70" s="228">
        <v>395.65</v>
      </c>
      <c r="W70" s="228">
        <v>-7.55</v>
      </c>
      <c r="X70" s="229">
        <v>-1.9099999999999999E-2</v>
      </c>
      <c r="Y70" s="228">
        <v>1.4</v>
      </c>
      <c r="Z70" s="228">
        <v>0.25</v>
      </c>
      <c r="AA70" s="228">
        <v>1.1499999999999999</v>
      </c>
      <c r="AB70" s="229">
        <v>3.5999999999999999E-3</v>
      </c>
      <c r="AC70" s="228">
        <v>-0.6</v>
      </c>
      <c r="AD70" s="228">
        <v>0.25</v>
      </c>
      <c r="AE70" s="228">
        <v>-0.85</v>
      </c>
      <c r="AF70" s="229">
        <v>-1.6000000000000001E-3</v>
      </c>
      <c r="AG70" s="228">
        <v>1.4</v>
      </c>
      <c r="AH70" s="228">
        <v>2.25</v>
      </c>
      <c r="AI70" s="228">
        <v>-0.85</v>
      </c>
      <c r="AJ70" s="229">
        <v>3.5999999999999999E-3</v>
      </c>
      <c r="AK70" s="228">
        <v>3.8</v>
      </c>
      <c r="AL70" s="228">
        <v>4.5999999999999996</v>
      </c>
      <c r="AM70" s="228">
        <v>-0.8</v>
      </c>
      <c r="AN70" s="229">
        <v>9.9000000000000008E-3</v>
      </c>
      <c r="AO70" s="228">
        <v>386.04</v>
      </c>
      <c r="AP70" s="228">
        <v>388.09</v>
      </c>
      <c r="AQ70" s="228">
        <v>0</v>
      </c>
      <c r="AR70" s="230">
        <v>15521400</v>
      </c>
      <c r="AS70" s="230">
        <v>12007800</v>
      </c>
      <c r="AT70" s="230">
        <v>3513600</v>
      </c>
      <c r="AU70" s="229">
        <v>0.29260000000000003</v>
      </c>
      <c r="AV70" s="230">
        <v>6901200</v>
      </c>
      <c r="AW70" s="230">
        <v>5398200</v>
      </c>
      <c r="AX70" s="230">
        <v>1503000</v>
      </c>
      <c r="AY70" s="229">
        <v>0.27839999999999998</v>
      </c>
      <c r="AZ70" s="230">
        <v>8200800</v>
      </c>
      <c r="BA70" s="230">
        <v>6490800</v>
      </c>
      <c r="BB70" s="230">
        <v>1710000</v>
      </c>
      <c r="BC70" s="229">
        <v>0.26340000000000002</v>
      </c>
      <c r="BD70" s="230">
        <v>419400</v>
      </c>
      <c r="BE70" s="230">
        <v>118800</v>
      </c>
      <c r="BF70" s="230">
        <v>300600</v>
      </c>
      <c r="BG70" s="229">
        <v>2.5303</v>
      </c>
      <c r="BH70" s="230">
        <v>6849000</v>
      </c>
      <c r="BI70" s="230">
        <v>9451800</v>
      </c>
      <c r="BJ70" s="230">
        <v>-2602800</v>
      </c>
      <c r="BK70" s="229">
        <v>-0.27539999999999998</v>
      </c>
      <c r="BL70" s="230">
        <v>4212000</v>
      </c>
      <c r="BM70" s="230">
        <v>6409800</v>
      </c>
      <c r="BN70" s="230">
        <v>-2197800</v>
      </c>
      <c r="BO70" s="229">
        <v>-0.34289999999999998</v>
      </c>
      <c r="BP70" s="230">
        <v>26582400</v>
      </c>
      <c r="BQ70" s="230">
        <v>27869400</v>
      </c>
      <c r="BR70" s="230">
        <v>-1287000</v>
      </c>
      <c r="BS70" s="229">
        <v>-4.6199999999999998E-2</v>
      </c>
      <c r="BT70" s="230">
        <v>1422418</v>
      </c>
      <c r="BU70" s="230">
        <v>1052513</v>
      </c>
      <c r="BV70" s="230">
        <v>369905</v>
      </c>
      <c r="BW70" s="229">
        <v>0.35139999999999999</v>
      </c>
      <c r="BX70" s="230">
        <v>21457800</v>
      </c>
      <c r="BY70" s="230">
        <v>22678200</v>
      </c>
      <c r="BZ70" s="230">
        <v>-1220400</v>
      </c>
      <c r="CA70" s="229">
        <v>-5.3800000000000001E-2</v>
      </c>
      <c r="CB70" s="230">
        <v>1234800</v>
      </c>
      <c r="CC70" s="230">
        <v>5063400</v>
      </c>
      <c r="CD70" s="230">
        <v>-3828600</v>
      </c>
      <c r="CE70" s="229">
        <v>-0.75609999999999999</v>
      </c>
      <c r="CF70" s="230">
        <v>20763000</v>
      </c>
      <c r="CG70" s="230">
        <v>17229600</v>
      </c>
      <c r="CH70" s="230">
        <v>3533400</v>
      </c>
      <c r="CI70" s="229">
        <v>0.2051</v>
      </c>
      <c r="CJ70" s="230">
        <v>694800</v>
      </c>
      <c r="CK70" s="230">
        <v>385200</v>
      </c>
      <c r="CL70" s="230">
        <v>309600</v>
      </c>
      <c r="CM70" s="229">
        <v>0.80369999999999997</v>
      </c>
      <c r="CN70" s="230">
        <v>5401800</v>
      </c>
      <c r="CO70" s="230">
        <v>11689200</v>
      </c>
      <c r="CP70" s="230">
        <v>-6287400</v>
      </c>
      <c r="CQ70" s="229">
        <v>-0.53790000000000004</v>
      </c>
      <c r="CR70" s="230">
        <v>4555800</v>
      </c>
      <c r="CS70" s="230">
        <v>7812000</v>
      </c>
      <c r="CT70" s="230">
        <v>-3256200</v>
      </c>
      <c r="CU70" s="229">
        <v>-0.4168</v>
      </c>
      <c r="CV70" s="230">
        <v>31415400</v>
      </c>
      <c r="CW70" s="230">
        <v>42179400</v>
      </c>
      <c r="CX70" s="230">
        <v>-10764000</v>
      </c>
      <c r="CY70" s="229">
        <v>-0.25519999999999998</v>
      </c>
      <c r="CZ70" s="228">
        <v>30.44</v>
      </c>
      <c r="DA70" s="228">
        <v>30.25</v>
      </c>
      <c r="DB70" s="228">
        <v>0.19</v>
      </c>
      <c r="DC70" s="228">
        <v>0.19</v>
      </c>
      <c r="DD70" s="228">
        <v>37.35</v>
      </c>
      <c r="DE70" s="228">
        <v>37.35</v>
      </c>
      <c r="DF70" s="228">
        <v>-6.91</v>
      </c>
      <c r="DG70" s="228">
        <v>0</v>
      </c>
      <c r="DH70" s="228">
        <v>30.38</v>
      </c>
      <c r="DI70" s="228">
        <v>30.54</v>
      </c>
      <c r="DJ70" s="228">
        <v>-0.16</v>
      </c>
      <c r="DK70" s="228">
        <v>-0.16</v>
      </c>
      <c r="DL70" s="228">
        <v>30.52</v>
      </c>
      <c r="DM70" s="228">
        <v>29.84</v>
      </c>
      <c r="DN70" s="228">
        <v>0.68</v>
      </c>
      <c r="DO70" s="228">
        <v>0.68</v>
      </c>
      <c r="DP70" s="228">
        <v>0.84</v>
      </c>
      <c r="DQ70" s="228">
        <v>0.67</v>
      </c>
      <c r="DR70" s="228">
        <v>0.17</v>
      </c>
      <c r="DS70" s="229">
        <v>0.25369999999999998</v>
      </c>
      <c r="DT70" s="228">
        <v>420</v>
      </c>
      <c r="DU70" s="228">
        <v>380</v>
      </c>
      <c r="DV70" s="228">
        <v>0.61</v>
      </c>
      <c r="DW70" s="228">
        <v>0.68</v>
      </c>
      <c r="DX70" s="228">
        <v>-7.0000000000000007E-2</v>
      </c>
      <c r="DY70" s="229">
        <v>-0.10290000000000001</v>
      </c>
      <c r="DZ70" s="229">
        <v>0.9456</v>
      </c>
      <c r="EA70" s="230">
        <v>17614800</v>
      </c>
      <c r="EB70" s="229">
        <v>5.1999999999999998E-3</v>
      </c>
      <c r="EC70" s="229">
        <v>0.9456</v>
      </c>
      <c r="ED70" s="228">
        <v>2.0499999999999998</v>
      </c>
      <c r="EE70" s="229">
        <v>5.3E-3</v>
      </c>
      <c r="EF70" s="230">
        <v>670244</v>
      </c>
      <c r="EG70" s="230">
        <v>388321</v>
      </c>
      <c r="EH70" s="229">
        <v>0.72599999999999998</v>
      </c>
      <c r="EI70" s="229">
        <v>0.47120000000000001</v>
      </c>
      <c r="EJ70" s="231">
        <v>27787.86</v>
      </c>
      <c r="EK70" s="231">
        <v>16564.240000000002</v>
      </c>
      <c r="EL70" s="231">
        <v>60108.44</v>
      </c>
      <c r="EM70" s="228">
        <v>0</v>
      </c>
      <c r="EN70" s="231">
        <v>104460.54</v>
      </c>
      <c r="EO70" s="231">
        <v>110493.25</v>
      </c>
      <c r="EP70" s="231">
        <v>-6032.71</v>
      </c>
      <c r="EQ70" s="229">
        <v>-5.4600000000000003E-2</v>
      </c>
      <c r="ER70" s="231">
        <v>22164</v>
      </c>
      <c r="ES70" s="231">
        <v>17666</v>
      </c>
      <c r="ET70" s="231">
        <v>82779</v>
      </c>
      <c r="EU70" s="231">
        <v>91809066</v>
      </c>
      <c r="EV70" s="231">
        <v>122610</v>
      </c>
      <c r="EW70" s="231">
        <v>166728</v>
      </c>
      <c r="EX70" s="231">
        <v>-44118</v>
      </c>
      <c r="EY70" s="229">
        <v>-0.2646</v>
      </c>
      <c r="EZ70" s="229">
        <v>0.3422</v>
      </c>
      <c r="FA70" s="227" t="s">
        <v>568</v>
      </c>
      <c r="FB70" s="161">
        <f t="shared" si="1"/>
        <v>20223000</v>
      </c>
    </row>
    <row r="71" spans="1:158" ht="17.25" thickBot="1" x14ac:dyDescent="0.3">
      <c r="A71" s="226">
        <v>45869</v>
      </c>
      <c r="B71" s="227" t="s">
        <v>172</v>
      </c>
      <c r="C71" s="227" t="s">
        <v>212</v>
      </c>
      <c r="D71" s="228">
        <v>5000</v>
      </c>
      <c r="E71" s="228">
        <v>202.5</v>
      </c>
      <c r="F71" s="228">
        <v>204.8</v>
      </c>
      <c r="G71" s="228">
        <v>-2.2999999999999998</v>
      </c>
      <c r="H71" s="229">
        <v>-1.12E-2</v>
      </c>
      <c r="I71" s="228">
        <v>202.43</v>
      </c>
      <c r="J71" s="228">
        <v>204.68</v>
      </c>
      <c r="K71" s="228">
        <v>-2.25</v>
      </c>
      <c r="L71" s="229">
        <v>-1.0999999999999999E-2</v>
      </c>
      <c r="M71" s="228">
        <v>202.76</v>
      </c>
      <c r="N71" s="228">
        <v>205.19</v>
      </c>
      <c r="O71" s="228">
        <v>-2.4300000000000002</v>
      </c>
      <c r="P71" s="229">
        <v>-1.18E-2</v>
      </c>
      <c r="Q71" s="228">
        <v>202.5</v>
      </c>
      <c r="R71" s="228">
        <v>204.8</v>
      </c>
      <c r="S71" s="228">
        <v>-2.2999999999999998</v>
      </c>
      <c r="T71" s="229">
        <v>-1.12E-2</v>
      </c>
      <c r="U71" s="228">
        <v>203.44</v>
      </c>
      <c r="V71" s="228">
        <v>206.11</v>
      </c>
      <c r="W71" s="228">
        <v>-2.67</v>
      </c>
      <c r="X71" s="229">
        <v>-1.2999999999999999E-2</v>
      </c>
      <c r="Y71" s="228">
        <v>7.0000000000000007E-2</v>
      </c>
      <c r="Z71" s="228">
        <v>0.51</v>
      </c>
      <c r="AA71" s="228">
        <v>-0.44</v>
      </c>
      <c r="AB71" s="229">
        <v>2.9999999999999997E-4</v>
      </c>
      <c r="AC71" s="228">
        <v>0.33</v>
      </c>
      <c r="AD71" s="228">
        <v>0.51</v>
      </c>
      <c r="AE71" s="228">
        <v>-0.18</v>
      </c>
      <c r="AF71" s="229">
        <v>1.6000000000000001E-3</v>
      </c>
      <c r="AG71" s="228">
        <v>7.0000000000000007E-2</v>
      </c>
      <c r="AH71" s="228">
        <v>0.12</v>
      </c>
      <c r="AI71" s="228">
        <v>-0.05</v>
      </c>
      <c r="AJ71" s="229">
        <v>2.9999999999999997E-4</v>
      </c>
      <c r="AK71" s="228">
        <v>1.01</v>
      </c>
      <c r="AL71" s="228">
        <v>1.43</v>
      </c>
      <c r="AM71" s="228">
        <v>-0.42</v>
      </c>
      <c r="AN71" s="229">
        <v>5.0000000000000001E-3</v>
      </c>
      <c r="AO71" s="228">
        <v>203.29</v>
      </c>
      <c r="AP71" s="228">
        <v>203.03</v>
      </c>
      <c r="AQ71" s="228">
        <v>0</v>
      </c>
      <c r="AR71" s="230">
        <v>59575000</v>
      </c>
      <c r="AS71" s="230">
        <v>57965000</v>
      </c>
      <c r="AT71" s="230">
        <v>1610000</v>
      </c>
      <c r="AU71" s="229">
        <v>2.7799999999999998E-2</v>
      </c>
      <c r="AV71" s="230">
        <v>19745000</v>
      </c>
      <c r="AW71" s="230">
        <v>27970000</v>
      </c>
      <c r="AX71" s="230">
        <v>-8225000</v>
      </c>
      <c r="AY71" s="229">
        <v>-0.29409999999999997</v>
      </c>
      <c r="AZ71" s="230">
        <v>39055000</v>
      </c>
      <c r="BA71" s="230">
        <v>29500000</v>
      </c>
      <c r="BB71" s="230">
        <v>9555000</v>
      </c>
      <c r="BC71" s="229">
        <v>0.32390000000000002</v>
      </c>
      <c r="BD71" s="230">
        <v>775000</v>
      </c>
      <c r="BE71" s="230">
        <v>495000</v>
      </c>
      <c r="BF71" s="230">
        <v>280000</v>
      </c>
      <c r="BG71" s="229">
        <v>0.56569999999999998</v>
      </c>
      <c r="BH71" s="230">
        <v>36020000</v>
      </c>
      <c r="BI71" s="230">
        <v>29345000</v>
      </c>
      <c r="BJ71" s="230">
        <v>6675000</v>
      </c>
      <c r="BK71" s="229">
        <v>0.22750000000000001</v>
      </c>
      <c r="BL71" s="230">
        <v>29745000</v>
      </c>
      <c r="BM71" s="230">
        <v>22030000</v>
      </c>
      <c r="BN71" s="230">
        <v>7715000</v>
      </c>
      <c r="BO71" s="229">
        <v>0.35020000000000001</v>
      </c>
      <c r="BP71" s="230">
        <v>125340000</v>
      </c>
      <c r="BQ71" s="230">
        <v>109340000</v>
      </c>
      <c r="BR71" s="230">
        <v>16000000</v>
      </c>
      <c r="BS71" s="229">
        <v>0.14630000000000001</v>
      </c>
      <c r="BT71" s="230">
        <v>8861608</v>
      </c>
      <c r="BU71" s="230">
        <v>5701474</v>
      </c>
      <c r="BV71" s="230">
        <v>3160134</v>
      </c>
      <c r="BW71" s="229">
        <v>0.55430000000000001</v>
      </c>
      <c r="BX71" s="230">
        <v>77280000</v>
      </c>
      <c r="BY71" s="230">
        <v>82180000</v>
      </c>
      <c r="BZ71" s="230">
        <v>-4900000</v>
      </c>
      <c r="CA71" s="229">
        <v>-5.96E-2</v>
      </c>
      <c r="CB71" s="230">
        <v>6950000</v>
      </c>
      <c r="CC71" s="230">
        <v>16045000</v>
      </c>
      <c r="CD71" s="230">
        <v>-9095000</v>
      </c>
      <c r="CE71" s="229">
        <v>-0.56679999999999997</v>
      </c>
      <c r="CF71" s="230">
        <v>75770000</v>
      </c>
      <c r="CG71" s="230">
        <v>64840000</v>
      </c>
      <c r="CH71" s="230">
        <v>10930000</v>
      </c>
      <c r="CI71" s="229">
        <v>0.1686</v>
      </c>
      <c r="CJ71" s="230">
        <v>1510000</v>
      </c>
      <c r="CK71" s="230">
        <v>1295000</v>
      </c>
      <c r="CL71" s="230">
        <v>215000</v>
      </c>
      <c r="CM71" s="229">
        <v>0.16600000000000001</v>
      </c>
      <c r="CN71" s="230">
        <v>18240000</v>
      </c>
      <c r="CO71" s="230">
        <v>44285000</v>
      </c>
      <c r="CP71" s="230">
        <v>-26045000</v>
      </c>
      <c r="CQ71" s="229">
        <v>-0.58809999999999996</v>
      </c>
      <c r="CR71" s="230">
        <v>17420000</v>
      </c>
      <c r="CS71" s="230">
        <v>29650000</v>
      </c>
      <c r="CT71" s="230">
        <v>-12230000</v>
      </c>
      <c r="CU71" s="229">
        <v>-0.41249999999999998</v>
      </c>
      <c r="CV71" s="230">
        <v>112940000</v>
      </c>
      <c r="CW71" s="230">
        <v>156115000</v>
      </c>
      <c r="CX71" s="230">
        <v>-43175000</v>
      </c>
      <c r="CY71" s="229">
        <v>-0.27660000000000001</v>
      </c>
      <c r="CZ71" s="228">
        <v>26.87</v>
      </c>
      <c r="DA71" s="228">
        <v>26.74</v>
      </c>
      <c r="DB71" s="228">
        <v>0.13</v>
      </c>
      <c r="DC71" s="228">
        <v>0.13</v>
      </c>
      <c r="DD71" s="228">
        <v>30.43</v>
      </c>
      <c r="DE71" s="228">
        <v>30.47</v>
      </c>
      <c r="DF71" s="228">
        <v>-3.56</v>
      </c>
      <c r="DG71" s="228">
        <v>-0.04</v>
      </c>
      <c r="DH71" s="228">
        <v>27.11</v>
      </c>
      <c r="DI71" s="228">
        <v>27.29</v>
      </c>
      <c r="DJ71" s="228">
        <v>-0.18</v>
      </c>
      <c r="DK71" s="228">
        <v>-0.18</v>
      </c>
      <c r="DL71" s="228">
        <v>26.56</v>
      </c>
      <c r="DM71" s="228">
        <v>26.04</v>
      </c>
      <c r="DN71" s="228">
        <v>0.52</v>
      </c>
      <c r="DO71" s="228">
        <v>0.52</v>
      </c>
      <c r="DP71" s="228">
        <v>0.96</v>
      </c>
      <c r="DQ71" s="228">
        <v>0.67</v>
      </c>
      <c r="DR71" s="228">
        <v>0.28999999999999998</v>
      </c>
      <c r="DS71" s="229">
        <v>0.43280000000000002</v>
      </c>
      <c r="DT71" s="228">
        <v>220</v>
      </c>
      <c r="DU71" s="228">
        <v>200</v>
      </c>
      <c r="DV71" s="228">
        <v>0.83</v>
      </c>
      <c r="DW71" s="228">
        <v>0.75</v>
      </c>
      <c r="DX71" s="228">
        <v>0.08</v>
      </c>
      <c r="DY71" s="229">
        <v>0.1067</v>
      </c>
      <c r="DZ71" s="229">
        <v>0.91749999999999998</v>
      </c>
      <c r="EA71" s="230">
        <v>66135000</v>
      </c>
      <c r="EB71" s="229">
        <v>-1.2999999999999999E-3</v>
      </c>
      <c r="EC71" s="229">
        <v>0.91749999999999998</v>
      </c>
      <c r="ED71" s="228">
        <v>-0.26</v>
      </c>
      <c r="EE71" s="229">
        <v>-1.2999999999999999E-3</v>
      </c>
      <c r="EF71" s="230">
        <v>4451667</v>
      </c>
      <c r="EG71" s="230">
        <v>3249108</v>
      </c>
      <c r="EH71" s="229">
        <v>0.37009999999999998</v>
      </c>
      <c r="EI71" s="229">
        <v>0.50239999999999996</v>
      </c>
      <c r="EJ71" s="231">
        <v>76808</v>
      </c>
      <c r="EK71" s="231">
        <v>61715.22</v>
      </c>
      <c r="EL71" s="231">
        <v>121016.69</v>
      </c>
      <c r="EM71" s="228">
        <v>0</v>
      </c>
      <c r="EN71" s="231">
        <v>259539.91</v>
      </c>
      <c r="EO71" s="231">
        <v>226982.09</v>
      </c>
      <c r="EP71" s="231">
        <v>32557.82</v>
      </c>
      <c r="EQ71" s="229">
        <v>0.1434</v>
      </c>
      <c r="ER71" s="231">
        <v>39543</v>
      </c>
      <c r="ES71" s="231">
        <v>35402</v>
      </c>
      <c r="ET71" s="231">
        <v>156506</v>
      </c>
      <c r="EU71" s="231">
        <v>486316409</v>
      </c>
      <c r="EV71" s="231">
        <v>231451</v>
      </c>
      <c r="EW71" s="231">
        <v>327214</v>
      </c>
      <c r="EX71" s="231">
        <v>-95763</v>
      </c>
      <c r="EY71" s="229">
        <v>-0.29270000000000002</v>
      </c>
      <c r="EZ71" s="229">
        <v>0.23219999999999999</v>
      </c>
      <c r="FA71" s="227" t="s">
        <v>568</v>
      </c>
      <c r="FB71" s="161">
        <f t="shared" si="1"/>
        <v>70330000</v>
      </c>
    </row>
    <row r="72" spans="1:158" ht="17.25" thickBot="1" x14ac:dyDescent="0.3">
      <c r="A72" s="226">
        <v>45869</v>
      </c>
      <c r="B72" s="227" t="s">
        <v>181</v>
      </c>
      <c r="C72" s="227" t="s">
        <v>480</v>
      </c>
      <c r="D72" s="228">
        <v>65</v>
      </c>
      <c r="E72" s="231">
        <v>26731</v>
      </c>
      <c r="F72" s="231">
        <v>26806.7</v>
      </c>
      <c r="G72" s="228">
        <v>-75.7</v>
      </c>
      <c r="H72" s="229">
        <v>-2.8E-3</v>
      </c>
      <c r="I72" s="231">
        <v>26649.95</v>
      </c>
      <c r="J72" s="231">
        <v>26703.5</v>
      </c>
      <c r="K72" s="228">
        <v>-53.55</v>
      </c>
      <c r="L72" s="229">
        <v>-2E-3</v>
      </c>
      <c r="M72" s="231">
        <v>26662</v>
      </c>
      <c r="N72" s="231">
        <v>26715.599999999999</v>
      </c>
      <c r="O72" s="228">
        <v>-53.6</v>
      </c>
      <c r="P72" s="229">
        <v>-2E-3</v>
      </c>
      <c r="Q72" s="231">
        <v>26731</v>
      </c>
      <c r="R72" s="231">
        <v>26806.7</v>
      </c>
      <c r="S72" s="228">
        <v>-75.7</v>
      </c>
      <c r="T72" s="229">
        <v>-2.8E-3</v>
      </c>
      <c r="U72" s="228">
        <v>0</v>
      </c>
      <c r="V72" s="228">
        <v>0</v>
      </c>
      <c r="W72" s="228">
        <v>0</v>
      </c>
      <c r="X72" s="229">
        <v>0</v>
      </c>
      <c r="Y72" s="228">
        <v>81.05</v>
      </c>
      <c r="Z72" s="228">
        <v>12.1</v>
      </c>
      <c r="AA72" s="228">
        <v>68.95</v>
      </c>
      <c r="AB72" s="229">
        <v>3.0000000000000001E-3</v>
      </c>
      <c r="AC72" s="228">
        <v>12.05</v>
      </c>
      <c r="AD72" s="228">
        <v>12.1</v>
      </c>
      <c r="AE72" s="228">
        <v>-0.05</v>
      </c>
      <c r="AF72" s="229">
        <v>5.0000000000000001E-4</v>
      </c>
      <c r="AG72" s="228">
        <v>81.05</v>
      </c>
      <c r="AH72" s="228">
        <v>103.2</v>
      </c>
      <c r="AI72" s="228">
        <v>-22.15</v>
      </c>
      <c r="AJ72" s="229">
        <v>3.0000000000000001E-3</v>
      </c>
      <c r="AK72" s="228">
        <v>0</v>
      </c>
      <c r="AL72" s="228">
        <v>0</v>
      </c>
      <c r="AM72" s="228">
        <v>0</v>
      </c>
      <c r="AN72" s="229">
        <v>0</v>
      </c>
      <c r="AO72" s="231">
        <v>26634.26</v>
      </c>
      <c r="AP72" s="231">
        <v>26744.15</v>
      </c>
      <c r="AQ72" s="228">
        <v>0</v>
      </c>
      <c r="AR72" s="230">
        <v>112710</v>
      </c>
      <c r="AS72" s="230">
        <v>84110</v>
      </c>
      <c r="AT72" s="230">
        <v>28600</v>
      </c>
      <c r="AU72" s="229">
        <v>0.34</v>
      </c>
      <c r="AV72" s="230">
        <v>39780</v>
      </c>
      <c r="AW72" s="230">
        <v>45565</v>
      </c>
      <c r="AX72" s="230">
        <v>-5785</v>
      </c>
      <c r="AY72" s="229">
        <v>-0.127</v>
      </c>
      <c r="AZ72" s="230">
        <v>72930</v>
      </c>
      <c r="BA72" s="230">
        <v>38545</v>
      </c>
      <c r="BB72" s="230">
        <v>34385</v>
      </c>
      <c r="BC72" s="229">
        <v>0.8921</v>
      </c>
      <c r="BD72" s="228">
        <v>0</v>
      </c>
      <c r="BE72" s="228">
        <v>0</v>
      </c>
      <c r="BF72" s="228">
        <v>0</v>
      </c>
      <c r="BG72" s="229">
        <v>0</v>
      </c>
      <c r="BH72" s="230">
        <v>214082960</v>
      </c>
      <c r="BI72" s="230">
        <v>34086585</v>
      </c>
      <c r="BJ72" s="230">
        <v>179996375</v>
      </c>
      <c r="BK72" s="229">
        <v>5.2805999999999997</v>
      </c>
      <c r="BL72" s="230">
        <v>182922610</v>
      </c>
      <c r="BM72" s="230">
        <v>27270555</v>
      </c>
      <c r="BN72" s="230">
        <v>155652055</v>
      </c>
      <c r="BO72" s="229">
        <v>5.7077</v>
      </c>
      <c r="BP72" s="230">
        <v>397118280</v>
      </c>
      <c r="BQ72" s="230">
        <v>61441250</v>
      </c>
      <c r="BR72" s="230">
        <v>335677030</v>
      </c>
      <c r="BS72" s="229">
        <v>5.4634</v>
      </c>
      <c r="BT72" s="228">
        <v>0</v>
      </c>
      <c r="BU72" s="228">
        <v>0</v>
      </c>
      <c r="BV72" s="228">
        <v>0</v>
      </c>
      <c r="BW72" s="229">
        <v>0</v>
      </c>
      <c r="BX72" s="230">
        <v>75140</v>
      </c>
      <c r="BY72" s="230">
        <v>96005</v>
      </c>
      <c r="BZ72" s="230">
        <v>-20865</v>
      </c>
      <c r="CA72" s="229">
        <v>-0.21729999999999999</v>
      </c>
      <c r="CB72" s="230">
        <v>26065</v>
      </c>
      <c r="CC72" s="230">
        <v>41275</v>
      </c>
      <c r="CD72" s="230">
        <v>-15210</v>
      </c>
      <c r="CE72" s="229">
        <v>-0.36849999999999999</v>
      </c>
      <c r="CF72" s="230">
        <v>75140</v>
      </c>
      <c r="CG72" s="230">
        <v>54730</v>
      </c>
      <c r="CH72" s="230">
        <v>20410</v>
      </c>
      <c r="CI72" s="229">
        <v>0.37290000000000001</v>
      </c>
      <c r="CJ72" s="228">
        <v>0</v>
      </c>
      <c r="CK72" s="228">
        <v>0</v>
      </c>
      <c r="CL72" s="228">
        <v>0</v>
      </c>
      <c r="CM72" s="229">
        <v>0</v>
      </c>
      <c r="CN72" s="230">
        <v>58955</v>
      </c>
      <c r="CO72" s="230">
        <v>3325920</v>
      </c>
      <c r="CP72" s="230">
        <v>-3266965</v>
      </c>
      <c r="CQ72" s="229">
        <v>-0.98229999999999995</v>
      </c>
      <c r="CR72" s="230">
        <v>61035</v>
      </c>
      <c r="CS72" s="230">
        <v>2317380</v>
      </c>
      <c r="CT72" s="230">
        <v>-2256345</v>
      </c>
      <c r="CU72" s="229">
        <v>-0.97370000000000001</v>
      </c>
      <c r="CV72" s="230">
        <v>195130</v>
      </c>
      <c r="CW72" s="230">
        <v>5739305</v>
      </c>
      <c r="CX72" s="230">
        <v>-5544175</v>
      </c>
      <c r="CY72" s="229">
        <v>-0.96599999999999997</v>
      </c>
      <c r="CZ72" s="228">
        <v>11.95</v>
      </c>
      <c r="DA72" s="228">
        <v>12.04</v>
      </c>
      <c r="DB72" s="228">
        <v>-0.09</v>
      </c>
      <c r="DC72" s="228">
        <v>-0.09</v>
      </c>
      <c r="DD72" s="228">
        <v>19.100000000000001</v>
      </c>
      <c r="DE72" s="228">
        <v>19.14</v>
      </c>
      <c r="DF72" s="228">
        <v>-7.15</v>
      </c>
      <c r="DG72" s="228">
        <v>-0.04</v>
      </c>
      <c r="DH72" s="228">
        <v>11.85</v>
      </c>
      <c r="DI72" s="228">
        <v>12.04</v>
      </c>
      <c r="DJ72" s="228">
        <v>-0.19</v>
      </c>
      <c r="DK72" s="228">
        <v>-0.19</v>
      </c>
      <c r="DL72" s="228">
        <v>12.05</v>
      </c>
      <c r="DM72" s="228">
        <v>12.07</v>
      </c>
      <c r="DN72" s="228">
        <v>-0.02</v>
      </c>
      <c r="DO72" s="228">
        <v>-0.02</v>
      </c>
      <c r="DP72" s="228">
        <v>1.04</v>
      </c>
      <c r="DQ72" s="228">
        <v>0.7</v>
      </c>
      <c r="DR72" s="228">
        <v>0.34</v>
      </c>
      <c r="DS72" s="229">
        <v>0.48570000000000002</v>
      </c>
      <c r="DT72" s="231">
        <v>26650</v>
      </c>
      <c r="DU72" s="231">
        <v>26650</v>
      </c>
      <c r="DV72" s="228">
        <v>0.85</v>
      </c>
      <c r="DW72" s="228">
        <v>0.8</v>
      </c>
      <c r="DX72" s="228">
        <v>0.05</v>
      </c>
      <c r="DY72" s="229">
        <v>6.25E-2</v>
      </c>
      <c r="DZ72" s="229">
        <v>0.74250000000000005</v>
      </c>
      <c r="EA72" s="230">
        <v>54730</v>
      </c>
      <c r="EB72" s="229">
        <v>2.5999999999999999E-3</v>
      </c>
      <c r="EC72" s="229">
        <v>0.74250000000000005</v>
      </c>
      <c r="ED72" s="228">
        <v>109.89</v>
      </c>
      <c r="EE72" s="229">
        <v>4.1000000000000003E-3</v>
      </c>
      <c r="EF72" s="228">
        <v>0</v>
      </c>
      <c r="EG72" s="228">
        <v>0</v>
      </c>
      <c r="EH72" s="229">
        <v>0</v>
      </c>
      <c r="EI72" s="229">
        <v>0</v>
      </c>
      <c r="EJ72" s="231">
        <v>57543490.979999997</v>
      </c>
      <c r="EK72" s="231">
        <v>48558048.439999998</v>
      </c>
      <c r="EL72" s="231">
        <v>30099.62</v>
      </c>
      <c r="EM72" s="228">
        <v>0</v>
      </c>
      <c r="EN72" s="231">
        <v>106131639.04000001</v>
      </c>
      <c r="EO72" s="231">
        <v>16464512.42</v>
      </c>
      <c r="EP72" s="231">
        <v>89667126.620000005</v>
      </c>
      <c r="EQ72" s="229">
        <v>5.4461000000000004</v>
      </c>
      <c r="ER72" s="231">
        <v>15910</v>
      </c>
      <c r="ES72" s="231">
        <v>16069</v>
      </c>
      <c r="ET72" s="231">
        <v>20086</v>
      </c>
      <c r="EU72" s="228">
        <v>0</v>
      </c>
      <c r="EV72" s="231">
        <v>52064</v>
      </c>
      <c r="EW72" s="231">
        <v>1537398</v>
      </c>
      <c r="EX72" s="231">
        <v>-1485334</v>
      </c>
      <c r="EY72" s="229">
        <v>-0.96609999999999996</v>
      </c>
      <c r="EZ72" s="229">
        <v>0</v>
      </c>
      <c r="FA72" s="227" t="s">
        <v>568</v>
      </c>
      <c r="FB72" s="161">
        <f t="shared" si="1"/>
        <v>49075</v>
      </c>
    </row>
    <row r="73" spans="1:158" ht="17.25" thickBot="1" x14ac:dyDescent="0.3">
      <c r="A73" s="226">
        <v>45869</v>
      </c>
      <c r="B73" s="227" t="s">
        <v>170</v>
      </c>
      <c r="C73" s="227" t="s">
        <v>679</v>
      </c>
      <c r="D73" s="228">
        <v>775</v>
      </c>
      <c r="E73" s="228">
        <v>861.25</v>
      </c>
      <c r="F73" s="228">
        <v>848</v>
      </c>
      <c r="G73" s="228">
        <v>13.25</v>
      </c>
      <c r="H73" s="229">
        <v>1.5599999999999999E-2</v>
      </c>
      <c r="I73" s="228">
        <v>857.45</v>
      </c>
      <c r="J73" s="228">
        <v>842.7</v>
      </c>
      <c r="K73" s="228">
        <v>14.75</v>
      </c>
      <c r="L73" s="229">
        <v>1.7500000000000002E-2</v>
      </c>
      <c r="M73" s="228">
        <v>859.15</v>
      </c>
      <c r="N73" s="228">
        <v>843.25</v>
      </c>
      <c r="O73" s="228">
        <v>15.9</v>
      </c>
      <c r="P73" s="229">
        <v>1.89E-2</v>
      </c>
      <c r="Q73" s="228">
        <v>861.25</v>
      </c>
      <c r="R73" s="228">
        <v>848</v>
      </c>
      <c r="S73" s="228">
        <v>13.25</v>
      </c>
      <c r="T73" s="229">
        <v>1.5599999999999999E-2</v>
      </c>
      <c r="U73" s="228">
        <v>865.6</v>
      </c>
      <c r="V73" s="228">
        <v>853.25</v>
      </c>
      <c r="W73" s="228">
        <v>12.35</v>
      </c>
      <c r="X73" s="229">
        <v>1.4500000000000001E-2</v>
      </c>
      <c r="Y73" s="228">
        <v>3.8</v>
      </c>
      <c r="Z73" s="228">
        <v>0.55000000000000004</v>
      </c>
      <c r="AA73" s="228">
        <v>3.25</v>
      </c>
      <c r="AB73" s="229">
        <v>4.4000000000000003E-3</v>
      </c>
      <c r="AC73" s="228">
        <v>1.7</v>
      </c>
      <c r="AD73" s="228">
        <v>0.55000000000000004</v>
      </c>
      <c r="AE73" s="228">
        <v>1.1499999999999999</v>
      </c>
      <c r="AF73" s="229">
        <v>2E-3</v>
      </c>
      <c r="AG73" s="228">
        <v>3.8</v>
      </c>
      <c r="AH73" s="228">
        <v>5.3</v>
      </c>
      <c r="AI73" s="228">
        <v>-1.5</v>
      </c>
      <c r="AJ73" s="229">
        <v>4.4000000000000003E-3</v>
      </c>
      <c r="AK73" s="228">
        <v>8.15</v>
      </c>
      <c r="AL73" s="228">
        <v>10.55</v>
      </c>
      <c r="AM73" s="228">
        <v>-2.4</v>
      </c>
      <c r="AN73" s="229">
        <v>9.4999999999999998E-3</v>
      </c>
      <c r="AO73" s="228">
        <v>852.68</v>
      </c>
      <c r="AP73" s="228">
        <v>855.38</v>
      </c>
      <c r="AQ73" s="228">
        <v>0</v>
      </c>
      <c r="AR73" s="230">
        <v>5967500</v>
      </c>
      <c r="AS73" s="230">
        <v>6300750</v>
      </c>
      <c r="AT73" s="230">
        <v>-333250</v>
      </c>
      <c r="AU73" s="229">
        <v>-5.2900000000000003E-2</v>
      </c>
      <c r="AV73" s="230">
        <v>2684600</v>
      </c>
      <c r="AW73" s="230">
        <v>2790775</v>
      </c>
      <c r="AX73" s="230">
        <v>-106175</v>
      </c>
      <c r="AY73" s="229">
        <v>-3.7999999999999999E-2</v>
      </c>
      <c r="AZ73" s="230">
        <v>3237950</v>
      </c>
      <c r="BA73" s="230">
        <v>3503000</v>
      </c>
      <c r="BB73" s="230">
        <v>-265050</v>
      </c>
      <c r="BC73" s="229">
        <v>-7.5700000000000003E-2</v>
      </c>
      <c r="BD73" s="230">
        <v>44950</v>
      </c>
      <c r="BE73" s="230">
        <v>6975</v>
      </c>
      <c r="BF73" s="230">
        <v>37975</v>
      </c>
      <c r="BG73" s="229">
        <v>5.4443999999999999</v>
      </c>
      <c r="BH73" s="230">
        <v>3283675</v>
      </c>
      <c r="BI73" s="230">
        <v>2340500</v>
      </c>
      <c r="BJ73" s="230">
        <v>943175</v>
      </c>
      <c r="BK73" s="229">
        <v>0.40300000000000002</v>
      </c>
      <c r="BL73" s="230">
        <v>1446925</v>
      </c>
      <c r="BM73" s="230">
        <v>1399650</v>
      </c>
      <c r="BN73" s="230">
        <v>47275</v>
      </c>
      <c r="BO73" s="229">
        <v>3.3799999999999997E-2</v>
      </c>
      <c r="BP73" s="230">
        <v>10698100</v>
      </c>
      <c r="BQ73" s="230">
        <v>10040900</v>
      </c>
      <c r="BR73" s="230">
        <v>657200</v>
      </c>
      <c r="BS73" s="229">
        <v>6.5500000000000003E-2</v>
      </c>
      <c r="BT73" s="230">
        <v>2085814</v>
      </c>
      <c r="BU73" s="230">
        <v>1437520</v>
      </c>
      <c r="BV73" s="230">
        <v>648294</v>
      </c>
      <c r="BW73" s="229">
        <v>0.45100000000000001</v>
      </c>
      <c r="BX73" s="230">
        <v>9466625</v>
      </c>
      <c r="BY73" s="230">
        <v>10295100</v>
      </c>
      <c r="BZ73" s="230">
        <v>-828475</v>
      </c>
      <c r="CA73" s="229">
        <v>-8.0500000000000002E-2</v>
      </c>
      <c r="CB73" s="230">
        <v>942400</v>
      </c>
      <c r="CC73" s="230">
        <v>1284175</v>
      </c>
      <c r="CD73" s="230">
        <v>-341775</v>
      </c>
      <c r="CE73" s="229">
        <v>-0.2661</v>
      </c>
      <c r="CF73" s="230">
        <v>9399975</v>
      </c>
      <c r="CG73" s="230">
        <v>8968300</v>
      </c>
      <c r="CH73" s="230">
        <v>431675</v>
      </c>
      <c r="CI73" s="229">
        <v>4.8099999999999997E-2</v>
      </c>
      <c r="CJ73" s="230">
        <v>66650</v>
      </c>
      <c r="CK73" s="230">
        <v>42625</v>
      </c>
      <c r="CL73" s="230">
        <v>24025</v>
      </c>
      <c r="CM73" s="229">
        <v>0.56359999999999999</v>
      </c>
      <c r="CN73" s="230">
        <v>700600</v>
      </c>
      <c r="CO73" s="230">
        <v>2638100</v>
      </c>
      <c r="CP73" s="230">
        <v>-1937500</v>
      </c>
      <c r="CQ73" s="229">
        <v>-0.73440000000000005</v>
      </c>
      <c r="CR73" s="230">
        <v>432450</v>
      </c>
      <c r="CS73" s="230">
        <v>1988650</v>
      </c>
      <c r="CT73" s="230">
        <v>-1556200</v>
      </c>
      <c r="CU73" s="229">
        <v>-0.78249999999999997</v>
      </c>
      <c r="CV73" s="230">
        <v>10599675</v>
      </c>
      <c r="CW73" s="230">
        <v>14921850</v>
      </c>
      <c r="CX73" s="230">
        <v>-4322175</v>
      </c>
      <c r="CY73" s="229">
        <v>-0.28970000000000001</v>
      </c>
      <c r="CZ73" s="228">
        <v>32.53</v>
      </c>
      <c r="DA73" s="228">
        <v>33.090000000000003</v>
      </c>
      <c r="DB73" s="228">
        <v>-0.56000000000000005</v>
      </c>
      <c r="DC73" s="228">
        <v>-0.56000000000000005</v>
      </c>
      <c r="DD73" s="228">
        <v>37.74</v>
      </c>
      <c r="DE73" s="228">
        <v>37.76</v>
      </c>
      <c r="DF73" s="228">
        <v>-5.21</v>
      </c>
      <c r="DG73" s="228">
        <v>-0.02</v>
      </c>
      <c r="DH73" s="228">
        <v>32.369999999999997</v>
      </c>
      <c r="DI73" s="228">
        <v>33.020000000000003</v>
      </c>
      <c r="DJ73" s="228">
        <v>-0.65</v>
      </c>
      <c r="DK73" s="228">
        <v>-0.65</v>
      </c>
      <c r="DL73" s="228">
        <v>33.130000000000003</v>
      </c>
      <c r="DM73" s="228">
        <v>33.28</v>
      </c>
      <c r="DN73" s="228">
        <v>-0.15</v>
      </c>
      <c r="DO73" s="228">
        <v>-0.15</v>
      </c>
      <c r="DP73" s="228">
        <v>0.62</v>
      </c>
      <c r="DQ73" s="228">
        <v>0.75</v>
      </c>
      <c r="DR73" s="228">
        <v>-0.13</v>
      </c>
      <c r="DS73" s="229">
        <v>-0.17330000000000001</v>
      </c>
      <c r="DT73" s="228">
        <v>850</v>
      </c>
      <c r="DU73" s="228">
        <v>700</v>
      </c>
      <c r="DV73" s="228">
        <v>0.44</v>
      </c>
      <c r="DW73" s="228">
        <v>0.6</v>
      </c>
      <c r="DX73" s="228">
        <v>-0.16</v>
      </c>
      <c r="DY73" s="229">
        <v>-0.26669999999999999</v>
      </c>
      <c r="DZ73" s="229">
        <v>0.90949999999999998</v>
      </c>
      <c r="EA73" s="230">
        <v>9010925</v>
      </c>
      <c r="EB73" s="229">
        <v>2.3999999999999998E-3</v>
      </c>
      <c r="EC73" s="229">
        <v>0.90949999999999998</v>
      </c>
      <c r="ED73" s="228">
        <v>2.7</v>
      </c>
      <c r="EE73" s="229">
        <v>3.2000000000000002E-3</v>
      </c>
      <c r="EF73" s="230">
        <v>1159477</v>
      </c>
      <c r="EG73" s="230">
        <v>882775</v>
      </c>
      <c r="EH73" s="229">
        <v>0.31340000000000001</v>
      </c>
      <c r="EI73" s="229">
        <v>0.55589999999999995</v>
      </c>
      <c r="EJ73" s="231">
        <v>28956.12</v>
      </c>
      <c r="EK73" s="231">
        <v>11932.63</v>
      </c>
      <c r="EL73" s="231">
        <v>50975.62</v>
      </c>
      <c r="EM73" s="228">
        <v>0</v>
      </c>
      <c r="EN73" s="231">
        <v>91864.37</v>
      </c>
      <c r="EO73" s="231">
        <v>85332</v>
      </c>
      <c r="EP73" s="231">
        <v>6532.37</v>
      </c>
      <c r="EQ73" s="229">
        <v>7.6600000000000001E-2</v>
      </c>
      <c r="ER73" s="231">
        <v>6160</v>
      </c>
      <c r="ES73" s="231">
        <v>3460</v>
      </c>
      <c r="ET73" s="231">
        <v>81534</v>
      </c>
      <c r="EU73" s="231">
        <v>103932806</v>
      </c>
      <c r="EV73" s="231">
        <v>91153</v>
      </c>
      <c r="EW73" s="231">
        <v>125210</v>
      </c>
      <c r="EX73" s="231">
        <v>-34057</v>
      </c>
      <c r="EY73" s="229">
        <v>-0.27200000000000002</v>
      </c>
      <c r="EZ73" s="229">
        <v>0.10199999999999999</v>
      </c>
      <c r="FA73" s="227" t="s">
        <v>556</v>
      </c>
      <c r="FB73" s="161">
        <f t="shared" si="1"/>
        <v>8524225</v>
      </c>
    </row>
    <row r="74" spans="1:158" ht="17.25" thickBot="1" x14ac:dyDescent="0.3">
      <c r="A74" s="226">
        <v>45869</v>
      </c>
      <c r="B74" s="227" t="s">
        <v>193</v>
      </c>
      <c r="C74" s="227" t="s">
        <v>213</v>
      </c>
      <c r="D74" s="228">
        <v>3150</v>
      </c>
      <c r="E74" s="228">
        <v>177.36</v>
      </c>
      <c r="F74" s="228">
        <v>180.33</v>
      </c>
      <c r="G74" s="228">
        <v>-2.97</v>
      </c>
      <c r="H74" s="229">
        <v>-1.6500000000000001E-2</v>
      </c>
      <c r="I74" s="228">
        <v>177.68</v>
      </c>
      <c r="J74" s="228">
        <v>180.57</v>
      </c>
      <c r="K74" s="228">
        <v>-2.89</v>
      </c>
      <c r="L74" s="229">
        <v>-1.6E-2</v>
      </c>
      <c r="M74" s="228">
        <v>177.21</v>
      </c>
      <c r="N74" s="228">
        <v>180.45</v>
      </c>
      <c r="O74" s="228">
        <v>-3.24</v>
      </c>
      <c r="P74" s="229">
        <v>-1.7999999999999999E-2</v>
      </c>
      <c r="Q74" s="228">
        <v>177.36</v>
      </c>
      <c r="R74" s="228">
        <v>180.33</v>
      </c>
      <c r="S74" s="228">
        <v>-2.97</v>
      </c>
      <c r="T74" s="229">
        <v>-1.6500000000000001E-2</v>
      </c>
      <c r="U74" s="228">
        <v>178.23</v>
      </c>
      <c r="V74" s="228">
        <v>181.2</v>
      </c>
      <c r="W74" s="228">
        <v>-2.97</v>
      </c>
      <c r="X74" s="229">
        <v>-1.6400000000000001E-2</v>
      </c>
      <c r="Y74" s="228">
        <v>-0.32</v>
      </c>
      <c r="Z74" s="228">
        <v>-0.12</v>
      </c>
      <c r="AA74" s="228">
        <v>-0.2</v>
      </c>
      <c r="AB74" s="229">
        <v>-1.8E-3</v>
      </c>
      <c r="AC74" s="228">
        <v>-0.47</v>
      </c>
      <c r="AD74" s="228">
        <v>-0.12</v>
      </c>
      <c r="AE74" s="228">
        <v>-0.35</v>
      </c>
      <c r="AF74" s="229">
        <v>-2.5999999999999999E-3</v>
      </c>
      <c r="AG74" s="228">
        <v>-0.32</v>
      </c>
      <c r="AH74" s="228">
        <v>-0.24</v>
      </c>
      <c r="AI74" s="228">
        <v>-0.08</v>
      </c>
      <c r="AJ74" s="229">
        <v>-1.8E-3</v>
      </c>
      <c r="AK74" s="228">
        <v>0.55000000000000004</v>
      </c>
      <c r="AL74" s="228">
        <v>0.63</v>
      </c>
      <c r="AM74" s="228">
        <v>-0.08</v>
      </c>
      <c r="AN74" s="229">
        <v>3.0999999999999999E-3</v>
      </c>
      <c r="AO74" s="228">
        <v>178.21</v>
      </c>
      <c r="AP74" s="228">
        <v>178.1</v>
      </c>
      <c r="AQ74" s="228">
        <v>0</v>
      </c>
      <c r="AR74" s="230">
        <v>47139750</v>
      </c>
      <c r="AS74" s="230">
        <v>57818250</v>
      </c>
      <c r="AT74" s="230">
        <v>-10678500</v>
      </c>
      <c r="AU74" s="229">
        <v>-0.1847</v>
      </c>
      <c r="AV74" s="230">
        <v>18257400</v>
      </c>
      <c r="AW74" s="230">
        <v>25933950</v>
      </c>
      <c r="AX74" s="230">
        <v>-7676550</v>
      </c>
      <c r="AY74" s="229">
        <v>-0.29599999999999999</v>
      </c>
      <c r="AZ74" s="230">
        <v>27282150</v>
      </c>
      <c r="BA74" s="230">
        <v>30230550</v>
      </c>
      <c r="BB74" s="230">
        <v>-2948400</v>
      </c>
      <c r="BC74" s="229">
        <v>-9.7500000000000003E-2</v>
      </c>
      <c r="BD74" s="230">
        <v>1600200</v>
      </c>
      <c r="BE74" s="230">
        <v>1653750</v>
      </c>
      <c r="BF74" s="230">
        <v>-53550</v>
      </c>
      <c r="BG74" s="229">
        <v>-3.2399999999999998E-2</v>
      </c>
      <c r="BH74" s="230">
        <v>24954300</v>
      </c>
      <c r="BI74" s="230">
        <v>35336700</v>
      </c>
      <c r="BJ74" s="230">
        <v>-10382400</v>
      </c>
      <c r="BK74" s="229">
        <v>-0.29380000000000001</v>
      </c>
      <c r="BL74" s="230">
        <v>22815450</v>
      </c>
      <c r="BM74" s="230">
        <v>25114950</v>
      </c>
      <c r="BN74" s="230">
        <v>-2299500</v>
      </c>
      <c r="BO74" s="229">
        <v>-9.1600000000000001E-2</v>
      </c>
      <c r="BP74" s="230">
        <v>94909500</v>
      </c>
      <c r="BQ74" s="230">
        <v>118269900</v>
      </c>
      <c r="BR74" s="230">
        <v>-23360400</v>
      </c>
      <c r="BS74" s="229">
        <v>-0.19750000000000001</v>
      </c>
      <c r="BT74" s="230">
        <v>8278221</v>
      </c>
      <c r="BU74" s="230">
        <v>9952175</v>
      </c>
      <c r="BV74" s="230">
        <v>-1673954</v>
      </c>
      <c r="BW74" s="229">
        <v>-0.16819999999999999</v>
      </c>
      <c r="BX74" s="230">
        <v>91715400</v>
      </c>
      <c r="BY74" s="230">
        <v>93907800</v>
      </c>
      <c r="BZ74" s="230">
        <v>-2192400</v>
      </c>
      <c r="CA74" s="229">
        <v>-2.3300000000000001E-2</v>
      </c>
      <c r="CB74" s="230">
        <v>6536250</v>
      </c>
      <c r="CC74" s="230">
        <v>14990850</v>
      </c>
      <c r="CD74" s="230">
        <v>-8454600</v>
      </c>
      <c r="CE74" s="229">
        <v>-0.56399999999999995</v>
      </c>
      <c r="CF74" s="230">
        <v>88893000</v>
      </c>
      <c r="CG74" s="230">
        <v>76705650</v>
      </c>
      <c r="CH74" s="230">
        <v>12187350</v>
      </c>
      <c r="CI74" s="229">
        <v>0.15890000000000001</v>
      </c>
      <c r="CJ74" s="230">
        <v>2822400</v>
      </c>
      <c r="CK74" s="230">
        <v>2211300</v>
      </c>
      <c r="CL74" s="230">
        <v>611100</v>
      </c>
      <c r="CM74" s="229">
        <v>0.27639999999999998</v>
      </c>
      <c r="CN74" s="230">
        <v>26885250</v>
      </c>
      <c r="CO74" s="230">
        <v>48210750</v>
      </c>
      <c r="CP74" s="230">
        <v>-21325500</v>
      </c>
      <c r="CQ74" s="229">
        <v>-0.44230000000000003</v>
      </c>
      <c r="CR74" s="230">
        <v>24242400</v>
      </c>
      <c r="CS74" s="230">
        <v>33160050</v>
      </c>
      <c r="CT74" s="230">
        <v>-8917650</v>
      </c>
      <c r="CU74" s="229">
        <v>-0.26889999999999997</v>
      </c>
      <c r="CV74" s="230">
        <v>142843050</v>
      </c>
      <c r="CW74" s="230">
        <v>175278600</v>
      </c>
      <c r="CX74" s="230">
        <v>-32435550</v>
      </c>
      <c r="CY74" s="229">
        <v>-0.18509999999999999</v>
      </c>
      <c r="CZ74" s="228">
        <v>28.01</v>
      </c>
      <c r="DA74" s="228">
        <v>27.7</v>
      </c>
      <c r="DB74" s="228">
        <v>0.31</v>
      </c>
      <c r="DC74" s="228">
        <v>0.31</v>
      </c>
      <c r="DD74" s="228">
        <v>39.46</v>
      </c>
      <c r="DE74" s="228">
        <v>39.5</v>
      </c>
      <c r="DF74" s="228">
        <v>-11.45</v>
      </c>
      <c r="DG74" s="228">
        <v>-0.04</v>
      </c>
      <c r="DH74" s="228">
        <v>28.43</v>
      </c>
      <c r="DI74" s="228">
        <v>28.15</v>
      </c>
      <c r="DJ74" s="228">
        <v>0.28000000000000003</v>
      </c>
      <c r="DK74" s="228">
        <v>0.28000000000000003</v>
      </c>
      <c r="DL74" s="228">
        <v>27.51</v>
      </c>
      <c r="DM74" s="228">
        <v>27.02</v>
      </c>
      <c r="DN74" s="228">
        <v>0.49</v>
      </c>
      <c r="DO74" s="228">
        <v>0.49</v>
      </c>
      <c r="DP74" s="228">
        <v>0.9</v>
      </c>
      <c r="DQ74" s="228">
        <v>0.69</v>
      </c>
      <c r="DR74" s="228">
        <v>0.21</v>
      </c>
      <c r="DS74" s="229">
        <v>0.30430000000000001</v>
      </c>
      <c r="DT74" s="228">
        <v>180</v>
      </c>
      <c r="DU74" s="228">
        <v>180</v>
      </c>
      <c r="DV74" s="228">
        <v>0.91</v>
      </c>
      <c r="DW74" s="228">
        <v>0.71</v>
      </c>
      <c r="DX74" s="228">
        <v>0.2</v>
      </c>
      <c r="DY74" s="229">
        <v>0.28170000000000001</v>
      </c>
      <c r="DZ74" s="229">
        <v>0.9335</v>
      </c>
      <c r="EA74" s="230">
        <v>78916950</v>
      </c>
      <c r="EB74" s="229">
        <v>8.0000000000000004E-4</v>
      </c>
      <c r="EC74" s="229">
        <v>0.9335</v>
      </c>
      <c r="ED74" s="228">
        <v>-0.11</v>
      </c>
      <c r="EE74" s="229">
        <v>-5.9999999999999995E-4</v>
      </c>
      <c r="EF74" s="230">
        <v>4373678</v>
      </c>
      <c r="EG74" s="230">
        <v>5328586</v>
      </c>
      <c r="EH74" s="229">
        <v>-0.1792</v>
      </c>
      <c r="EI74" s="229">
        <v>0.52829999999999999</v>
      </c>
      <c r="EJ74" s="231">
        <v>46922.61</v>
      </c>
      <c r="EK74" s="231">
        <v>43108.02</v>
      </c>
      <c r="EL74" s="231">
        <v>83992.14</v>
      </c>
      <c r="EM74" s="228">
        <v>0</v>
      </c>
      <c r="EN74" s="231">
        <v>174022.77</v>
      </c>
      <c r="EO74" s="231">
        <v>217770.41</v>
      </c>
      <c r="EP74" s="231">
        <v>-43747.64</v>
      </c>
      <c r="EQ74" s="229">
        <v>-0.2009</v>
      </c>
      <c r="ER74" s="231">
        <v>50987</v>
      </c>
      <c r="ES74" s="231">
        <v>44440</v>
      </c>
      <c r="ET74" s="231">
        <v>162691</v>
      </c>
      <c r="EU74" s="231">
        <v>628365076</v>
      </c>
      <c r="EV74" s="231">
        <v>258118</v>
      </c>
      <c r="EW74" s="231">
        <v>323840</v>
      </c>
      <c r="EX74" s="231">
        <v>-65722</v>
      </c>
      <c r="EY74" s="229">
        <v>-0.2029</v>
      </c>
      <c r="EZ74" s="229">
        <v>0.2273</v>
      </c>
      <c r="FA74" s="227" t="s">
        <v>568</v>
      </c>
      <c r="FB74" s="161">
        <f t="shared" si="1"/>
        <v>85179150</v>
      </c>
    </row>
    <row r="75" spans="1:158" ht="17.25" thickBot="1" x14ac:dyDescent="0.3">
      <c r="A75" s="226">
        <v>45869</v>
      </c>
      <c r="B75" s="227" t="s">
        <v>170</v>
      </c>
      <c r="C75" s="227" t="s">
        <v>214</v>
      </c>
      <c r="D75" s="228">
        <v>375</v>
      </c>
      <c r="E75" s="231">
        <v>2145.3000000000002</v>
      </c>
      <c r="F75" s="231">
        <v>2164.6</v>
      </c>
      <c r="G75" s="228">
        <v>-19.3</v>
      </c>
      <c r="H75" s="229">
        <v>-8.8999999999999999E-3</v>
      </c>
      <c r="I75" s="231">
        <v>2134.1</v>
      </c>
      <c r="J75" s="231">
        <v>2153.6</v>
      </c>
      <c r="K75" s="228">
        <v>-19.5</v>
      </c>
      <c r="L75" s="229">
        <v>-9.1000000000000004E-3</v>
      </c>
      <c r="M75" s="231">
        <v>2135.4</v>
      </c>
      <c r="N75" s="231">
        <v>2152.6999999999998</v>
      </c>
      <c r="O75" s="228">
        <v>-17.3</v>
      </c>
      <c r="P75" s="229">
        <v>-8.0000000000000002E-3</v>
      </c>
      <c r="Q75" s="231">
        <v>2145.3000000000002</v>
      </c>
      <c r="R75" s="231">
        <v>2164.6</v>
      </c>
      <c r="S75" s="228">
        <v>-19.3</v>
      </c>
      <c r="T75" s="229">
        <v>-8.8999999999999999E-3</v>
      </c>
      <c r="U75" s="231">
        <v>2151.6</v>
      </c>
      <c r="V75" s="231">
        <v>2171.5</v>
      </c>
      <c r="W75" s="228">
        <v>-19.899999999999999</v>
      </c>
      <c r="X75" s="229">
        <v>-9.1999999999999998E-3</v>
      </c>
      <c r="Y75" s="228">
        <v>11.2</v>
      </c>
      <c r="Z75" s="228">
        <v>-0.9</v>
      </c>
      <c r="AA75" s="228">
        <v>12.1</v>
      </c>
      <c r="AB75" s="229">
        <v>5.1999999999999998E-3</v>
      </c>
      <c r="AC75" s="228">
        <v>1.3</v>
      </c>
      <c r="AD75" s="228">
        <v>-0.9</v>
      </c>
      <c r="AE75" s="228">
        <v>2.2000000000000002</v>
      </c>
      <c r="AF75" s="229">
        <v>5.9999999999999995E-4</v>
      </c>
      <c r="AG75" s="228">
        <v>11.2</v>
      </c>
      <c r="AH75" s="228">
        <v>11</v>
      </c>
      <c r="AI75" s="228">
        <v>0.2</v>
      </c>
      <c r="AJ75" s="229">
        <v>5.1999999999999998E-3</v>
      </c>
      <c r="AK75" s="228">
        <v>17.5</v>
      </c>
      <c r="AL75" s="228">
        <v>17.899999999999999</v>
      </c>
      <c r="AM75" s="228">
        <v>-0.4</v>
      </c>
      <c r="AN75" s="229">
        <v>8.2000000000000007E-3</v>
      </c>
      <c r="AO75" s="231">
        <v>2148.16</v>
      </c>
      <c r="AP75" s="231">
        <v>2159.54</v>
      </c>
      <c r="AQ75" s="228">
        <v>0</v>
      </c>
      <c r="AR75" s="230">
        <v>4757250</v>
      </c>
      <c r="AS75" s="230">
        <v>4217250</v>
      </c>
      <c r="AT75" s="230">
        <v>540000</v>
      </c>
      <c r="AU75" s="229">
        <v>0.128</v>
      </c>
      <c r="AV75" s="230">
        <v>2166750</v>
      </c>
      <c r="AW75" s="230">
        <v>2080875</v>
      </c>
      <c r="AX75" s="230">
        <v>85875</v>
      </c>
      <c r="AY75" s="229">
        <v>4.1300000000000003E-2</v>
      </c>
      <c r="AZ75" s="230">
        <v>2562000</v>
      </c>
      <c r="BA75" s="230">
        <v>2121750</v>
      </c>
      <c r="BB75" s="230">
        <v>440250</v>
      </c>
      <c r="BC75" s="229">
        <v>0.20749999999999999</v>
      </c>
      <c r="BD75" s="230">
        <v>28500</v>
      </c>
      <c r="BE75" s="230">
        <v>14625</v>
      </c>
      <c r="BF75" s="230">
        <v>13875</v>
      </c>
      <c r="BG75" s="229">
        <v>0.94869999999999999</v>
      </c>
      <c r="BH75" s="230">
        <v>4377000</v>
      </c>
      <c r="BI75" s="230">
        <v>2889000</v>
      </c>
      <c r="BJ75" s="230">
        <v>1488000</v>
      </c>
      <c r="BK75" s="229">
        <v>0.5151</v>
      </c>
      <c r="BL75" s="230">
        <v>3112875</v>
      </c>
      <c r="BM75" s="230">
        <v>2261250</v>
      </c>
      <c r="BN75" s="230">
        <v>851625</v>
      </c>
      <c r="BO75" s="229">
        <v>0.37659999999999999</v>
      </c>
      <c r="BP75" s="230">
        <v>12247125</v>
      </c>
      <c r="BQ75" s="230">
        <v>9367500</v>
      </c>
      <c r="BR75" s="230">
        <v>2879625</v>
      </c>
      <c r="BS75" s="229">
        <v>0.30740000000000001</v>
      </c>
      <c r="BT75" s="230">
        <v>1018268</v>
      </c>
      <c r="BU75" s="230">
        <v>793948</v>
      </c>
      <c r="BV75" s="230">
        <v>224320</v>
      </c>
      <c r="BW75" s="229">
        <v>0.28249999999999997</v>
      </c>
      <c r="BX75" s="230">
        <v>7309500</v>
      </c>
      <c r="BY75" s="230">
        <v>8602500</v>
      </c>
      <c r="BZ75" s="230">
        <v>-1293000</v>
      </c>
      <c r="CA75" s="229">
        <v>-0.15029999999999999</v>
      </c>
      <c r="CB75" s="230">
        <v>910125</v>
      </c>
      <c r="CC75" s="230">
        <v>2016375</v>
      </c>
      <c r="CD75" s="230">
        <v>-1106250</v>
      </c>
      <c r="CE75" s="229">
        <v>-0.54859999999999998</v>
      </c>
      <c r="CF75" s="230">
        <v>7212375</v>
      </c>
      <c r="CG75" s="230">
        <v>6481875</v>
      </c>
      <c r="CH75" s="230">
        <v>730500</v>
      </c>
      <c r="CI75" s="229">
        <v>0.11269999999999999</v>
      </c>
      <c r="CJ75" s="230">
        <v>97125</v>
      </c>
      <c r="CK75" s="230">
        <v>104250</v>
      </c>
      <c r="CL75" s="230">
        <v>-7125</v>
      </c>
      <c r="CM75" s="229">
        <v>-6.83E-2</v>
      </c>
      <c r="CN75" s="230">
        <v>733125</v>
      </c>
      <c r="CO75" s="230">
        <v>5841750</v>
      </c>
      <c r="CP75" s="230">
        <v>-5108625</v>
      </c>
      <c r="CQ75" s="229">
        <v>-0.87450000000000006</v>
      </c>
      <c r="CR75" s="230">
        <v>538125</v>
      </c>
      <c r="CS75" s="230">
        <v>4700625</v>
      </c>
      <c r="CT75" s="230">
        <v>-4162500</v>
      </c>
      <c r="CU75" s="229">
        <v>-0.88549999999999995</v>
      </c>
      <c r="CV75" s="230">
        <v>8580750</v>
      </c>
      <c r="CW75" s="230">
        <v>19144875</v>
      </c>
      <c r="CX75" s="230">
        <v>-10564125</v>
      </c>
      <c r="CY75" s="229">
        <v>-0.55179999999999996</v>
      </c>
      <c r="CZ75" s="228">
        <v>32.19</v>
      </c>
      <c r="DA75" s="228">
        <v>32.380000000000003</v>
      </c>
      <c r="DB75" s="228">
        <v>-0.19</v>
      </c>
      <c r="DC75" s="228">
        <v>-0.19</v>
      </c>
      <c r="DD75" s="228">
        <v>40.32</v>
      </c>
      <c r="DE75" s="228">
        <v>40.409999999999997</v>
      </c>
      <c r="DF75" s="228">
        <v>-8.1300000000000008</v>
      </c>
      <c r="DG75" s="228">
        <v>-0.09</v>
      </c>
      <c r="DH75" s="228">
        <v>31.55</v>
      </c>
      <c r="DI75" s="228">
        <v>32.07</v>
      </c>
      <c r="DJ75" s="228">
        <v>-0.52</v>
      </c>
      <c r="DK75" s="228">
        <v>-0.52</v>
      </c>
      <c r="DL75" s="228">
        <v>33.770000000000003</v>
      </c>
      <c r="DM75" s="228">
        <v>33.56</v>
      </c>
      <c r="DN75" s="228">
        <v>0.21</v>
      </c>
      <c r="DO75" s="228">
        <v>0.21</v>
      </c>
      <c r="DP75" s="228">
        <v>0.73</v>
      </c>
      <c r="DQ75" s="228">
        <v>0.8</v>
      </c>
      <c r="DR75" s="228">
        <v>-7.0000000000000007E-2</v>
      </c>
      <c r="DS75" s="229">
        <v>-8.7499999999999994E-2</v>
      </c>
      <c r="DT75" s="231">
        <v>1900</v>
      </c>
      <c r="DU75" s="231">
        <v>2000</v>
      </c>
      <c r="DV75" s="228">
        <v>0.71</v>
      </c>
      <c r="DW75" s="228">
        <v>0.78</v>
      </c>
      <c r="DX75" s="228">
        <v>-7.0000000000000007E-2</v>
      </c>
      <c r="DY75" s="229">
        <v>-8.9700000000000002E-2</v>
      </c>
      <c r="DZ75" s="229">
        <v>0.88929999999999998</v>
      </c>
      <c r="EA75" s="230">
        <v>6586125</v>
      </c>
      <c r="EB75" s="229">
        <v>4.5999999999999999E-3</v>
      </c>
      <c r="EC75" s="229">
        <v>0.88929999999999998</v>
      </c>
      <c r="ED75" s="228">
        <v>11.38</v>
      </c>
      <c r="EE75" s="229">
        <v>5.3E-3</v>
      </c>
      <c r="EF75" s="230">
        <v>458928</v>
      </c>
      <c r="EG75" s="230">
        <v>476417</v>
      </c>
      <c r="EH75" s="229">
        <v>-3.6700000000000003E-2</v>
      </c>
      <c r="EI75" s="229">
        <v>0.45069999999999999</v>
      </c>
      <c r="EJ75" s="231">
        <v>97643.94</v>
      </c>
      <c r="EK75" s="231">
        <v>63409.69</v>
      </c>
      <c r="EL75" s="231">
        <v>102489.44</v>
      </c>
      <c r="EM75" s="228">
        <v>0</v>
      </c>
      <c r="EN75" s="231">
        <v>263543.07</v>
      </c>
      <c r="EO75" s="231">
        <v>203698.76</v>
      </c>
      <c r="EP75" s="231">
        <v>59844.31</v>
      </c>
      <c r="EQ75" s="229">
        <v>0.29380000000000001</v>
      </c>
      <c r="ER75" s="231">
        <v>16241</v>
      </c>
      <c r="ES75" s="231">
        <v>11184</v>
      </c>
      <c r="ET75" s="231">
        <v>156817</v>
      </c>
      <c r="EU75" s="231">
        <v>30111043</v>
      </c>
      <c r="EV75" s="231">
        <v>184242</v>
      </c>
      <c r="EW75" s="231">
        <v>396784</v>
      </c>
      <c r="EX75" s="231">
        <v>-212542</v>
      </c>
      <c r="EY75" s="229">
        <v>-0.53569999999999995</v>
      </c>
      <c r="EZ75" s="229">
        <v>0.28499999999999998</v>
      </c>
      <c r="FA75" s="227" t="s">
        <v>568</v>
      </c>
      <c r="FB75" s="161">
        <f t="shared" si="1"/>
        <v>6399375</v>
      </c>
    </row>
    <row r="76" spans="1:158" ht="17.25" thickBot="1" x14ac:dyDescent="0.3">
      <c r="A76" s="226">
        <v>45869</v>
      </c>
      <c r="B76" s="227" t="s">
        <v>215</v>
      </c>
      <c r="C76" s="227" t="s">
        <v>632</v>
      </c>
      <c r="D76" s="228">
        <v>6975</v>
      </c>
      <c r="E76" s="228">
        <v>90.59</v>
      </c>
      <c r="F76" s="228">
        <v>90.29</v>
      </c>
      <c r="G76" s="228">
        <v>0.3</v>
      </c>
      <c r="H76" s="229">
        <v>3.3E-3</v>
      </c>
      <c r="I76" s="228">
        <v>90.06</v>
      </c>
      <c r="J76" s="228">
        <v>89.84</v>
      </c>
      <c r="K76" s="228">
        <v>0.22</v>
      </c>
      <c r="L76" s="229">
        <v>2.3999999999999998E-3</v>
      </c>
      <c r="M76" s="228">
        <v>90.26</v>
      </c>
      <c r="N76" s="228">
        <v>89.82</v>
      </c>
      <c r="O76" s="228">
        <v>0.44</v>
      </c>
      <c r="P76" s="229">
        <v>4.8999999999999998E-3</v>
      </c>
      <c r="Q76" s="228">
        <v>90.59</v>
      </c>
      <c r="R76" s="228">
        <v>90.29</v>
      </c>
      <c r="S76" s="228">
        <v>0.3</v>
      </c>
      <c r="T76" s="229">
        <v>3.3E-3</v>
      </c>
      <c r="U76" s="228">
        <v>91.12</v>
      </c>
      <c r="V76" s="228">
        <v>90.84</v>
      </c>
      <c r="W76" s="228">
        <v>0.28000000000000003</v>
      </c>
      <c r="X76" s="229">
        <v>3.0999999999999999E-3</v>
      </c>
      <c r="Y76" s="228">
        <v>0.53</v>
      </c>
      <c r="Z76" s="228">
        <v>-0.02</v>
      </c>
      <c r="AA76" s="228">
        <v>0.55000000000000004</v>
      </c>
      <c r="AB76" s="229">
        <v>5.8999999999999999E-3</v>
      </c>
      <c r="AC76" s="228">
        <v>0.2</v>
      </c>
      <c r="AD76" s="228">
        <v>-0.02</v>
      </c>
      <c r="AE76" s="228">
        <v>0.22</v>
      </c>
      <c r="AF76" s="229">
        <v>2.2000000000000001E-3</v>
      </c>
      <c r="AG76" s="228">
        <v>0.53</v>
      </c>
      <c r="AH76" s="228">
        <v>0.45</v>
      </c>
      <c r="AI76" s="228">
        <v>0.08</v>
      </c>
      <c r="AJ76" s="229">
        <v>5.8999999999999999E-3</v>
      </c>
      <c r="AK76" s="228">
        <v>1.06</v>
      </c>
      <c r="AL76" s="228">
        <v>1</v>
      </c>
      <c r="AM76" s="228">
        <v>0.06</v>
      </c>
      <c r="AN76" s="229">
        <v>1.18E-2</v>
      </c>
      <c r="AO76" s="228">
        <v>90.36</v>
      </c>
      <c r="AP76" s="228">
        <v>90.8</v>
      </c>
      <c r="AQ76" s="228">
        <v>0</v>
      </c>
      <c r="AR76" s="230">
        <v>106445475</v>
      </c>
      <c r="AS76" s="230">
        <v>131269500</v>
      </c>
      <c r="AT76" s="230">
        <v>-24824025</v>
      </c>
      <c r="AU76" s="229">
        <v>-0.18909999999999999</v>
      </c>
      <c r="AV76" s="230">
        <v>48218175</v>
      </c>
      <c r="AW76" s="230">
        <v>60654600</v>
      </c>
      <c r="AX76" s="230">
        <v>-12436425</v>
      </c>
      <c r="AY76" s="229">
        <v>-0.20499999999999999</v>
      </c>
      <c r="AZ76" s="230">
        <v>57327525</v>
      </c>
      <c r="BA76" s="230">
        <v>69987150</v>
      </c>
      <c r="BB76" s="230">
        <v>-12659625</v>
      </c>
      <c r="BC76" s="229">
        <v>-0.18090000000000001</v>
      </c>
      <c r="BD76" s="230">
        <v>899775</v>
      </c>
      <c r="BE76" s="230">
        <v>627750</v>
      </c>
      <c r="BF76" s="230">
        <v>272025</v>
      </c>
      <c r="BG76" s="229">
        <v>0.43330000000000002</v>
      </c>
      <c r="BH76" s="230">
        <v>50519925</v>
      </c>
      <c r="BI76" s="230">
        <v>88589475</v>
      </c>
      <c r="BJ76" s="230">
        <v>-38069550</v>
      </c>
      <c r="BK76" s="229">
        <v>-0.42970000000000003</v>
      </c>
      <c r="BL76" s="230">
        <v>51873075</v>
      </c>
      <c r="BM76" s="230">
        <v>35216775</v>
      </c>
      <c r="BN76" s="230">
        <v>16656300</v>
      </c>
      <c r="BO76" s="229">
        <v>0.47299999999999998</v>
      </c>
      <c r="BP76" s="230">
        <v>208838475</v>
      </c>
      <c r="BQ76" s="230">
        <v>255075750</v>
      </c>
      <c r="BR76" s="230">
        <v>-46237275</v>
      </c>
      <c r="BS76" s="229">
        <v>-0.18129999999999999</v>
      </c>
      <c r="BT76" s="230">
        <v>10254931</v>
      </c>
      <c r="BU76" s="230">
        <v>9985594</v>
      </c>
      <c r="BV76" s="230">
        <v>269337</v>
      </c>
      <c r="BW76" s="229">
        <v>2.7E-2</v>
      </c>
      <c r="BX76" s="230">
        <v>186588225</v>
      </c>
      <c r="BY76" s="230">
        <v>193507425</v>
      </c>
      <c r="BZ76" s="230">
        <v>-6919200</v>
      </c>
      <c r="CA76" s="229">
        <v>-3.5799999999999998E-2</v>
      </c>
      <c r="CB76" s="230">
        <v>5747400</v>
      </c>
      <c r="CC76" s="230">
        <v>36730350</v>
      </c>
      <c r="CD76" s="230">
        <v>-30982950</v>
      </c>
      <c r="CE76" s="229">
        <v>-0.84350000000000003</v>
      </c>
      <c r="CF76" s="230">
        <v>183993525</v>
      </c>
      <c r="CG76" s="230">
        <v>154593900</v>
      </c>
      <c r="CH76" s="230">
        <v>29399625</v>
      </c>
      <c r="CI76" s="229">
        <v>0.19020000000000001</v>
      </c>
      <c r="CJ76" s="230">
        <v>2594700</v>
      </c>
      <c r="CK76" s="230">
        <v>2183175</v>
      </c>
      <c r="CL76" s="230">
        <v>411525</v>
      </c>
      <c r="CM76" s="229">
        <v>0.1885</v>
      </c>
      <c r="CN76" s="230">
        <v>47485800</v>
      </c>
      <c r="CO76" s="230">
        <v>104032125</v>
      </c>
      <c r="CP76" s="230">
        <v>-56546325</v>
      </c>
      <c r="CQ76" s="229">
        <v>-0.54349999999999998</v>
      </c>
      <c r="CR76" s="230">
        <v>23742900</v>
      </c>
      <c r="CS76" s="230">
        <v>47304450</v>
      </c>
      <c r="CT76" s="230">
        <v>-23561550</v>
      </c>
      <c r="CU76" s="229">
        <v>-0.49809999999999999</v>
      </c>
      <c r="CV76" s="230">
        <v>257816925</v>
      </c>
      <c r="CW76" s="230">
        <v>344844000</v>
      </c>
      <c r="CX76" s="230">
        <v>-87027075</v>
      </c>
      <c r="CY76" s="229">
        <v>-0.25240000000000001</v>
      </c>
      <c r="CZ76" s="228">
        <v>29.62</v>
      </c>
      <c r="DA76" s="228">
        <v>29.16</v>
      </c>
      <c r="DB76" s="228">
        <v>0.46</v>
      </c>
      <c r="DC76" s="228">
        <v>0.46</v>
      </c>
      <c r="DD76" s="228">
        <v>40.03</v>
      </c>
      <c r="DE76" s="228">
        <v>40.130000000000003</v>
      </c>
      <c r="DF76" s="228">
        <v>-10.41</v>
      </c>
      <c r="DG76" s="228">
        <v>-0.1</v>
      </c>
      <c r="DH76" s="228">
        <v>29.07</v>
      </c>
      <c r="DI76" s="228">
        <v>29.43</v>
      </c>
      <c r="DJ76" s="228">
        <v>-0.36</v>
      </c>
      <c r="DK76" s="228">
        <v>-0.36</v>
      </c>
      <c r="DL76" s="228">
        <v>30.06</v>
      </c>
      <c r="DM76" s="228">
        <v>28</v>
      </c>
      <c r="DN76" s="228">
        <v>2.06</v>
      </c>
      <c r="DO76" s="228">
        <v>2.06</v>
      </c>
      <c r="DP76" s="228">
        <v>0.5</v>
      </c>
      <c r="DQ76" s="228">
        <v>0.45</v>
      </c>
      <c r="DR76" s="228">
        <v>0.05</v>
      </c>
      <c r="DS76" s="229">
        <v>0.1111</v>
      </c>
      <c r="DT76" s="228">
        <v>95</v>
      </c>
      <c r="DU76" s="228">
        <v>90</v>
      </c>
      <c r="DV76" s="228">
        <v>1.03</v>
      </c>
      <c r="DW76" s="228">
        <v>0.4</v>
      </c>
      <c r="DX76" s="228">
        <v>0.63</v>
      </c>
      <c r="DY76" s="229">
        <v>1.575</v>
      </c>
      <c r="DZ76" s="229">
        <v>0.97009999999999996</v>
      </c>
      <c r="EA76" s="230">
        <v>156777075</v>
      </c>
      <c r="EB76" s="229">
        <v>3.7000000000000002E-3</v>
      </c>
      <c r="EC76" s="229">
        <v>0.97009999999999996</v>
      </c>
      <c r="ED76" s="228">
        <v>0.44</v>
      </c>
      <c r="EE76" s="229">
        <v>4.8999999999999998E-3</v>
      </c>
      <c r="EF76" s="230">
        <v>5378952</v>
      </c>
      <c r="EG76" s="230">
        <v>3377996</v>
      </c>
      <c r="EH76" s="229">
        <v>0.59240000000000004</v>
      </c>
      <c r="EI76" s="229">
        <v>0.52449999999999997</v>
      </c>
      <c r="EJ76" s="231">
        <v>47315.25</v>
      </c>
      <c r="EK76" s="231">
        <v>46271.85</v>
      </c>
      <c r="EL76" s="231">
        <v>96443.73</v>
      </c>
      <c r="EM76" s="228">
        <v>0</v>
      </c>
      <c r="EN76" s="231">
        <v>190030.83</v>
      </c>
      <c r="EO76" s="231">
        <v>234716.35</v>
      </c>
      <c r="EP76" s="231">
        <v>-44685.52</v>
      </c>
      <c r="EQ76" s="229">
        <v>-0.19040000000000001</v>
      </c>
      <c r="ER76" s="231">
        <v>45354</v>
      </c>
      <c r="ES76" s="231">
        <v>20940</v>
      </c>
      <c r="ET76" s="231">
        <v>169044</v>
      </c>
      <c r="EU76" s="231">
        <v>712939229</v>
      </c>
      <c r="EV76" s="231">
        <v>235338</v>
      </c>
      <c r="EW76" s="231">
        <v>315236</v>
      </c>
      <c r="EX76" s="231">
        <v>-79898</v>
      </c>
      <c r="EY76" s="229">
        <v>-0.2535</v>
      </c>
      <c r="EZ76" s="229">
        <v>0.36159999999999998</v>
      </c>
      <c r="FA76" s="227" t="s">
        <v>556</v>
      </c>
      <c r="FB76" s="161">
        <f t="shared" si="1"/>
        <v>180840825</v>
      </c>
    </row>
    <row r="77" spans="1:158" ht="17.25" thickBot="1" x14ac:dyDescent="0.3">
      <c r="A77" s="226">
        <v>45869</v>
      </c>
      <c r="B77" s="227" t="s">
        <v>168</v>
      </c>
      <c r="C77" s="227" t="s">
        <v>217</v>
      </c>
      <c r="D77" s="228">
        <v>500</v>
      </c>
      <c r="E77" s="231">
        <v>1259.9000000000001</v>
      </c>
      <c r="F77" s="231">
        <v>1223.2</v>
      </c>
      <c r="G77" s="228">
        <v>36.700000000000003</v>
      </c>
      <c r="H77" s="229">
        <v>0.03</v>
      </c>
      <c r="I77" s="231">
        <v>1259</v>
      </c>
      <c r="J77" s="231">
        <v>1216.5999999999999</v>
      </c>
      <c r="K77" s="228">
        <v>42.4</v>
      </c>
      <c r="L77" s="229">
        <v>3.49E-2</v>
      </c>
      <c r="M77" s="231">
        <v>1258.2</v>
      </c>
      <c r="N77" s="231">
        <v>1218.5</v>
      </c>
      <c r="O77" s="228">
        <v>39.700000000000003</v>
      </c>
      <c r="P77" s="229">
        <v>3.2599999999999997E-2</v>
      </c>
      <c r="Q77" s="231">
        <v>1259.9000000000001</v>
      </c>
      <c r="R77" s="231">
        <v>1223.2</v>
      </c>
      <c r="S77" s="228">
        <v>36.700000000000003</v>
      </c>
      <c r="T77" s="229">
        <v>0.03</v>
      </c>
      <c r="U77" s="231">
        <v>1262.4000000000001</v>
      </c>
      <c r="V77" s="231">
        <v>1229.5</v>
      </c>
      <c r="W77" s="228">
        <v>32.9</v>
      </c>
      <c r="X77" s="229">
        <v>2.6800000000000001E-2</v>
      </c>
      <c r="Y77" s="228">
        <v>0.9</v>
      </c>
      <c r="Z77" s="228">
        <v>1.9</v>
      </c>
      <c r="AA77" s="228">
        <v>-1</v>
      </c>
      <c r="AB77" s="229">
        <v>6.9999999999999999E-4</v>
      </c>
      <c r="AC77" s="228">
        <v>-0.8</v>
      </c>
      <c r="AD77" s="228">
        <v>1.9</v>
      </c>
      <c r="AE77" s="228">
        <v>-2.7</v>
      </c>
      <c r="AF77" s="229">
        <v>-5.9999999999999995E-4</v>
      </c>
      <c r="AG77" s="228">
        <v>0.9</v>
      </c>
      <c r="AH77" s="228">
        <v>6.6</v>
      </c>
      <c r="AI77" s="228">
        <v>-5.7</v>
      </c>
      <c r="AJ77" s="229">
        <v>6.9999999999999999E-4</v>
      </c>
      <c r="AK77" s="228">
        <v>3.4</v>
      </c>
      <c r="AL77" s="228">
        <v>12.9</v>
      </c>
      <c r="AM77" s="228">
        <v>-9.5</v>
      </c>
      <c r="AN77" s="229">
        <v>2.7000000000000001E-3</v>
      </c>
      <c r="AO77" s="231">
        <v>1249.8599999999999</v>
      </c>
      <c r="AP77" s="231">
        <v>1252.24</v>
      </c>
      <c r="AQ77" s="228">
        <v>0</v>
      </c>
      <c r="AR77" s="230">
        <v>6786500</v>
      </c>
      <c r="AS77" s="230">
        <v>4902000</v>
      </c>
      <c r="AT77" s="230">
        <v>1884500</v>
      </c>
      <c r="AU77" s="229">
        <v>0.38440000000000002</v>
      </c>
      <c r="AV77" s="230">
        <v>2765000</v>
      </c>
      <c r="AW77" s="230">
        <v>2260500</v>
      </c>
      <c r="AX77" s="230">
        <v>504500</v>
      </c>
      <c r="AY77" s="229">
        <v>0.22320000000000001</v>
      </c>
      <c r="AZ77" s="230">
        <v>4000500</v>
      </c>
      <c r="BA77" s="230">
        <v>2630500</v>
      </c>
      <c r="BB77" s="230">
        <v>1370000</v>
      </c>
      <c r="BC77" s="229">
        <v>0.52080000000000004</v>
      </c>
      <c r="BD77" s="230">
        <v>21000</v>
      </c>
      <c r="BE77" s="230">
        <v>11000</v>
      </c>
      <c r="BF77" s="230">
        <v>10000</v>
      </c>
      <c r="BG77" s="229">
        <v>0.90910000000000002</v>
      </c>
      <c r="BH77" s="230">
        <v>6625000</v>
      </c>
      <c r="BI77" s="230">
        <v>2242500</v>
      </c>
      <c r="BJ77" s="230">
        <v>4382500</v>
      </c>
      <c r="BK77" s="229">
        <v>1.9542999999999999</v>
      </c>
      <c r="BL77" s="230">
        <v>1307000</v>
      </c>
      <c r="BM77" s="230">
        <v>869500</v>
      </c>
      <c r="BN77" s="230">
        <v>437500</v>
      </c>
      <c r="BO77" s="229">
        <v>0.50319999999999998</v>
      </c>
      <c r="BP77" s="230">
        <v>14718500</v>
      </c>
      <c r="BQ77" s="230">
        <v>8014000</v>
      </c>
      <c r="BR77" s="230">
        <v>6704500</v>
      </c>
      <c r="BS77" s="229">
        <v>0.83660000000000001</v>
      </c>
      <c r="BT77" s="230">
        <v>1638117</v>
      </c>
      <c r="BU77" s="230">
        <v>1904441</v>
      </c>
      <c r="BV77" s="230">
        <v>-266324</v>
      </c>
      <c r="BW77" s="229">
        <v>-0.13980000000000001</v>
      </c>
      <c r="BX77" s="230">
        <v>9317500</v>
      </c>
      <c r="BY77" s="230">
        <v>11924000</v>
      </c>
      <c r="BZ77" s="230">
        <v>-2606500</v>
      </c>
      <c r="CA77" s="229">
        <v>-0.21859999999999999</v>
      </c>
      <c r="CB77" s="230">
        <v>1973000</v>
      </c>
      <c r="CC77" s="230">
        <v>3753500</v>
      </c>
      <c r="CD77" s="230">
        <v>-1780500</v>
      </c>
      <c r="CE77" s="229">
        <v>-0.47439999999999999</v>
      </c>
      <c r="CF77" s="230">
        <v>9292500</v>
      </c>
      <c r="CG77" s="230">
        <v>8151000</v>
      </c>
      <c r="CH77" s="230">
        <v>1141500</v>
      </c>
      <c r="CI77" s="229">
        <v>0.14000000000000001</v>
      </c>
      <c r="CJ77" s="230">
        <v>25000</v>
      </c>
      <c r="CK77" s="230">
        <v>19500</v>
      </c>
      <c r="CL77" s="230">
        <v>5500</v>
      </c>
      <c r="CM77" s="229">
        <v>0.28210000000000002</v>
      </c>
      <c r="CN77" s="230">
        <v>606500</v>
      </c>
      <c r="CO77" s="230">
        <v>2124500</v>
      </c>
      <c r="CP77" s="230">
        <v>-1518000</v>
      </c>
      <c r="CQ77" s="229">
        <v>-0.71450000000000002</v>
      </c>
      <c r="CR77" s="230">
        <v>349000</v>
      </c>
      <c r="CS77" s="230">
        <v>1428500</v>
      </c>
      <c r="CT77" s="230">
        <v>-1079500</v>
      </c>
      <c r="CU77" s="229">
        <v>-0.75570000000000004</v>
      </c>
      <c r="CV77" s="230">
        <v>10273000</v>
      </c>
      <c r="CW77" s="230">
        <v>15477000</v>
      </c>
      <c r="CX77" s="230">
        <v>-5204000</v>
      </c>
      <c r="CY77" s="229">
        <v>-0.3362</v>
      </c>
      <c r="CZ77" s="228">
        <v>26.35</v>
      </c>
      <c r="DA77" s="228">
        <v>24.94</v>
      </c>
      <c r="DB77" s="228">
        <v>1.41</v>
      </c>
      <c r="DC77" s="228">
        <v>1.41</v>
      </c>
      <c r="DD77" s="228">
        <v>31.25</v>
      </c>
      <c r="DE77" s="228">
        <v>30.99</v>
      </c>
      <c r="DF77" s="228">
        <v>-4.9000000000000004</v>
      </c>
      <c r="DG77" s="228">
        <v>0.26</v>
      </c>
      <c r="DH77" s="228">
        <v>26.19</v>
      </c>
      <c r="DI77" s="228">
        <v>24.86</v>
      </c>
      <c r="DJ77" s="228">
        <v>1.33</v>
      </c>
      <c r="DK77" s="228">
        <v>1.33</v>
      </c>
      <c r="DL77" s="228">
        <v>27.34</v>
      </c>
      <c r="DM77" s="228">
        <v>25.13</v>
      </c>
      <c r="DN77" s="228">
        <v>2.21</v>
      </c>
      <c r="DO77" s="228">
        <v>2.21</v>
      </c>
      <c r="DP77" s="228">
        <v>0.57999999999999996</v>
      </c>
      <c r="DQ77" s="228">
        <v>0.67</v>
      </c>
      <c r="DR77" s="228">
        <v>-0.09</v>
      </c>
      <c r="DS77" s="229">
        <v>-0.1343</v>
      </c>
      <c r="DT77" s="231">
        <v>1300</v>
      </c>
      <c r="DU77" s="231">
        <v>1200</v>
      </c>
      <c r="DV77" s="228">
        <v>0.2</v>
      </c>
      <c r="DW77" s="228">
        <v>0.39</v>
      </c>
      <c r="DX77" s="228">
        <v>-0.19</v>
      </c>
      <c r="DY77" s="229">
        <v>-0.48720000000000002</v>
      </c>
      <c r="DZ77" s="229">
        <v>0.82530000000000003</v>
      </c>
      <c r="EA77" s="230">
        <v>8170500</v>
      </c>
      <c r="EB77" s="229">
        <v>1.4E-3</v>
      </c>
      <c r="EC77" s="229">
        <v>0.82530000000000003</v>
      </c>
      <c r="ED77" s="228">
        <v>2.38</v>
      </c>
      <c r="EE77" s="229">
        <v>1.9E-3</v>
      </c>
      <c r="EF77" s="230">
        <v>743508</v>
      </c>
      <c r="EG77" s="230">
        <v>1617905</v>
      </c>
      <c r="EH77" s="229">
        <v>-0.54049999999999998</v>
      </c>
      <c r="EI77" s="229">
        <v>0.45390000000000003</v>
      </c>
      <c r="EJ77" s="231">
        <v>85564.67</v>
      </c>
      <c r="EK77" s="231">
        <v>15931.63</v>
      </c>
      <c r="EL77" s="231">
        <v>84917.77</v>
      </c>
      <c r="EM77" s="228">
        <v>0</v>
      </c>
      <c r="EN77" s="231">
        <v>186414.07</v>
      </c>
      <c r="EO77" s="231">
        <v>98471.2</v>
      </c>
      <c r="EP77" s="231">
        <v>87942.87</v>
      </c>
      <c r="EQ77" s="229">
        <v>0.8931</v>
      </c>
      <c r="ER77" s="231">
        <v>7811</v>
      </c>
      <c r="ES77" s="231">
        <v>4205</v>
      </c>
      <c r="ET77" s="231">
        <v>117392</v>
      </c>
      <c r="EU77" s="231">
        <v>96028079</v>
      </c>
      <c r="EV77" s="231">
        <v>129407</v>
      </c>
      <c r="EW77" s="231">
        <v>190007</v>
      </c>
      <c r="EX77" s="231">
        <v>-60600</v>
      </c>
      <c r="EY77" s="229">
        <v>-0.31890000000000002</v>
      </c>
      <c r="EZ77" s="229">
        <v>0.107</v>
      </c>
      <c r="FA77" s="227" t="s">
        <v>556</v>
      </c>
      <c r="FB77" s="161">
        <f t="shared" si="1"/>
        <v>7344500</v>
      </c>
    </row>
    <row r="78" spans="1:158" ht="17.25" thickBot="1" x14ac:dyDescent="0.3">
      <c r="A78" s="226">
        <v>45869</v>
      </c>
      <c r="B78" s="227" t="s">
        <v>206</v>
      </c>
      <c r="C78" s="227" t="s">
        <v>218</v>
      </c>
      <c r="D78" s="228">
        <v>275</v>
      </c>
      <c r="E78" s="231">
        <v>2109.3000000000002</v>
      </c>
      <c r="F78" s="231">
        <v>2142.3000000000002</v>
      </c>
      <c r="G78" s="228">
        <v>-33</v>
      </c>
      <c r="H78" s="229">
        <v>-1.54E-2</v>
      </c>
      <c r="I78" s="231">
        <v>2102.9</v>
      </c>
      <c r="J78" s="231">
        <v>2129.4</v>
      </c>
      <c r="K78" s="228">
        <v>-26.5</v>
      </c>
      <c r="L78" s="229">
        <v>-1.24E-2</v>
      </c>
      <c r="M78" s="231">
        <v>2098.6999999999998</v>
      </c>
      <c r="N78" s="231">
        <v>2131.4</v>
      </c>
      <c r="O78" s="228">
        <v>-32.700000000000003</v>
      </c>
      <c r="P78" s="229">
        <v>-1.5299999999999999E-2</v>
      </c>
      <c r="Q78" s="231">
        <v>2109.3000000000002</v>
      </c>
      <c r="R78" s="231">
        <v>2142.3000000000002</v>
      </c>
      <c r="S78" s="228">
        <v>-33</v>
      </c>
      <c r="T78" s="229">
        <v>-1.54E-2</v>
      </c>
      <c r="U78" s="231">
        <v>2123.6</v>
      </c>
      <c r="V78" s="231">
        <v>2154.8000000000002</v>
      </c>
      <c r="W78" s="228">
        <v>-31.2</v>
      </c>
      <c r="X78" s="229">
        <v>-1.4500000000000001E-2</v>
      </c>
      <c r="Y78" s="228">
        <v>6.4</v>
      </c>
      <c r="Z78" s="228">
        <v>2</v>
      </c>
      <c r="AA78" s="228">
        <v>4.4000000000000004</v>
      </c>
      <c r="AB78" s="229">
        <v>3.0000000000000001E-3</v>
      </c>
      <c r="AC78" s="228">
        <v>-4.2</v>
      </c>
      <c r="AD78" s="228">
        <v>2</v>
      </c>
      <c r="AE78" s="228">
        <v>-6.2</v>
      </c>
      <c r="AF78" s="229">
        <v>-2E-3</v>
      </c>
      <c r="AG78" s="228">
        <v>6.4</v>
      </c>
      <c r="AH78" s="228">
        <v>12.9</v>
      </c>
      <c r="AI78" s="228">
        <v>-6.5</v>
      </c>
      <c r="AJ78" s="229">
        <v>3.0000000000000001E-3</v>
      </c>
      <c r="AK78" s="228">
        <v>20.7</v>
      </c>
      <c r="AL78" s="228">
        <v>25.4</v>
      </c>
      <c r="AM78" s="228">
        <v>-4.7</v>
      </c>
      <c r="AN78" s="229">
        <v>9.7999999999999997E-3</v>
      </c>
      <c r="AO78" s="231">
        <v>2104.25</v>
      </c>
      <c r="AP78" s="231">
        <v>2115.41</v>
      </c>
      <c r="AQ78" s="228">
        <v>0</v>
      </c>
      <c r="AR78" s="230">
        <v>3648425</v>
      </c>
      <c r="AS78" s="230">
        <v>4182475</v>
      </c>
      <c r="AT78" s="230">
        <v>-534050</v>
      </c>
      <c r="AU78" s="229">
        <v>-0.12770000000000001</v>
      </c>
      <c r="AV78" s="230">
        <v>1609025</v>
      </c>
      <c r="AW78" s="230">
        <v>1946725</v>
      </c>
      <c r="AX78" s="230">
        <v>-337700</v>
      </c>
      <c r="AY78" s="229">
        <v>-0.17349999999999999</v>
      </c>
      <c r="AZ78" s="230">
        <v>1995675</v>
      </c>
      <c r="BA78" s="230">
        <v>2204675</v>
      </c>
      <c r="BB78" s="230">
        <v>-209000</v>
      </c>
      <c r="BC78" s="229">
        <v>-9.4799999999999995E-2</v>
      </c>
      <c r="BD78" s="230">
        <v>43725</v>
      </c>
      <c r="BE78" s="230">
        <v>31075</v>
      </c>
      <c r="BF78" s="230">
        <v>12650</v>
      </c>
      <c r="BG78" s="229">
        <v>0.40710000000000002</v>
      </c>
      <c r="BH78" s="230">
        <v>2666400</v>
      </c>
      <c r="BI78" s="230">
        <v>2060300</v>
      </c>
      <c r="BJ78" s="230">
        <v>606100</v>
      </c>
      <c r="BK78" s="229">
        <v>0.29420000000000002</v>
      </c>
      <c r="BL78" s="230">
        <v>1404975</v>
      </c>
      <c r="BM78" s="230">
        <v>1078550</v>
      </c>
      <c r="BN78" s="230">
        <v>326425</v>
      </c>
      <c r="BO78" s="229">
        <v>0.30270000000000002</v>
      </c>
      <c r="BP78" s="230">
        <v>7719800</v>
      </c>
      <c r="BQ78" s="230">
        <v>7321325</v>
      </c>
      <c r="BR78" s="230">
        <v>398475</v>
      </c>
      <c r="BS78" s="229">
        <v>5.4399999999999997E-2</v>
      </c>
      <c r="BT78" s="230">
        <v>644150</v>
      </c>
      <c r="BU78" s="230">
        <v>395116</v>
      </c>
      <c r="BV78" s="230">
        <v>249034</v>
      </c>
      <c r="BW78" s="229">
        <v>0.63029999999999997</v>
      </c>
      <c r="BX78" s="230">
        <v>6923950</v>
      </c>
      <c r="BY78" s="230">
        <v>7092525</v>
      </c>
      <c r="BZ78" s="230">
        <v>-168575</v>
      </c>
      <c r="CA78" s="229">
        <v>-2.3800000000000002E-2</v>
      </c>
      <c r="CB78" s="230">
        <v>348700</v>
      </c>
      <c r="CC78" s="230">
        <v>1129700</v>
      </c>
      <c r="CD78" s="230">
        <v>-781000</v>
      </c>
      <c r="CE78" s="229">
        <v>-0.69130000000000003</v>
      </c>
      <c r="CF78" s="230">
        <v>6830450</v>
      </c>
      <c r="CG78" s="230">
        <v>5895450</v>
      </c>
      <c r="CH78" s="230">
        <v>935000</v>
      </c>
      <c r="CI78" s="229">
        <v>0.15859999999999999</v>
      </c>
      <c r="CJ78" s="230">
        <v>93500</v>
      </c>
      <c r="CK78" s="230">
        <v>67375</v>
      </c>
      <c r="CL78" s="230">
        <v>26125</v>
      </c>
      <c r="CM78" s="229">
        <v>0.38779999999999998</v>
      </c>
      <c r="CN78" s="230">
        <v>1021350</v>
      </c>
      <c r="CO78" s="230">
        <v>3289825</v>
      </c>
      <c r="CP78" s="230">
        <v>-2268475</v>
      </c>
      <c r="CQ78" s="229">
        <v>-0.6895</v>
      </c>
      <c r="CR78" s="230">
        <v>950400</v>
      </c>
      <c r="CS78" s="230">
        <v>1726725</v>
      </c>
      <c r="CT78" s="230">
        <v>-776325</v>
      </c>
      <c r="CU78" s="229">
        <v>-0.4496</v>
      </c>
      <c r="CV78" s="230">
        <v>8895700</v>
      </c>
      <c r="CW78" s="230">
        <v>12109075</v>
      </c>
      <c r="CX78" s="230">
        <v>-3213375</v>
      </c>
      <c r="CY78" s="229">
        <v>-0.26540000000000002</v>
      </c>
      <c r="CZ78" s="228">
        <v>36.83</v>
      </c>
      <c r="DA78" s="228">
        <v>36.33</v>
      </c>
      <c r="DB78" s="228">
        <v>0.5</v>
      </c>
      <c r="DC78" s="228">
        <v>0.5</v>
      </c>
      <c r="DD78" s="228">
        <v>46.6</v>
      </c>
      <c r="DE78" s="228">
        <v>46.67</v>
      </c>
      <c r="DF78" s="228">
        <v>-9.77</v>
      </c>
      <c r="DG78" s="228">
        <v>-7.0000000000000007E-2</v>
      </c>
      <c r="DH78" s="228">
        <v>36.090000000000003</v>
      </c>
      <c r="DI78" s="228">
        <v>35.92</v>
      </c>
      <c r="DJ78" s="228">
        <v>0.17</v>
      </c>
      <c r="DK78" s="228">
        <v>0.17</v>
      </c>
      <c r="DL78" s="228">
        <v>37.85</v>
      </c>
      <c r="DM78" s="228">
        <v>36.81</v>
      </c>
      <c r="DN78" s="228">
        <v>1.04</v>
      </c>
      <c r="DO78" s="228">
        <v>1.04</v>
      </c>
      <c r="DP78" s="228">
        <v>0.93</v>
      </c>
      <c r="DQ78" s="228">
        <v>0.52</v>
      </c>
      <c r="DR78" s="228">
        <v>0.41</v>
      </c>
      <c r="DS78" s="229">
        <v>0.78849999999999998</v>
      </c>
      <c r="DT78" s="231">
        <v>2450</v>
      </c>
      <c r="DU78" s="231">
        <v>2200</v>
      </c>
      <c r="DV78" s="228">
        <v>0.53</v>
      </c>
      <c r="DW78" s="228">
        <v>0.52</v>
      </c>
      <c r="DX78" s="228">
        <v>0.01</v>
      </c>
      <c r="DY78" s="229">
        <v>1.9199999999999998E-2</v>
      </c>
      <c r="DZ78" s="229">
        <v>0.95209999999999995</v>
      </c>
      <c r="EA78" s="230">
        <v>5962825</v>
      </c>
      <c r="EB78" s="229">
        <v>5.1000000000000004E-3</v>
      </c>
      <c r="EC78" s="229">
        <v>0.95209999999999995</v>
      </c>
      <c r="ED78" s="228">
        <v>11.16</v>
      </c>
      <c r="EE78" s="229">
        <v>5.3E-3</v>
      </c>
      <c r="EF78" s="230">
        <v>306012</v>
      </c>
      <c r="EG78" s="230">
        <v>171291</v>
      </c>
      <c r="EH78" s="229">
        <v>0.78649999999999998</v>
      </c>
      <c r="EI78" s="229">
        <v>0.47510000000000002</v>
      </c>
      <c r="EJ78" s="231">
        <v>61774.9</v>
      </c>
      <c r="EK78" s="231">
        <v>31016.49</v>
      </c>
      <c r="EL78" s="231">
        <v>77004.61</v>
      </c>
      <c r="EM78" s="228">
        <v>0</v>
      </c>
      <c r="EN78" s="231">
        <v>169796</v>
      </c>
      <c r="EO78" s="231">
        <v>161321.93</v>
      </c>
      <c r="EP78" s="231">
        <v>8474.07</v>
      </c>
      <c r="EQ78" s="229">
        <v>5.2499999999999998E-2</v>
      </c>
      <c r="ER78" s="231">
        <v>23805</v>
      </c>
      <c r="ES78" s="231">
        <v>20256</v>
      </c>
      <c r="ET78" s="231">
        <v>146060</v>
      </c>
      <c r="EU78" s="231">
        <v>32126257</v>
      </c>
      <c r="EV78" s="231">
        <v>190121</v>
      </c>
      <c r="EW78" s="231">
        <v>269183</v>
      </c>
      <c r="EX78" s="231">
        <v>-79062</v>
      </c>
      <c r="EY78" s="229">
        <v>-0.29370000000000002</v>
      </c>
      <c r="EZ78" s="229">
        <v>0.27689999999999998</v>
      </c>
      <c r="FA78" s="227" t="s">
        <v>568</v>
      </c>
      <c r="FB78" s="161">
        <f t="shared" si="1"/>
        <v>6575250</v>
      </c>
    </row>
    <row r="79" spans="1:158" ht="17.25" thickBot="1" x14ac:dyDescent="0.3">
      <c r="A79" s="226">
        <v>45869</v>
      </c>
      <c r="B79" s="227" t="s">
        <v>170</v>
      </c>
      <c r="C79" s="227" t="s">
        <v>492</v>
      </c>
      <c r="D79" s="228">
        <v>1075</v>
      </c>
      <c r="E79" s="228">
        <v>476.8</v>
      </c>
      <c r="F79" s="228">
        <v>494.1</v>
      </c>
      <c r="G79" s="228">
        <v>-17.3</v>
      </c>
      <c r="H79" s="229">
        <v>-3.5000000000000003E-2</v>
      </c>
      <c r="I79" s="228">
        <v>474.9</v>
      </c>
      <c r="J79" s="228">
        <v>492.15</v>
      </c>
      <c r="K79" s="228">
        <v>-17.25</v>
      </c>
      <c r="L79" s="229">
        <v>-3.5099999999999999E-2</v>
      </c>
      <c r="M79" s="228">
        <v>474.35</v>
      </c>
      <c r="N79" s="228">
        <v>491.75</v>
      </c>
      <c r="O79" s="228">
        <v>-17.399999999999999</v>
      </c>
      <c r="P79" s="229">
        <v>-3.5400000000000001E-2</v>
      </c>
      <c r="Q79" s="228">
        <v>476.8</v>
      </c>
      <c r="R79" s="228">
        <v>494.1</v>
      </c>
      <c r="S79" s="228">
        <v>-17.3</v>
      </c>
      <c r="T79" s="229">
        <v>-3.5000000000000003E-2</v>
      </c>
      <c r="U79" s="228">
        <v>0</v>
      </c>
      <c r="V79" s="228">
        <v>0</v>
      </c>
      <c r="W79" s="228">
        <v>0</v>
      </c>
      <c r="X79" s="229">
        <v>0</v>
      </c>
      <c r="Y79" s="228">
        <v>1.9</v>
      </c>
      <c r="Z79" s="228">
        <v>-0.4</v>
      </c>
      <c r="AA79" s="228">
        <v>2.2999999999999998</v>
      </c>
      <c r="AB79" s="229">
        <v>4.0000000000000001E-3</v>
      </c>
      <c r="AC79" s="228">
        <v>-0.55000000000000004</v>
      </c>
      <c r="AD79" s="228">
        <v>-0.4</v>
      </c>
      <c r="AE79" s="228">
        <v>-0.15</v>
      </c>
      <c r="AF79" s="229">
        <v>-1.1999999999999999E-3</v>
      </c>
      <c r="AG79" s="228">
        <v>1.9</v>
      </c>
      <c r="AH79" s="228">
        <v>1.95</v>
      </c>
      <c r="AI79" s="228">
        <v>-0.05</v>
      </c>
      <c r="AJ79" s="229">
        <v>4.0000000000000001E-3</v>
      </c>
      <c r="AK79" s="228">
        <v>0</v>
      </c>
      <c r="AL79" s="228">
        <v>0</v>
      </c>
      <c r="AM79" s="228">
        <v>0</v>
      </c>
      <c r="AN79" s="229">
        <v>0</v>
      </c>
      <c r="AO79" s="228">
        <v>478.35</v>
      </c>
      <c r="AP79" s="228">
        <v>480.75</v>
      </c>
      <c r="AQ79" s="228">
        <v>0</v>
      </c>
      <c r="AR79" s="230">
        <v>11357375</v>
      </c>
      <c r="AS79" s="230">
        <v>6268325</v>
      </c>
      <c r="AT79" s="230">
        <v>5089050</v>
      </c>
      <c r="AU79" s="229">
        <v>0.81189999999999996</v>
      </c>
      <c r="AV79" s="230">
        <v>5433050</v>
      </c>
      <c r="AW79" s="230">
        <v>3132550</v>
      </c>
      <c r="AX79" s="230">
        <v>2300500</v>
      </c>
      <c r="AY79" s="229">
        <v>0.73440000000000005</v>
      </c>
      <c r="AZ79" s="230">
        <v>5924325</v>
      </c>
      <c r="BA79" s="230">
        <v>3135775</v>
      </c>
      <c r="BB79" s="230">
        <v>2788550</v>
      </c>
      <c r="BC79" s="229">
        <v>0.88929999999999998</v>
      </c>
      <c r="BD79" s="228">
        <v>0</v>
      </c>
      <c r="BE79" s="228">
        <v>0</v>
      </c>
      <c r="BF79" s="228">
        <v>0</v>
      </c>
      <c r="BG79" s="229">
        <v>0</v>
      </c>
      <c r="BH79" s="230">
        <v>3365825</v>
      </c>
      <c r="BI79" s="230">
        <v>7317525</v>
      </c>
      <c r="BJ79" s="230">
        <v>-3951700</v>
      </c>
      <c r="BK79" s="229">
        <v>-0.54</v>
      </c>
      <c r="BL79" s="230">
        <v>2544525</v>
      </c>
      <c r="BM79" s="230">
        <v>2413375</v>
      </c>
      <c r="BN79" s="230">
        <v>131150</v>
      </c>
      <c r="BO79" s="229">
        <v>5.4300000000000001E-2</v>
      </c>
      <c r="BP79" s="230">
        <v>17267725</v>
      </c>
      <c r="BQ79" s="230">
        <v>15999225</v>
      </c>
      <c r="BR79" s="230">
        <v>1268500</v>
      </c>
      <c r="BS79" s="229">
        <v>7.9299999999999995E-2</v>
      </c>
      <c r="BT79" s="230">
        <v>969314</v>
      </c>
      <c r="BU79" s="230">
        <v>983559</v>
      </c>
      <c r="BV79" s="230">
        <v>-14245</v>
      </c>
      <c r="BW79" s="229">
        <v>-1.4500000000000001E-2</v>
      </c>
      <c r="BX79" s="230">
        <v>11945400</v>
      </c>
      <c r="BY79" s="230">
        <v>13099950</v>
      </c>
      <c r="BZ79" s="230">
        <v>-1154550</v>
      </c>
      <c r="CA79" s="229">
        <v>-8.8099999999999998E-2</v>
      </c>
      <c r="CB79" s="230">
        <v>526750</v>
      </c>
      <c r="CC79" s="230">
        <v>4724625</v>
      </c>
      <c r="CD79" s="230">
        <v>-4197875</v>
      </c>
      <c r="CE79" s="229">
        <v>-0.88849999999999996</v>
      </c>
      <c r="CF79" s="230">
        <v>11945400</v>
      </c>
      <c r="CG79" s="230">
        <v>8375325</v>
      </c>
      <c r="CH79" s="230">
        <v>3570075</v>
      </c>
      <c r="CI79" s="229">
        <v>0.42630000000000001</v>
      </c>
      <c r="CJ79" s="228">
        <v>0</v>
      </c>
      <c r="CK79" s="228">
        <v>0</v>
      </c>
      <c r="CL79" s="228">
        <v>0</v>
      </c>
      <c r="CM79" s="229">
        <v>0</v>
      </c>
      <c r="CN79" s="230">
        <v>1766225</v>
      </c>
      <c r="CO79" s="230">
        <v>4774075</v>
      </c>
      <c r="CP79" s="230">
        <v>-3007850</v>
      </c>
      <c r="CQ79" s="229">
        <v>-0.63</v>
      </c>
      <c r="CR79" s="230">
        <v>1190025</v>
      </c>
      <c r="CS79" s="230">
        <v>2776725</v>
      </c>
      <c r="CT79" s="230">
        <v>-1586700</v>
      </c>
      <c r="CU79" s="229">
        <v>-0.57140000000000002</v>
      </c>
      <c r="CV79" s="230">
        <v>14901650</v>
      </c>
      <c r="CW79" s="230">
        <v>20650750</v>
      </c>
      <c r="CX79" s="230">
        <v>-5749100</v>
      </c>
      <c r="CY79" s="229">
        <v>-0.27839999999999998</v>
      </c>
      <c r="CZ79" s="228">
        <v>33.83</v>
      </c>
      <c r="DA79" s="228">
        <v>34.56</v>
      </c>
      <c r="DB79" s="228">
        <v>-0.73</v>
      </c>
      <c r="DC79" s="228">
        <v>-0.73</v>
      </c>
      <c r="DD79" s="228">
        <v>45.78</v>
      </c>
      <c r="DE79" s="228">
        <v>45.64</v>
      </c>
      <c r="DF79" s="228">
        <v>-11.95</v>
      </c>
      <c r="DG79" s="228">
        <v>0.14000000000000001</v>
      </c>
      <c r="DH79" s="228">
        <v>34.630000000000003</v>
      </c>
      <c r="DI79" s="228">
        <v>34.65</v>
      </c>
      <c r="DJ79" s="228">
        <v>-0.02</v>
      </c>
      <c r="DK79" s="228">
        <v>-0.02</v>
      </c>
      <c r="DL79" s="228">
        <v>32.85</v>
      </c>
      <c r="DM79" s="228">
        <v>34.25</v>
      </c>
      <c r="DN79" s="228">
        <v>-1.4</v>
      </c>
      <c r="DO79" s="228">
        <v>-1.4</v>
      </c>
      <c r="DP79" s="228">
        <v>0.67</v>
      </c>
      <c r="DQ79" s="228">
        <v>0.57999999999999996</v>
      </c>
      <c r="DR79" s="228">
        <v>0.09</v>
      </c>
      <c r="DS79" s="229">
        <v>0.1552</v>
      </c>
      <c r="DT79" s="228">
        <v>500</v>
      </c>
      <c r="DU79" s="228">
        <v>500</v>
      </c>
      <c r="DV79" s="228">
        <v>0.76</v>
      </c>
      <c r="DW79" s="228">
        <v>0.33</v>
      </c>
      <c r="DX79" s="228">
        <v>0.43</v>
      </c>
      <c r="DY79" s="229">
        <v>1.3029999999999999</v>
      </c>
      <c r="DZ79" s="229">
        <v>0.95779999999999998</v>
      </c>
      <c r="EA79" s="230">
        <v>8375325</v>
      </c>
      <c r="EB79" s="229">
        <v>5.1999999999999998E-3</v>
      </c>
      <c r="EC79" s="229">
        <v>0.95779999999999998</v>
      </c>
      <c r="ED79" s="228">
        <v>2.4</v>
      </c>
      <c r="EE79" s="229">
        <v>5.0000000000000001E-3</v>
      </c>
      <c r="EF79" s="230">
        <v>328630</v>
      </c>
      <c r="EG79" s="230">
        <v>279974</v>
      </c>
      <c r="EH79" s="229">
        <v>0.17380000000000001</v>
      </c>
      <c r="EI79" s="229">
        <v>0.33900000000000002</v>
      </c>
      <c r="EJ79" s="231">
        <v>17015.72</v>
      </c>
      <c r="EK79" s="231">
        <v>12487.25</v>
      </c>
      <c r="EL79" s="231">
        <v>54470.09</v>
      </c>
      <c r="EM79" s="228">
        <v>0</v>
      </c>
      <c r="EN79" s="231">
        <v>83973.06</v>
      </c>
      <c r="EO79" s="231">
        <v>79987.850000000006</v>
      </c>
      <c r="EP79" s="231">
        <v>3985.21</v>
      </c>
      <c r="EQ79" s="229">
        <v>4.9799999999999997E-2</v>
      </c>
      <c r="ER79" s="231">
        <v>8882</v>
      </c>
      <c r="ES79" s="231">
        <v>5694</v>
      </c>
      <c r="ET79" s="231">
        <v>56956</v>
      </c>
      <c r="EU79" s="231">
        <v>29668038</v>
      </c>
      <c r="EV79" s="231">
        <v>71531</v>
      </c>
      <c r="EW79" s="231">
        <v>102382</v>
      </c>
      <c r="EX79" s="231">
        <v>-30851</v>
      </c>
      <c r="EY79" s="229">
        <v>-0.30130000000000001</v>
      </c>
      <c r="EZ79" s="229">
        <v>0.50229999999999997</v>
      </c>
      <c r="FA79" s="227" t="s">
        <v>568</v>
      </c>
      <c r="FB79" s="161">
        <f t="shared" si="1"/>
        <v>11418650</v>
      </c>
    </row>
    <row r="80" spans="1:158" ht="17.25" thickBot="1" x14ac:dyDescent="0.3">
      <c r="A80" s="226">
        <v>45869</v>
      </c>
      <c r="B80" s="227" t="s">
        <v>157</v>
      </c>
      <c r="C80" s="227" t="s">
        <v>219</v>
      </c>
      <c r="D80" s="228">
        <v>250</v>
      </c>
      <c r="E80" s="231">
        <v>2752.8</v>
      </c>
      <c r="F80" s="231">
        <v>2766.3</v>
      </c>
      <c r="G80" s="228">
        <v>-13.5</v>
      </c>
      <c r="H80" s="229">
        <v>-4.8999999999999998E-3</v>
      </c>
      <c r="I80" s="231">
        <v>2746.4</v>
      </c>
      <c r="J80" s="231">
        <v>2758.6</v>
      </c>
      <c r="K80" s="228">
        <v>-12.2</v>
      </c>
      <c r="L80" s="229">
        <v>-4.4000000000000003E-3</v>
      </c>
      <c r="M80" s="231">
        <v>2746.4</v>
      </c>
      <c r="N80" s="231">
        <v>2760.4</v>
      </c>
      <c r="O80" s="228">
        <v>-14</v>
      </c>
      <c r="P80" s="229">
        <v>-5.1000000000000004E-3</v>
      </c>
      <c r="Q80" s="231">
        <v>2752.8</v>
      </c>
      <c r="R80" s="231">
        <v>2766.3</v>
      </c>
      <c r="S80" s="228">
        <v>-13.5</v>
      </c>
      <c r="T80" s="229">
        <v>-4.8999999999999998E-3</v>
      </c>
      <c r="U80" s="231">
        <v>2766.9</v>
      </c>
      <c r="V80" s="231">
        <v>2780.8</v>
      </c>
      <c r="W80" s="228">
        <v>-13.9</v>
      </c>
      <c r="X80" s="229">
        <v>-5.0000000000000001E-3</v>
      </c>
      <c r="Y80" s="228">
        <v>6.4</v>
      </c>
      <c r="Z80" s="228">
        <v>1.8</v>
      </c>
      <c r="AA80" s="228">
        <v>4.5999999999999996</v>
      </c>
      <c r="AB80" s="229">
        <v>2.3E-3</v>
      </c>
      <c r="AC80" s="228">
        <v>0</v>
      </c>
      <c r="AD80" s="228">
        <v>1.8</v>
      </c>
      <c r="AE80" s="228">
        <v>-1.8</v>
      </c>
      <c r="AF80" s="229">
        <v>0</v>
      </c>
      <c r="AG80" s="228">
        <v>6.4</v>
      </c>
      <c r="AH80" s="228">
        <v>7.7</v>
      </c>
      <c r="AI80" s="228">
        <v>-1.3</v>
      </c>
      <c r="AJ80" s="229">
        <v>2.3E-3</v>
      </c>
      <c r="AK80" s="228">
        <v>20.5</v>
      </c>
      <c r="AL80" s="228">
        <v>22.2</v>
      </c>
      <c r="AM80" s="228">
        <v>-1.7</v>
      </c>
      <c r="AN80" s="229">
        <v>7.4999999999999997E-3</v>
      </c>
      <c r="AO80" s="231">
        <v>2743.66</v>
      </c>
      <c r="AP80" s="231">
        <v>2751.03</v>
      </c>
      <c r="AQ80" s="228">
        <v>0</v>
      </c>
      <c r="AR80" s="230">
        <v>3849000</v>
      </c>
      <c r="AS80" s="230">
        <v>6114500</v>
      </c>
      <c r="AT80" s="230">
        <v>-2265500</v>
      </c>
      <c r="AU80" s="229">
        <v>-0.3705</v>
      </c>
      <c r="AV80" s="230">
        <v>1362500</v>
      </c>
      <c r="AW80" s="230">
        <v>2824750</v>
      </c>
      <c r="AX80" s="230">
        <v>-1462250</v>
      </c>
      <c r="AY80" s="229">
        <v>-0.51770000000000005</v>
      </c>
      <c r="AZ80" s="230">
        <v>2480000</v>
      </c>
      <c r="BA80" s="230">
        <v>3280500</v>
      </c>
      <c r="BB80" s="230">
        <v>-800500</v>
      </c>
      <c r="BC80" s="229">
        <v>-0.24399999999999999</v>
      </c>
      <c r="BD80" s="230">
        <v>6500</v>
      </c>
      <c r="BE80" s="230">
        <v>9250</v>
      </c>
      <c r="BF80" s="230">
        <v>-2750</v>
      </c>
      <c r="BG80" s="229">
        <v>-0.29730000000000001</v>
      </c>
      <c r="BH80" s="230">
        <v>1653500</v>
      </c>
      <c r="BI80" s="230">
        <v>5577000</v>
      </c>
      <c r="BJ80" s="230">
        <v>-3923500</v>
      </c>
      <c r="BK80" s="229">
        <v>-0.70350000000000001</v>
      </c>
      <c r="BL80" s="230">
        <v>784000</v>
      </c>
      <c r="BM80" s="230">
        <v>1238000</v>
      </c>
      <c r="BN80" s="230">
        <v>-454000</v>
      </c>
      <c r="BO80" s="229">
        <v>-0.36670000000000003</v>
      </c>
      <c r="BP80" s="230">
        <v>6286500</v>
      </c>
      <c r="BQ80" s="230">
        <v>12929500</v>
      </c>
      <c r="BR80" s="230">
        <v>-6643000</v>
      </c>
      <c r="BS80" s="229">
        <v>-0.51380000000000003</v>
      </c>
      <c r="BT80" s="230">
        <v>586693</v>
      </c>
      <c r="BU80" s="230">
        <v>794593</v>
      </c>
      <c r="BV80" s="230">
        <v>-207900</v>
      </c>
      <c r="BW80" s="229">
        <v>-0.2616</v>
      </c>
      <c r="BX80" s="230">
        <v>12934000</v>
      </c>
      <c r="BY80" s="230">
        <v>12995000</v>
      </c>
      <c r="BZ80" s="230">
        <v>-61000</v>
      </c>
      <c r="CA80" s="229">
        <v>-4.7000000000000002E-3</v>
      </c>
      <c r="CB80" s="230">
        <v>425500</v>
      </c>
      <c r="CC80" s="230">
        <v>1170750</v>
      </c>
      <c r="CD80" s="230">
        <v>-745250</v>
      </c>
      <c r="CE80" s="229">
        <v>-0.63660000000000005</v>
      </c>
      <c r="CF80" s="230">
        <v>12911750</v>
      </c>
      <c r="CG80" s="230">
        <v>11804250</v>
      </c>
      <c r="CH80" s="230">
        <v>1107500</v>
      </c>
      <c r="CI80" s="229">
        <v>9.3799999999999994E-2</v>
      </c>
      <c r="CJ80" s="230">
        <v>22250</v>
      </c>
      <c r="CK80" s="230">
        <v>20000</v>
      </c>
      <c r="CL80" s="230">
        <v>2250</v>
      </c>
      <c r="CM80" s="229">
        <v>0.1125</v>
      </c>
      <c r="CN80" s="230">
        <v>512000</v>
      </c>
      <c r="CO80" s="230">
        <v>1922750</v>
      </c>
      <c r="CP80" s="230">
        <v>-1410750</v>
      </c>
      <c r="CQ80" s="229">
        <v>-0.73370000000000002</v>
      </c>
      <c r="CR80" s="230">
        <v>395500</v>
      </c>
      <c r="CS80" s="230">
        <v>1009000</v>
      </c>
      <c r="CT80" s="230">
        <v>-613500</v>
      </c>
      <c r="CU80" s="229">
        <v>-0.60799999999999998</v>
      </c>
      <c r="CV80" s="230">
        <v>13841500</v>
      </c>
      <c r="CW80" s="230">
        <v>15926750</v>
      </c>
      <c r="CX80" s="230">
        <v>-2085250</v>
      </c>
      <c r="CY80" s="229">
        <v>-0.13089999999999999</v>
      </c>
      <c r="CZ80" s="228">
        <v>23.6</v>
      </c>
      <c r="DA80" s="228">
        <v>24.36</v>
      </c>
      <c r="DB80" s="228">
        <v>-0.76</v>
      </c>
      <c r="DC80" s="228">
        <v>-0.76</v>
      </c>
      <c r="DD80" s="228">
        <v>27.04</v>
      </c>
      <c r="DE80" s="228">
        <v>27.1</v>
      </c>
      <c r="DF80" s="228">
        <v>-3.44</v>
      </c>
      <c r="DG80" s="228">
        <v>-0.06</v>
      </c>
      <c r="DH80" s="228">
        <v>23.36</v>
      </c>
      <c r="DI80" s="228">
        <v>24.25</v>
      </c>
      <c r="DJ80" s="228">
        <v>-0.89</v>
      </c>
      <c r="DK80" s="228">
        <v>-0.89</v>
      </c>
      <c r="DL80" s="228">
        <v>24.18</v>
      </c>
      <c r="DM80" s="228">
        <v>24.98</v>
      </c>
      <c r="DN80" s="228">
        <v>-0.8</v>
      </c>
      <c r="DO80" s="228">
        <v>-0.8</v>
      </c>
      <c r="DP80" s="228">
        <v>0.77</v>
      </c>
      <c r="DQ80" s="228">
        <v>0.52</v>
      </c>
      <c r="DR80" s="228">
        <v>0.25</v>
      </c>
      <c r="DS80" s="229">
        <v>0.48080000000000001</v>
      </c>
      <c r="DT80" s="231">
        <v>3160</v>
      </c>
      <c r="DU80" s="231">
        <v>2600</v>
      </c>
      <c r="DV80" s="228">
        <v>0.47</v>
      </c>
      <c r="DW80" s="228">
        <v>0.22</v>
      </c>
      <c r="DX80" s="228">
        <v>0.25</v>
      </c>
      <c r="DY80" s="229">
        <v>1.1364000000000001</v>
      </c>
      <c r="DZ80" s="229">
        <v>0.96819999999999995</v>
      </c>
      <c r="EA80" s="230">
        <v>11824250</v>
      </c>
      <c r="EB80" s="229">
        <v>2.3E-3</v>
      </c>
      <c r="EC80" s="229">
        <v>0.96819999999999995</v>
      </c>
      <c r="ED80" s="228">
        <v>7.37</v>
      </c>
      <c r="EE80" s="229">
        <v>2.7000000000000001E-3</v>
      </c>
      <c r="EF80" s="230">
        <v>306006</v>
      </c>
      <c r="EG80" s="230">
        <v>432299</v>
      </c>
      <c r="EH80" s="229">
        <v>-0.29210000000000003</v>
      </c>
      <c r="EI80" s="229">
        <v>0.52159999999999995</v>
      </c>
      <c r="EJ80" s="231">
        <v>47320.69</v>
      </c>
      <c r="EK80" s="231">
        <v>21496.35</v>
      </c>
      <c r="EL80" s="231">
        <v>105787.92</v>
      </c>
      <c r="EM80" s="228">
        <v>0</v>
      </c>
      <c r="EN80" s="231">
        <v>174604.96</v>
      </c>
      <c r="EO80" s="231">
        <v>363046.84</v>
      </c>
      <c r="EP80" s="231">
        <v>-188441.88</v>
      </c>
      <c r="EQ80" s="229">
        <v>-0.51910000000000001</v>
      </c>
      <c r="ER80" s="231">
        <v>14894</v>
      </c>
      <c r="ES80" s="231">
        <v>10695</v>
      </c>
      <c r="ET80" s="231">
        <v>356050</v>
      </c>
      <c r="EU80" s="231">
        <v>77020742</v>
      </c>
      <c r="EV80" s="231">
        <v>381639</v>
      </c>
      <c r="EW80" s="231">
        <v>443222</v>
      </c>
      <c r="EX80" s="231">
        <v>-61583</v>
      </c>
      <c r="EY80" s="229">
        <v>-0.1389</v>
      </c>
      <c r="EZ80" s="229">
        <v>0.1797</v>
      </c>
      <c r="FA80" s="227" t="s">
        <v>568</v>
      </c>
      <c r="FB80" s="161">
        <f t="shared" si="1"/>
        <v>12508500</v>
      </c>
    </row>
    <row r="81" spans="1:158" ht="17.25" thickBot="1" x14ac:dyDescent="0.3">
      <c r="A81" s="226">
        <v>45869</v>
      </c>
      <c r="B81" s="227" t="s">
        <v>184</v>
      </c>
      <c r="C81" s="227" t="s">
        <v>513</v>
      </c>
      <c r="D81" s="228">
        <v>150</v>
      </c>
      <c r="E81" s="231">
        <v>4536.5</v>
      </c>
      <c r="F81" s="231">
        <v>4548.3</v>
      </c>
      <c r="G81" s="228">
        <v>-11.8</v>
      </c>
      <c r="H81" s="229">
        <v>-2.5999999999999999E-3</v>
      </c>
      <c r="I81" s="231">
        <v>4533.8999999999996</v>
      </c>
      <c r="J81" s="231">
        <v>4545</v>
      </c>
      <c r="K81" s="228">
        <v>-11.1</v>
      </c>
      <c r="L81" s="229">
        <v>-2.3999999999999998E-3</v>
      </c>
      <c r="M81" s="231">
        <v>4523.5</v>
      </c>
      <c r="N81" s="231">
        <v>4540.7</v>
      </c>
      <c r="O81" s="228">
        <v>-17.2</v>
      </c>
      <c r="P81" s="229">
        <v>-3.8E-3</v>
      </c>
      <c r="Q81" s="231">
        <v>4536.5</v>
      </c>
      <c r="R81" s="231">
        <v>4548.3</v>
      </c>
      <c r="S81" s="228">
        <v>-11.8</v>
      </c>
      <c r="T81" s="229">
        <v>-2.5999999999999999E-3</v>
      </c>
      <c r="U81" s="231">
        <v>4566.3999999999996</v>
      </c>
      <c r="V81" s="231">
        <v>4576.1000000000004</v>
      </c>
      <c r="W81" s="228">
        <v>-9.6999999999999993</v>
      </c>
      <c r="X81" s="229">
        <v>-2.0999999999999999E-3</v>
      </c>
      <c r="Y81" s="228">
        <v>2.6</v>
      </c>
      <c r="Z81" s="228">
        <v>-4.3</v>
      </c>
      <c r="AA81" s="228">
        <v>6.9</v>
      </c>
      <c r="AB81" s="229">
        <v>5.9999999999999995E-4</v>
      </c>
      <c r="AC81" s="228">
        <v>-10.4</v>
      </c>
      <c r="AD81" s="228">
        <v>-4.3</v>
      </c>
      <c r="AE81" s="228">
        <v>-6.1</v>
      </c>
      <c r="AF81" s="229">
        <v>-2.3E-3</v>
      </c>
      <c r="AG81" s="228">
        <v>2.6</v>
      </c>
      <c r="AH81" s="228">
        <v>3.3</v>
      </c>
      <c r="AI81" s="228">
        <v>-0.7</v>
      </c>
      <c r="AJ81" s="229">
        <v>5.9999999999999995E-4</v>
      </c>
      <c r="AK81" s="228">
        <v>32.5</v>
      </c>
      <c r="AL81" s="228">
        <v>31.1</v>
      </c>
      <c r="AM81" s="228">
        <v>1.4</v>
      </c>
      <c r="AN81" s="229">
        <v>7.1999999999999998E-3</v>
      </c>
      <c r="AO81" s="231">
        <v>4539.2299999999996</v>
      </c>
      <c r="AP81" s="231">
        <v>4548.3100000000004</v>
      </c>
      <c r="AQ81" s="228">
        <v>0</v>
      </c>
      <c r="AR81" s="230">
        <v>6504750</v>
      </c>
      <c r="AS81" s="230">
        <v>4144800</v>
      </c>
      <c r="AT81" s="230">
        <v>2359950</v>
      </c>
      <c r="AU81" s="229">
        <v>0.56940000000000002</v>
      </c>
      <c r="AV81" s="230">
        <v>2892300</v>
      </c>
      <c r="AW81" s="230">
        <v>2064000</v>
      </c>
      <c r="AX81" s="230">
        <v>828300</v>
      </c>
      <c r="AY81" s="229">
        <v>0.40129999999999999</v>
      </c>
      <c r="AZ81" s="230">
        <v>3460950</v>
      </c>
      <c r="BA81" s="230">
        <v>2011650</v>
      </c>
      <c r="BB81" s="230">
        <v>1449300</v>
      </c>
      <c r="BC81" s="229">
        <v>0.72050000000000003</v>
      </c>
      <c r="BD81" s="230">
        <v>151500</v>
      </c>
      <c r="BE81" s="230">
        <v>69150</v>
      </c>
      <c r="BF81" s="230">
        <v>82350</v>
      </c>
      <c r="BG81" s="229">
        <v>1.1909000000000001</v>
      </c>
      <c r="BH81" s="230">
        <v>10335300</v>
      </c>
      <c r="BI81" s="230">
        <v>10495500</v>
      </c>
      <c r="BJ81" s="230">
        <v>-160200</v>
      </c>
      <c r="BK81" s="229">
        <v>-1.5299999999999999E-2</v>
      </c>
      <c r="BL81" s="230">
        <v>4555650</v>
      </c>
      <c r="BM81" s="230">
        <v>3247350</v>
      </c>
      <c r="BN81" s="230">
        <v>1308300</v>
      </c>
      <c r="BO81" s="229">
        <v>0.40289999999999998</v>
      </c>
      <c r="BP81" s="230">
        <v>21395700</v>
      </c>
      <c r="BQ81" s="230">
        <v>17887650</v>
      </c>
      <c r="BR81" s="230">
        <v>3508050</v>
      </c>
      <c r="BS81" s="229">
        <v>0.1961</v>
      </c>
      <c r="BT81" s="230">
        <v>863025</v>
      </c>
      <c r="BU81" s="230">
        <v>772699</v>
      </c>
      <c r="BV81" s="230">
        <v>90326</v>
      </c>
      <c r="BW81" s="229">
        <v>0.1169</v>
      </c>
      <c r="BX81" s="230">
        <v>9254700</v>
      </c>
      <c r="BY81" s="230">
        <v>9956400</v>
      </c>
      <c r="BZ81" s="230">
        <v>-701700</v>
      </c>
      <c r="CA81" s="229">
        <v>-7.0499999999999993E-2</v>
      </c>
      <c r="CB81" s="230">
        <v>860100</v>
      </c>
      <c r="CC81" s="230">
        <v>2374350</v>
      </c>
      <c r="CD81" s="230">
        <v>-1514250</v>
      </c>
      <c r="CE81" s="229">
        <v>-0.63780000000000003</v>
      </c>
      <c r="CF81" s="230">
        <v>8907900</v>
      </c>
      <c r="CG81" s="230">
        <v>7318350</v>
      </c>
      <c r="CH81" s="230">
        <v>1589550</v>
      </c>
      <c r="CI81" s="229">
        <v>0.2172</v>
      </c>
      <c r="CJ81" s="230">
        <v>346800</v>
      </c>
      <c r="CK81" s="230">
        <v>263700</v>
      </c>
      <c r="CL81" s="230">
        <v>83100</v>
      </c>
      <c r="CM81" s="229">
        <v>0.31509999999999999</v>
      </c>
      <c r="CN81" s="230">
        <v>2283900</v>
      </c>
      <c r="CO81" s="230">
        <v>6367800</v>
      </c>
      <c r="CP81" s="230">
        <v>-4083900</v>
      </c>
      <c r="CQ81" s="229">
        <v>-0.64129999999999998</v>
      </c>
      <c r="CR81" s="230">
        <v>1968300</v>
      </c>
      <c r="CS81" s="230">
        <v>3621600</v>
      </c>
      <c r="CT81" s="230">
        <v>-1653300</v>
      </c>
      <c r="CU81" s="229">
        <v>-0.45650000000000002</v>
      </c>
      <c r="CV81" s="230">
        <v>13506900</v>
      </c>
      <c r="CW81" s="230">
        <v>19945800</v>
      </c>
      <c r="CX81" s="230">
        <v>-6438900</v>
      </c>
      <c r="CY81" s="229">
        <v>-0.32279999999999998</v>
      </c>
      <c r="CZ81" s="228">
        <v>30.22</v>
      </c>
      <c r="DA81" s="228">
        <v>30.41</v>
      </c>
      <c r="DB81" s="228">
        <v>-0.19</v>
      </c>
      <c r="DC81" s="228">
        <v>-0.19</v>
      </c>
      <c r="DD81" s="228">
        <v>43.43</v>
      </c>
      <c r="DE81" s="228">
        <v>43.54</v>
      </c>
      <c r="DF81" s="228">
        <v>-13.21</v>
      </c>
      <c r="DG81" s="228">
        <v>-0.11</v>
      </c>
      <c r="DH81" s="228">
        <v>30.15</v>
      </c>
      <c r="DI81" s="228">
        <v>30.68</v>
      </c>
      <c r="DJ81" s="228">
        <v>-0.53</v>
      </c>
      <c r="DK81" s="228">
        <v>-0.53</v>
      </c>
      <c r="DL81" s="228">
        <v>30.35</v>
      </c>
      <c r="DM81" s="228">
        <v>29.86</v>
      </c>
      <c r="DN81" s="228">
        <v>0.49</v>
      </c>
      <c r="DO81" s="228">
        <v>0.49</v>
      </c>
      <c r="DP81" s="228">
        <v>0.86</v>
      </c>
      <c r="DQ81" s="228">
        <v>0.56999999999999995</v>
      </c>
      <c r="DR81" s="228">
        <v>0.28999999999999998</v>
      </c>
      <c r="DS81" s="229">
        <v>0.50880000000000003</v>
      </c>
      <c r="DT81" s="231">
        <v>5000</v>
      </c>
      <c r="DU81" s="231">
        <v>4500</v>
      </c>
      <c r="DV81" s="228">
        <v>0.44</v>
      </c>
      <c r="DW81" s="228">
        <v>0.31</v>
      </c>
      <c r="DX81" s="228">
        <v>0.13</v>
      </c>
      <c r="DY81" s="229">
        <v>0.4194</v>
      </c>
      <c r="DZ81" s="229">
        <v>0.91500000000000004</v>
      </c>
      <c r="EA81" s="230">
        <v>7582050</v>
      </c>
      <c r="EB81" s="229">
        <v>2.8999999999999998E-3</v>
      </c>
      <c r="EC81" s="229">
        <v>0.91500000000000004</v>
      </c>
      <c r="ED81" s="228">
        <v>9.08</v>
      </c>
      <c r="EE81" s="229">
        <v>2E-3</v>
      </c>
      <c r="EF81" s="230">
        <v>247017</v>
      </c>
      <c r="EG81" s="230">
        <v>310041</v>
      </c>
      <c r="EH81" s="229">
        <v>-0.20330000000000001</v>
      </c>
      <c r="EI81" s="229">
        <v>0.28620000000000001</v>
      </c>
      <c r="EJ81" s="231">
        <v>495820.67</v>
      </c>
      <c r="EK81" s="231">
        <v>210327.48</v>
      </c>
      <c r="EL81" s="231">
        <v>295626.07</v>
      </c>
      <c r="EM81" s="228">
        <v>0</v>
      </c>
      <c r="EN81" s="231">
        <v>1001774.22</v>
      </c>
      <c r="EO81" s="231">
        <v>841931.17</v>
      </c>
      <c r="EP81" s="231">
        <v>159843.04999999999</v>
      </c>
      <c r="EQ81" s="229">
        <v>0.18990000000000001</v>
      </c>
      <c r="ER81" s="231">
        <v>110179</v>
      </c>
      <c r="ES81" s="231">
        <v>90502</v>
      </c>
      <c r="ET81" s="231">
        <v>419943</v>
      </c>
      <c r="EU81" s="231">
        <v>37934515</v>
      </c>
      <c r="EV81" s="231">
        <v>620623</v>
      </c>
      <c r="EW81" s="231">
        <v>939080</v>
      </c>
      <c r="EX81" s="231">
        <v>-318457</v>
      </c>
      <c r="EY81" s="229">
        <v>-0.33910000000000001</v>
      </c>
      <c r="EZ81" s="229">
        <v>0.35610000000000003</v>
      </c>
      <c r="FA81" s="227" t="s">
        <v>568</v>
      </c>
      <c r="FB81" s="161">
        <f t="shared" si="1"/>
        <v>8394600</v>
      </c>
    </row>
    <row r="82" spans="1:158" ht="17.25" thickBot="1" x14ac:dyDescent="0.3">
      <c r="A82" s="226">
        <v>45869</v>
      </c>
      <c r="B82" s="227" t="s">
        <v>184</v>
      </c>
      <c r="C82" s="227" t="s">
        <v>220</v>
      </c>
      <c r="D82" s="228">
        <v>500</v>
      </c>
      <c r="E82" s="231">
        <v>1509.4</v>
      </c>
      <c r="F82" s="231">
        <v>1527.8</v>
      </c>
      <c r="G82" s="228">
        <v>-18.399999999999999</v>
      </c>
      <c r="H82" s="229">
        <v>-1.2E-2</v>
      </c>
      <c r="I82" s="231">
        <v>1500.6</v>
      </c>
      <c r="J82" s="231">
        <v>1528</v>
      </c>
      <c r="K82" s="228">
        <v>-27.4</v>
      </c>
      <c r="L82" s="229">
        <v>-1.7899999999999999E-2</v>
      </c>
      <c r="M82" s="231">
        <v>1504.1</v>
      </c>
      <c r="N82" s="231">
        <v>1528.9</v>
      </c>
      <c r="O82" s="228">
        <v>-24.8</v>
      </c>
      <c r="P82" s="229">
        <v>-1.6199999999999999E-2</v>
      </c>
      <c r="Q82" s="231">
        <v>1509.4</v>
      </c>
      <c r="R82" s="231">
        <v>1527.8</v>
      </c>
      <c r="S82" s="228">
        <v>-18.399999999999999</v>
      </c>
      <c r="T82" s="229">
        <v>-1.2E-2</v>
      </c>
      <c r="U82" s="231">
        <v>1512.6</v>
      </c>
      <c r="V82" s="231">
        <v>1531.2</v>
      </c>
      <c r="W82" s="228">
        <v>-18.600000000000001</v>
      </c>
      <c r="X82" s="229">
        <v>-1.21E-2</v>
      </c>
      <c r="Y82" s="228">
        <v>8.8000000000000007</v>
      </c>
      <c r="Z82" s="228">
        <v>0.9</v>
      </c>
      <c r="AA82" s="228">
        <v>7.9</v>
      </c>
      <c r="AB82" s="229">
        <v>5.8999999999999999E-3</v>
      </c>
      <c r="AC82" s="228">
        <v>3.5</v>
      </c>
      <c r="AD82" s="228">
        <v>0.9</v>
      </c>
      <c r="AE82" s="228">
        <v>2.6</v>
      </c>
      <c r="AF82" s="229">
        <v>2.3E-3</v>
      </c>
      <c r="AG82" s="228">
        <v>8.8000000000000007</v>
      </c>
      <c r="AH82" s="228">
        <v>-0.2</v>
      </c>
      <c r="AI82" s="228">
        <v>9</v>
      </c>
      <c r="AJ82" s="229">
        <v>5.8999999999999999E-3</v>
      </c>
      <c r="AK82" s="228">
        <v>12</v>
      </c>
      <c r="AL82" s="228">
        <v>3.2</v>
      </c>
      <c r="AM82" s="228">
        <v>8.8000000000000007</v>
      </c>
      <c r="AN82" s="229">
        <v>8.0000000000000002E-3</v>
      </c>
      <c r="AO82" s="231">
        <v>1511.91</v>
      </c>
      <c r="AP82" s="231">
        <v>1517.67</v>
      </c>
      <c r="AQ82" s="228">
        <v>0</v>
      </c>
      <c r="AR82" s="230">
        <v>3569500</v>
      </c>
      <c r="AS82" s="230">
        <v>4952000</v>
      </c>
      <c r="AT82" s="230">
        <v>-1382500</v>
      </c>
      <c r="AU82" s="229">
        <v>-0.2792</v>
      </c>
      <c r="AV82" s="230">
        <v>1344500</v>
      </c>
      <c r="AW82" s="230">
        <v>2341000</v>
      </c>
      <c r="AX82" s="230">
        <v>-996500</v>
      </c>
      <c r="AY82" s="229">
        <v>-0.42570000000000002</v>
      </c>
      <c r="AZ82" s="230">
        <v>2181000</v>
      </c>
      <c r="BA82" s="230">
        <v>2583000</v>
      </c>
      <c r="BB82" s="230">
        <v>-402000</v>
      </c>
      <c r="BC82" s="229">
        <v>-0.15559999999999999</v>
      </c>
      <c r="BD82" s="230">
        <v>44000</v>
      </c>
      <c r="BE82" s="230">
        <v>28000</v>
      </c>
      <c r="BF82" s="230">
        <v>16000</v>
      </c>
      <c r="BG82" s="229">
        <v>0.57140000000000002</v>
      </c>
      <c r="BH82" s="230">
        <v>2536500</v>
      </c>
      <c r="BI82" s="230">
        <v>2371000</v>
      </c>
      <c r="BJ82" s="230">
        <v>165500</v>
      </c>
      <c r="BK82" s="229">
        <v>6.9800000000000001E-2</v>
      </c>
      <c r="BL82" s="230">
        <v>1437500</v>
      </c>
      <c r="BM82" s="230">
        <v>1314000</v>
      </c>
      <c r="BN82" s="230">
        <v>123500</v>
      </c>
      <c r="BO82" s="229">
        <v>9.4E-2</v>
      </c>
      <c r="BP82" s="230">
        <v>7543500</v>
      </c>
      <c r="BQ82" s="230">
        <v>8637000</v>
      </c>
      <c r="BR82" s="230">
        <v>-1093500</v>
      </c>
      <c r="BS82" s="229">
        <v>-0.12659999999999999</v>
      </c>
      <c r="BT82" s="230">
        <v>720304</v>
      </c>
      <c r="BU82" s="230">
        <v>735414</v>
      </c>
      <c r="BV82" s="230">
        <v>-15110</v>
      </c>
      <c r="BW82" s="229">
        <v>-2.0500000000000001E-2</v>
      </c>
      <c r="BX82" s="230">
        <v>8320500</v>
      </c>
      <c r="BY82" s="230">
        <v>8917500</v>
      </c>
      <c r="BZ82" s="230">
        <v>-597000</v>
      </c>
      <c r="CA82" s="229">
        <v>-6.6900000000000001E-2</v>
      </c>
      <c r="CB82" s="230">
        <v>536500</v>
      </c>
      <c r="CC82" s="230">
        <v>876000</v>
      </c>
      <c r="CD82" s="230">
        <v>-339500</v>
      </c>
      <c r="CE82" s="229">
        <v>-0.3876</v>
      </c>
      <c r="CF82" s="230">
        <v>8217000</v>
      </c>
      <c r="CG82" s="230">
        <v>7963500</v>
      </c>
      <c r="CH82" s="230">
        <v>253500</v>
      </c>
      <c r="CI82" s="229">
        <v>3.1800000000000002E-2</v>
      </c>
      <c r="CJ82" s="230">
        <v>103500</v>
      </c>
      <c r="CK82" s="230">
        <v>78000</v>
      </c>
      <c r="CL82" s="230">
        <v>25500</v>
      </c>
      <c r="CM82" s="229">
        <v>0.32690000000000002</v>
      </c>
      <c r="CN82" s="230">
        <v>1138000</v>
      </c>
      <c r="CO82" s="230">
        <v>2764000</v>
      </c>
      <c r="CP82" s="230">
        <v>-1626000</v>
      </c>
      <c r="CQ82" s="229">
        <v>-0.58830000000000005</v>
      </c>
      <c r="CR82" s="230">
        <v>949500</v>
      </c>
      <c r="CS82" s="230">
        <v>2390000</v>
      </c>
      <c r="CT82" s="230">
        <v>-1440500</v>
      </c>
      <c r="CU82" s="229">
        <v>-0.60270000000000001</v>
      </c>
      <c r="CV82" s="230">
        <v>10408000</v>
      </c>
      <c r="CW82" s="230">
        <v>14071500</v>
      </c>
      <c r="CX82" s="230">
        <v>-3663500</v>
      </c>
      <c r="CY82" s="229">
        <v>-0.26029999999999998</v>
      </c>
      <c r="CZ82" s="228">
        <v>23.04</v>
      </c>
      <c r="DA82" s="228">
        <v>22.86</v>
      </c>
      <c r="DB82" s="228">
        <v>0.18</v>
      </c>
      <c r="DC82" s="228">
        <v>0.18</v>
      </c>
      <c r="DD82" s="228">
        <v>29.89</v>
      </c>
      <c r="DE82" s="228">
        <v>29.92</v>
      </c>
      <c r="DF82" s="228">
        <v>-6.85</v>
      </c>
      <c r="DG82" s="228">
        <v>-0.03</v>
      </c>
      <c r="DH82" s="228">
        <v>22.92</v>
      </c>
      <c r="DI82" s="228">
        <v>22.74</v>
      </c>
      <c r="DJ82" s="228">
        <v>0.18</v>
      </c>
      <c r="DK82" s="228">
        <v>0.18</v>
      </c>
      <c r="DL82" s="228">
        <v>23.28</v>
      </c>
      <c r="DM82" s="228">
        <v>23.12</v>
      </c>
      <c r="DN82" s="228">
        <v>0.16</v>
      </c>
      <c r="DO82" s="228">
        <v>0.16</v>
      </c>
      <c r="DP82" s="228">
        <v>0.83</v>
      </c>
      <c r="DQ82" s="228">
        <v>0.86</v>
      </c>
      <c r="DR82" s="228">
        <v>-0.03</v>
      </c>
      <c r="DS82" s="229">
        <v>-3.49E-2</v>
      </c>
      <c r="DT82" s="231">
        <v>1600</v>
      </c>
      <c r="DU82" s="231">
        <v>1500</v>
      </c>
      <c r="DV82" s="228">
        <v>0.56999999999999995</v>
      </c>
      <c r="DW82" s="228">
        <v>0.55000000000000004</v>
      </c>
      <c r="DX82" s="228">
        <v>0.02</v>
      </c>
      <c r="DY82" s="229">
        <v>3.6400000000000002E-2</v>
      </c>
      <c r="DZ82" s="229">
        <v>0.93940000000000001</v>
      </c>
      <c r="EA82" s="230">
        <v>8041500</v>
      </c>
      <c r="EB82" s="229">
        <v>3.5000000000000001E-3</v>
      </c>
      <c r="EC82" s="229">
        <v>0.93940000000000001</v>
      </c>
      <c r="ED82" s="228">
        <v>5.76</v>
      </c>
      <c r="EE82" s="229">
        <v>3.8E-3</v>
      </c>
      <c r="EF82" s="230">
        <v>346423</v>
      </c>
      <c r="EG82" s="230">
        <v>414054</v>
      </c>
      <c r="EH82" s="229">
        <v>-0.1633</v>
      </c>
      <c r="EI82" s="229">
        <v>0.48089999999999999</v>
      </c>
      <c r="EJ82" s="231">
        <v>40026.85</v>
      </c>
      <c r="EK82" s="231">
        <v>21895.83</v>
      </c>
      <c r="EL82" s="231">
        <v>54096.9</v>
      </c>
      <c r="EM82" s="228">
        <v>0</v>
      </c>
      <c r="EN82" s="231">
        <v>116019.58</v>
      </c>
      <c r="EO82" s="231">
        <v>132586.5</v>
      </c>
      <c r="EP82" s="231">
        <v>-16566.919999999998</v>
      </c>
      <c r="EQ82" s="229">
        <v>-0.125</v>
      </c>
      <c r="ER82" s="231">
        <v>18184</v>
      </c>
      <c r="ES82" s="231">
        <v>14151</v>
      </c>
      <c r="ET82" s="231">
        <v>125593</v>
      </c>
      <c r="EU82" s="231">
        <v>50833981</v>
      </c>
      <c r="EV82" s="231">
        <v>157929</v>
      </c>
      <c r="EW82" s="231">
        <v>216162</v>
      </c>
      <c r="EX82" s="231">
        <v>-58233</v>
      </c>
      <c r="EY82" s="229">
        <v>-0.26939999999999997</v>
      </c>
      <c r="EZ82" s="229">
        <v>0.20469999999999999</v>
      </c>
      <c r="FA82" s="227" t="s">
        <v>568</v>
      </c>
      <c r="FB82" s="161">
        <f t="shared" si="1"/>
        <v>7784000</v>
      </c>
    </row>
    <row r="83" spans="1:158" ht="17.25" thickBot="1" x14ac:dyDescent="0.3">
      <c r="A83" s="226">
        <v>45869</v>
      </c>
      <c r="B83" s="227" t="s">
        <v>221</v>
      </c>
      <c r="C83" s="227" t="s">
        <v>222</v>
      </c>
      <c r="D83" s="228">
        <v>350</v>
      </c>
      <c r="E83" s="231">
        <v>1476.2</v>
      </c>
      <c r="F83" s="231">
        <v>1485</v>
      </c>
      <c r="G83" s="228">
        <v>-8.8000000000000007</v>
      </c>
      <c r="H83" s="229">
        <v>-5.8999999999999999E-3</v>
      </c>
      <c r="I83" s="231">
        <v>1467.9</v>
      </c>
      <c r="J83" s="231">
        <v>1476.5</v>
      </c>
      <c r="K83" s="228">
        <v>-8.6</v>
      </c>
      <c r="L83" s="229">
        <v>-5.7999999999999996E-3</v>
      </c>
      <c r="M83" s="231">
        <v>1468.1</v>
      </c>
      <c r="N83" s="231">
        <v>1477.4</v>
      </c>
      <c r="O83" s="228">
        <v>-9.3000000000000007</v>
      </c>
      <c r="P83" s="229">
        <v>-6.3E-3</v>
      </c>
      <c r="Q83" s="231">
        <v>1476.2</v>
      </c>
      <c r="R83" s="231">
        <v>1485</v>
      </c>
      <c r="S83" s="228">
        <v>-8.8000000000000007</v>
      </c>
      <c r="T83" s="229">
        <v>-5.8999999999999999E-3</v>
      </c>
      <c r="U83" s="231">
        <v>1484.6</v>
      </c>
      <c r="V83" s="231">
        <v>1495</v>
      </c>
      <c r="W83" s="228">
        <v>-10.4</v>
      </c>
      <c r="X83" s="229">
        <v>-7.0000000000000001E-3</v>
      </c>
      <c r="Y83" s="228">
        <v>8.3000000000000007</v>
      </c>
      <c r="Z83" s="228">
        <v>0.9</v>
      </c>
      <c r="AA83" s="228">
        <v>7.4</v>
      </c>
      <c r="AB83" s="229">
        <v>5.7000000000000002E-3</v>
      </c>
      <c r="AC83" s="228">
        <v>0.2</v>
      </c>
      <c r="AD83" s="228">
        <v>0.9</v>
      </c>
      <c r="AE83" s="228">
        <v>-0.7</v>
      </c>
      <c r="AF83" s="229">
        <v>1E-4</v>
      </c>
      <c r="AG83" s="228">
        <v>8.3000000000000007</v>
      </c>
      <c r="AH83" s="228">
        <v>8.5</v>
      </c>
      <c r="AI83" s="228">
        <v>-0.2</v>
      </c>
      <c r="AJ83" s="229">
        <v>5.7000000000000002E-3</v>
      </c>
      <c r="AK83" s="228">
        <v>16.7</v>
      </c>
      <c r="AL83" s="228">
        <v>18.5</v>
      </c>
      <c r="AM83" s="228">
        <v>-1.8</v>
      </c>
      <c r="AN83" s="229">
        <v>1.14E-2</v>
      </c>
      <c r="AO83" s="231">
        <v>1471.77</v>
      </c>
      <c r="AP83" s="231">
        <v>1478.99</v>
      </c>
      <c r="AQ83" s="228">
        <v>0</v>
      </c>
      <c r="AR83" s="230">
        <v>6936300</v>
      </c>
      <c r="AS83" s="230">
        <v>8880550</v>
      </c>
      <c r="AT83" s="230">
        <v>-1944250</v>
      </c>
      <c r="AU83" s="229">
        <v>-0.21890000000000001</v>
      </c>
      <c r="AV83" s="230">
        <v>2754150</v>
      </c>
      <c r="AW83" s="230">
        <v>4307100</v>
      </c>
      <c r="AX83" s="230">
        <v>-1552950</v>
      </c>
      <c r="AY83" s="229">
        <v>-0.36059999999999998</v>
      </c>
      <c r="AZ83" s="230">
        <v>3962350</v>
      </c>
      <c r="BA83" s="230">
        <v>4504500</v>
      </c>
      <c r="BB83" s="230">
        <v>-542150</v>
      </c>
      <c r="BC83" s="229">
        <v>-0.12039999999999999</v>
      </c>
      <c r="BD83" s="230">
        <v>219800</v>
      </c>
      <c r="BE83" s="230">
        <v>68950</v>
      </c>
      <c r="BF83" s="230">
        <v>150850</v>
      </c>
      <c r="BG83" s="229">
        <v>2.1878000000000002</v>
      </c>
      <c r="BH83" s="230">
        <v>6848450</v>
      </c>
      <c r="BI83" s="230">
        <v>5927950</v>
      </c>
      <c r="BJ83" s="230">
        <v>920500</v>
      </c>
      <c r="BK83" s="229">
        <v>0.15529999999999999</v>
      </c>
      <c r="BL83" s="230">
        <v>4222050</v>
      </c>
      <c r="BM83" s="230">
        <v>2746100</v>
      </c>
      <c r="BN83" s="230">
        <v>1475950</v>
      </c>
      <c r="BO83" s="229">
        <v>0.53749999999999998</v>
      </c>
      <c r="BP83" s="230">
        <v>18006800</v>
      </c>
      <c r="BQ83" s="230">
        <v>17554600</v>
      </c>
      <c r="BR83" s="230">
        <v>452200</v>
      </c>
      <c r="BS83" s="229">
        <v>2.58E-2</v>
      </c>
      <c r="BT83" s="230">
        <v>2389698</v>
      </c>
      <c r="BU83" s="230">
        <v>1682813</v>
      </c>
      <c r="BV83" s="230">
        <v>706885</v>
      </c>
      <c r="BW83" s="229">
        <v>0.42009999999999997</v>
      </c>
      <c r="BX83" s="230">
        <v>19672800</v>
      </c>
      <c r="BY83" s="230">
        <v>20891850</v>
      </c>
      <c r="BZ83" s="230">
        <v>-1219050</v>
      </c>
      <c r="CA83" s="229">
        <v>-5.8400000000000001E-2</v>
      </c>
      <c r="CB83" s="230">
        <v>1372000</v>
      </c>
      <c r="CC83" s="230">
        <v>3078600</v>
      </c>
      <c r="CD83" s="230">
        <v>-1706600</v>
      </c>
      <c r="CE83" s="229">
        <v>-0.55430000000000001</v>
      </c>
      <c r="CF83" s="230">
        <v>18849250</v>
      </c>
      <c r="CG83" s="230">
        <v>17046750</v>
      </c>
      <c r="CH83" s="230">
        <v>1802500</v>
      </c>
      <c r="CI83" s="229">
        <v>0.1057</v>
      </c>
      <c r="CJ83" s="230">
        <v>823550</v>
      </c>
      <c r="CK83" s="230">
        <v>766500</v>
      </c>
      <c r="CL83" s="230">
        <v>57050</v>
      </c>
      <c r="CM83" s="229">
        <v>7.4399999999999994E-2</v>
      </c>
      <c r="CN83" s="230">
        <v>3955000</v>
      </c>
      <c r="CO83" s="230">
        <v>13291600</v>
      </c>
      <c r="CP83" s="230">
        <v>-9336600</v>
      </c>
      <c r="CQ83" s="229">
        <v>-0.70240000000000002</v>
      </c>
      <c r="CR83" s="230">
        <v>2645650</v>
      </c>
      <c r="CS83" s="230">
        <v>5482400</v>
      </c>
      <c r="CT83" s="230">
        <v>-2836750</v>
      </c>
      <c r="CU83" s="229">
        <v>-0.51739999999999997</v>
      </c>
      <c r="CV83" s="230">
        <v>26273450</v>
      </c>
      <c r="CW83" s="230">
        <v>39665850</v>
      </c>
      <c r="CX83" s="230">
        <v>-13392400</v>
      </c>
      <c r="CY83" s="229">
        <v>-0.33760000000000001</v>
      </c>
      <c r="CZ83" s="228">
        <v>21.98</v>
      </c>
      <c r="DA83" s="228">
        <v>22.33</v>
      </c>
      <c r="DB83" s="228">
        <v>-0.35</v>
      </c>
      <c r="DC83" s="228">
        <v>-0.35</v>
      </c>
      <c r="DD83" s="228">
        <v>30.46</v>
      </c>
      <c r="DE83" s="228">
        <v>30.52</v>
      </c>
      <c r="DF83" s="228">
        <v>-8.48</v>
      </c>
      <c r="DG83" s="228">
        <v>-0.06</v>
      </c>
      <c r="DH83" s="228">
        <v>22.32</v>
      </c>
      <c r="DI83" s="228">
        <v>22.5</v>
      </c>
      <c r="DJ83" s="228">
        <v>-0.18</v>
      </c>
      <c r="DK83" s="228">
        <v>-0.18</v>
      </c>
      <c r="DL83" s="228">
        <v>21.4</v>
      </c>
      <c r="DM83" s="228">
        <v>22.07</v>
      </c>
      <c r="DN83" s="228">
        <v>-0.67</v>
      </c>
      <c r="DO83" s="228">
        <v>-0.67</v>
      </c>
      <c r="DP83" s="228">
        <v>0.67</v>
      </c>
      <c r="DQ83" s="228">
        <v>0.41</v>
      </c>
      <c r="DR83" s="228">
        <v>0.26</v>
      </c>
      <c r="DS83" s="229">
        <v>0.6341</v>
      </c>
      <c r="DT83" s="231">
        <v>1820</v>
      </c>
      <c r="DU83" s="231">
        <v>1500</v>
      </c>
      <c r="DV83" s="228">
        <v>0.62</v>
      </c>
      <c r="DW83" s="228">
        <v>0.46</v>
      </c>
      <c r="DX83" s="228">
        <v>0.16</v>
      </c>
      <c r="DY83" s="229">
        <v>0.3478</v>
      </c>
      <c r="DZ83" s="229">
        <v>0.93479999999999996</v>
      </c>
      <c r="EA83" s="230">
        <v>17813250</v>
      </c>
      <c r="EB83" s="229">
        <v>5.4999999999999997E-3</v>
      </c>
      <c r="EC83" s="229">
        <v>0.93479999999999996</v>
      </c>
      <c r="ED83" s="228">
        <v>7.22</v>
      </c>
      <c r="EE83" s="229">
        <v>4.8999999999999998E-3</v>
      </c>
      <c r="EF83" s="230">
        <v>1597533</v>
      </c>
      <c r="EG83" s="230">
        <v>1167043</v>
      </c>
      <c r="EH83" s="229">
        <v>0.36890000000000001</v>
      </c>
      <c r="EI83" s="229">
        <v>0.66849999999999998</v>
      </c>
      <c r="EJ83" s="231">
        <v>106530.5</v>
      </c>
      <c r="EK83" s="231">
        <v>63684.43</v>
      </c>
      <c r="EL83" s="231">
        <v>102407.62</v>
      </c>
      <c r="EM83" s="228">
        <v>0</v>
      </c>
      <c r="EN83" s="231">
        <v>272622.55</v>
      </c>
      <c r="EO83" s="231">
        <v>265633.76</v>
      </c>
      <c r="EP83" s="231">
        <v>6988.79</v>
      </c>
      <c r="EQ83" s="229">
        <v>2.63E-2</v>
      </c>
      <c r="ER83" s="231">
        <v>62522</v>
      </c>
      <c r="ES83" s="231">
        <v>39228</v>
      </c>
      <c r="ET83" s="231">
        <v>290479</v>
      </c>
      <c r="EU83" s="231">
        <v>211721976</v>
      </c>
      <c r="EV83" s="231">
        <v>392230</v>
      </c>
      <c r="EW83" s="231">
        <v>617897</v>
      </c>
      <c r="EX83" s="231">
        <v>-225667</v>
      </c>
      <c r="EY83" s="229">
        <v>-0.36520000000000002</v>
      </c>
      <c r="EZ83" s="229">
        <v>0.1241</v>
      </c>
      <c r="FA83" s="227" t="s">
        <v>568</v>
      </c>
      <c r="FB83" s="161">
        <f t="shared" si="1"/>
        <v>18300800</v>
      </c>
    </row>
    <row r="84" spans="1:158" ht="17.25" thickBot="1" x14ac:dyDescent="0.3">
      <c r="A84" s="226">
        <v>45869</v>
      </c>
      <c r="B84" s="227" t="s">
        <v>175</v>
      </c>
      <c r="C84" s="227" t="s">
        <v>475</v>
      </c>
      <c r="D84" s="228">
        <v>150</v>
      </c>
      <c r="E84" s="231">
        <v>5637.5</v>
      </c>
      <c r="F84" s="231">
        <v>5646.5</v>
      </c>
      <c r="G84" s="228">
        <v>-9</v>
      </c>
      <c r="H84" s="229">
        <v>-1.6000000000000001E-3</v>
      </c>
      <c r="I84" s="231">
        <v>5650</v>
      </c>
      <c r="J84" s="231">
        <v>5670</v>
      </c>
      <c r="K84" s="228">
        <v>-20</v>
      </c>
      <c r="L84" s="229">
        <v>-3.5000000000000001E-3</v>
      </c>
      <c r="M84" s="231">
        <v>5645</v>
      </c>
      <c r="N84" s="231">
        <v>5649.5</v>
      </c>
      <c r="O84" s="228">
        <v>-4.5</v>
      </c>
      <c r="P84" s="229">
        <v>-8.0000000000000004E-4</v>
      </c>
      <c r="Q84" s="231">
        <v>5637.5</v>
      </c>
      <c r="R84" s="231">
        <v>5646.5</v>
      </c>
      <c r="S84" s="228">
        <v>-9</v>
      </c>
      <c r="T84" s="229">
        <v>-1.6000000000000001E-3</v>
      </c>
      <c r="U84" s="231">
        <v>5639.5</v>
      </c>
      <c r="V84" s="231">
        <v>5652</v>
      </c>
      <c r="W84" s="228">
        <v>-12.5</v>
      </c>
      <c r="X84" s="229">
        <v>-2.2000000000000001E-3</v>
      </c>
      <c r="Y84" s="228">
        <v>-12.5</v>
      </c>
      <c r="Z84" s="228">
        <v>-20.5</v>
      </c>
      <c r="AA84" s="228">
        <v>8</v>
      </c>
      <c r="AB84" s="229">
        <v>-2.2000000000000001E-3</v>
      </c>
      <c r="AC84" s="228">
        <v>-5</v>
      </c>
      <c r="AD84" s="228">
        <v>-20.5</v>
      </c>
      <c r="AE84" s="228">
        <v>15.5</v>
      </c>
      <c r="AF84" s="229">
        <v>-8.9999999999999998E-4</v>
      </c>
      <c r="AG84" s="228">
        <v>-12.5</v>
      </c>
      <c r="AH84" s="228">
        <v>-23.5</v>
      </c>
      <c r="AI84" s="228">
        <v>11</v>
      </c>
      <c r="AJ84" s="229">
        <v>-2.2000000000000001E-3</v>
      </c>
      <c r="AK84" s="228">
        <v>-10.5</v>
      </c>
      <c r="AL84" s="228">
        <v>-18</v>
      </c>
      <c r="AM84" s="228">
        <v>7.5</v>
      </c>
      <c r="AN84" s="229">
        <v>-1.9E-3</v>
      </c>
      <c r="AO84" s="231">
        <v>5628.74</v>
      </c>
      <c r="AP84" s="231">
        <v>5627.42</v>
      </c>
      <c r="AQ84" s="228">
        <v>0</v>
      </c>
      <c r="AR84" s="230">
        <v>1170000</v>
      </c>
      <c r="AS84" s="230">
        <v>1585950</v>
      </c>
      <c r="AT84" s="230">
        <v>-415950</v>
      </c>
      <c r="AU84" s="229">
        <v>-0.26229999999999998</v>
      </c>
      <c r="AV84" s="230">
        <v>471300</v>
      </c>
      <c r="AW84" s="230">
        <v>761250</v>
      </c>
      <c r="AX84" s="230">
        <v>-289950</v>
      </c>
      <c r="AY84" s="229">
        <v>-0.38090000000000002</v>
      </c>
      <c r="AZ84" s="230">
        <v>669600</v>
      </c>
      <c r="BA84" s="230">
        <v>807450</v>
      </c>
      <c r="BB84" s="230">
        <v>-137850</v>
      </c>
      <c r="BC84" s="229">
        <v>-0.17069999999999999</v>
      </c>
      <c r="BD84" s="230">
        <v>29100</v>
      </c>
      <c r="BE84" s="230">
        <v>17250</v>
      </c>
      <c r="BF84" s="230">
        <v>11850</v>
      </c>
      <c r="BG84" s="229">
        <v>0.68700000000000006</v>
      </c>
      <c r="BH84" s="230">
        <v>1700700</v>
      </c>
      <c r="BI84" s="230">
        <v>2717700</v>
      </c>
      <c r="BJ84" s="230">
        <v>-1017000</v>
      </c>
      <c r="BK84" s="229">
        <v>-0.37419999999999998</v>
      </c>
      <c r="BL84" s="230">
        <v>1161600</v>
      </c>
      <c r="BM84" s="230">
        <v>1400250</v>
      </c>
      <c r="BN84" s="230">
        <v>-238650</v>
      </c>
      <c r="BO84" s="229">
        <v>-0.1704</v>
      </c>
      <c r="BP84" s="230">
        <v>4032300</v>
      </c>
      <c r="BQ84" s="230">
        <v>5703900</v>
      </c>
      <c r="BR84" s="230">
        <v>-1671600</v>
      </c>
      <c r="BS84" s="229">
        <v>-0.29310000000000003</v>
      </c>
      <c r="BT84" s="230">
        <v>569584</v>
      </c>
      <c r="BU84" s="230">
        <v>399330</v>
      </c>
      <c r="BV84" s="230">
        <v>170254</v>
      </c>
      <c r="BW84" s="229">
        <v>0.42630000000000001</v>
      </c>
      <c r="BX84" s="230">
        <v>2394150</v>
      </c>
      <c r="BY84" s="230">
        <v>2619900</v>
      </c>
      <c r="BZ84" s="230">
        <v>-225750</v>
      </c>
      <c r="CA84" s="229">
        <v>-8.6199999999999999E-2</v>
      </c>
      <c r="CB84" s="230">
        <v>186150</v>
      </c>
      <c r="CC84" s="230">
        <v>354300</v>
      </c>
      <c r="CD84" s="230">
        <v>-168150</v>
      </c>
      <c r="CE84" s="229">
        <v>-0.47460000000000002</v>
      </c>
      <c r="CF84" s="230">
        <v>2362050</v>
      </c>
      <c r="CG84" s="230">
        <v>2239650</v>
      </c>
      <c r="CH84" s="230">
        <v>122400</v>
      </c>
      <c r="CI84" s="229">
        <v>5.4699999999999999E-2</v>
      </c>
      <c r="CJ84" s="230">
        <v>32100</v>
      </c>
      <c r="CK84" s="230">
        <v>25950</v>
      </c>
      <c r="CL84" s="230">
        <v>6150</v>
      </c>
      <c r="CM84" s="229">
        <v>0.23699999999999999</v>
      </c>
      <c r="CN84" s="230">
        <v>778800</v>
      </c>
      <c r="CO84" s="230">
        <v>1582500</v>
      </c>
      <c r="CP84" s="230">
        <v>-803700</v>
      </c>
      <c r="CQ84" s="229">
        <v>-0.50790000000000002</v>
      </c>
      <c r="CR84" s="230">
        <v>456900</v>
      </c>
      <c r="CS84" s="230">
        <v>1162500</v>
      </c>
      <c r="CT84" s="230">
        <v>-705600</v>
      </c>
      <c r="CU84" s="229">
        <v>-0.60699999999999998</v>
      </c>
      <c r="CV84" s="230">
        <v>3629850</v>
      </c>
      <c r="CW84" s="230">
        <v>5364900</v>
      </c>
      <c r="CX84" s="230">
        <v>-1735050</v>
      </c>
      <c r="CY84" s="229">
        <v>-0.32340000000000002</v>
      </c>
      <c r="CZ84" s="228">
        <v>27.21</v>
      </c>
      <c r="DA84" s="228">
        <v>27.15</v>
      </c>
      <c r="DB84" s="228">
        <v>0.06</v>
      </c>
      <c r="DC84" s="228">
        <v>0.06</v>
      </c>
      <c r="DD84" s="228">
        <v>36.99</v>
      </c>
      <c r="DE84" s="228">
        <v>37.08</v>
      </c>
      <c r="DF84" s="228">
        <v>-9.7799999999999994</v>
      </c>
      <c r="DG84" s="228">
        <v>-0.09</v>
      </c>
      <c r="DH84" s="228">
        <v>26.06</v>
      </c>
      <c r="DI84" s="228">
        <v>26.82</v>
      </c>
      <c r="DJ84" s="228">
        <v>-0.76</v>
      </c>
      <c r="DK84" s="228">
        <v>-0.76</v>
      </c>
      <c r="DL84" s="228">
        <v>29.07</v>
      </c>
      <c r="DM84" s="228">
        <v>28.02</v>
      </c>
      <c r="DN84" s="228">
        <v>1.05</v>
      </c>
      <c r="DO84" s="228">
        <v>1.05</v>
      </c>
      <c r="DP84" s="228">
        <v>0.59</v>
      </c>
      <c r="DQ84" s="228">
        <v>0.73</v>
      </c>
      <c r="DR84" s="228">
        <v>-0.14000000000000001</v>
      </c>
      <c r="DS84" s="229">
        <v>-0.1918</v>
      </c>
      <c r="DT84" s="231">
        <v>5700</v>
      </c>
      <c r="DU84" s="231">
        <v>5000</v>
      </c>
      <c r="DV84" s="228">
        <v>0.68</v>
      </c>
      <c r="DW84" s="228">
        <v>0.52</v>
      </c>
      <c r="DX84" s="228">
        <v>0.16</v>
      </c>
      <c r="DY84" s="229">
        <v>0.30769999999999997</v>
      </c>
      <c r="DZ84" s="229">
        <v>0.92789999999999995</v>
      </c>
      <c r="EA84" s="230">
        <v>2265600</v>
      </c>
      <c r="EB84" s="229">
        <v>-1.2999999999999999E-3</v>
      </c>
      <c r="EC84" s="229">
        <v>0.92789999999999995</v>
      </c>
      <c r="ED84" s="228">
        <v>-1.32</v>
      </c>
      <c r="EE84" s="229">
        <v>-2.0000000000000001E-4</v>
      </c>
      <c r="EF84" s="230">
        <v>278320</v>
      </c>
      <c r="EG84" s="230">
        <v>249259</v>
      </c>
      <c r="EH84" s="229">
        <v>0.1166</v>
      </c>
      <c r="EI84" s="229">
        <v>0.48859999999999998</v>
      </c>
      <c r="EJ84" s="231">
        <v>99107.86</v>
      </c>
      <c r="EK84" s="231">
        <v>62951.18</v>
      </c>
      <c r="EL84" s="231">
        <v>65848.19</v>
      </c>
      <c r="EM84" s="228">
        <v>0</v>
      </c>
      <c r="EN84" s="231">
        <v>227907.23</v>
      </c>
      <c r="EO84" s="231">
        <v>323774.96999999997</v>
      </c>
      <c r="EP84" s="231">
        <v>-95867.74</v>
      </c>
      <c r="EQ84" s="229">
        <v>-0.29609999999999997</v>
      </c>
      <c r="ER84" s="231">
        <v>43694</v>
      </c>
      <c r="ES84" s="231">
        <v>24017</v>
      </c>
      <c r="ET84" s="231">
        <v>134971</v>
      </c>
      <c r="EU84" s="231">
        <v>20322651</v>
      </c>
      <c r="EV84" s="231">
        <v>202682</v>
      </c>
      <c r="EW84" s="231">
        <v>297241</v>
      </c>
      <c r="EX84" s="231">
        <v>-94559</v>
      </c>
      <c r="EY84" s="229">
        <v>-0.31809999999999999</v>
      </c>
      <c r="EZ84" s="229">
        <v>0.17860000000000001</v>
      </c>
      <c r="FA84" s="227" t="s">
        <v>568</v>
      </c>
      <c r="FB84" s="161">
        <f t="shared" si="1"/>
        <v>2208000</v>
      </c>
    </row>
    <row r="85" spans="1:158" ht="17.25" thickBot="1" x14ac:dyDescent="0.3">
      <c r="A85" s="226">
        <v>45869</v>
      </c>
      <c r="B85" s="227" t="s">
        <v>172</v>
      </c>
      <c r="C85" s="227" t="s">
        <v>224</v>
      </c>
      <c r="D85" s="228">
        <v>550</v>
      </c>
      <c r="E85" s="231">
        <v>2028.7</v>
      </c>
      <c r="F85" s="231">
        <v>2034.4</v>
      </c>
      <c r="G85" s="228">
        <v>-5.7</v>
      </c>
      <c r="H85" s="229">
        <v>-2.8E-3</v>
      </c>
      <c r="I85" s="231">
        <v>2018.2</v>
      </c>
      <c r="J85" s="231">
        <v>2025.8</v>
      </c>
      <c r="K85" s="228">
        <v>-7.6</v>
      </c>
      <c r="L85" s="229">
        <v>-3.8E-3</v>
      </c>
      <c r="M85" s="231">
        <v>2017.8</v>
      </c>
      <c r="N85" s="231">
        <v>2023.1</v>
      </c>
      <c r="O85" s="228">
        <v>-5.3</v>
      </c>
      <c r="P85" s="229">
        <v>-2.5999999999999999E-3</v>
      </c>
      <c r="Q85" s="231">
        <v>2028.7</v>
      </c>
      <c r="R85" s="231">
        <v>2034.4</v>
      </c>
      <c r="S85" s="228">
        <v>-5.7</v>
      </c>
      <c r="T85" s="229">
        <v>-2.8E-3</v>
      </c>
      <c r="U85" s="231">
        <v>2040.8</v>
      </c>
      <c r="V85" s="231">
        <v>2046.5</v>
      </c>
      <c r="W85" s="228">
        <v>-5.7</v>
      </c>
      <c r="X85" s="229">
        <v>-2.8E-3</v>
      </c>
      <c r="Y85" s="228">
        <v>10.5</v>
      </c>
      <c r="Z85" s="228">
        <v>-2.7</v>
      </c>
      <c r="AA85" s="228">
        <v>13.2</v>
      </c>
      <c r="AB85" s="229">
        <v>5.1999999999999998E-3</v>
      </c>
      <c r="AC85" s="228">
        <v>-0.4</v>
      </c>
      <c r="AD85" s="228">
        <v>-2.7</v>
      </c>
      <c r="AE85" s="228">
        <v>2.2999999999999998</v>
      </c>
      <c r="AF85" s="229">
        <v>-2.0000000000000001E-4</v>
      </c>
      <c r="AG85" s="228">
        <v>10.5</v>
      </c>
      <c r="AH85" s="228">
        <v>8.6</v>
      </c>
      <c r="AI85" s="228">
        <v>1.9</v>
      </c>
      <c r="AJ85" s="229">
        <v>5.1999999999999998E-3</v>
      </c>
      <c r="AK85" s="228">
        <v>22.6</v>
      </c>
      <c r="AL85" s="228">
        <v>20.7</v>
      </c>
      <c r="AM85" s="228">
        <v>1.9</v>
      </c>
      <c r="AN85" s="229">
        <v>1.12E-2</v>
      </c>
      <c r="AO85" s="231">
        <v>2018.18</v>
      </c>
      <c r="AP85" s="231">
        <v>2029.08</v>
      </c>
      <c r="AQ85" s="228">
        <v>0</v>
      </c>
      <c r="AR85" s="230">
        <v>36938000</v>
      </c>
      <c r="AS85" s="230">
        <v>56203950</v>
      </c>
      <c r="AT85" s="230">
        <v>-19265950</v>
      </c>
      <c r="AU85" s="229">
        <v>-0.34279999999999999</v>
      </c>
      <c r="AV85" s="230">
        <v>17255150</v>
      </c>
      <c r="AW85" s="230">
        <v>28675350</v>
      </c>
      <c r="AX85" s="230">
        <v>-11420200</v>
      </c>
      <c r="AY85" s="229">
        <v>-0.39829999999999999</v>
      </c>
      <c r="AZ85" s="230">
        <v>19459000</v>
      </c>
      <c r="BA85" s="230">
        <v>27371850</v>
      </c>
      <c r="BB85" s="230">
        <v>-7912850</v>
      </c>
      <c r="BC85" s="229">
        <v>-0.28910000000000002</v>
      </c>
      <c r="BD85" s="230">
        <v>223850</v>
      </c>
      <c r="BE85" s="230">
        <v>156750</v>
      </c>
      <c r="BF85" s="230">
        <v>67100</v>
      </c>
      <c r="BG85" s="229">
        <v>0.42809999999999998</v>
      </c>
      <c r="BH85" s="230">
        <v>37076600</v>
      </c>
      <c r="BI85" s="230">
        <v>37012800</v>
      </c>
      <c r="BJ85" s="230">
        <v>63800</v>
      </c>
      <c r="BK85" s="229">
        <v>1.6999999999999999E-3</v>
      </c>
      <c r="BL85" s="230">
        <v>36608000</v>
      </c>
      <c r="BM85" s="230">
        <v>30021750</v>
      </c>
      <c r="BN85" s="230">
        <v>6586250</v>
      </c>
      <c r="BO85" s="229">
        <v>0.21940000000000001</v>
      </c>
      <c r="BP85" s="230">
        <v>110622600</v>
      </c>
      <c r="BQ85" s="230">
        <v>123238500</v>
      </c>
      <c r="BR85" s="230">
        <v>-12615900</v>
      </c>
      <c r="BS85" s="229">
        <v>-0.1024</v>
      </c>
      <c r="BT85" s="230">
        <v>11269394</v>
      </c>
      <c r="BU85" s="230">
        <v>7674304</v>
      </c>
      <c r="BV85" s="230">
        <v>3595090</v>
      </c>
      <c r="BW85" s="229">
        <v>0.46850000000000003</v>
      </c>
      <c r="BX85" s="230">
        <v>103714050</v>
      </c>
      <c r="BY85" s="230">
        <v>105955300</v>
      </c>
      <c r="BZ85" s="230">
        <v>-2241250</v>
      </c>
      <c r="CA85" s="229">
        <v>-2.12E-2</v>
      </c>
      <c r="CB85" s="230">
        <v>1992100</v>
      </c>
      <c r="CC85" s="230">
        <v>12621400</v>
      </c>
      <c r="CD85" s="230">
        <v>-10629300</v>
      </c>
      <c r="CE85" s="229">
        <v>-0.84219999999999995</v>
      </c>
      <c r="CF85" s="230">
        <v>102663000</v>
      </c>
      <c r="CG85" s="230">
        <v>92310900</v>
      </c>
      <c r="CH85" s="230">
        <v>10352100</v>
      </c>
      <c r="CI85" s="229">
        <v>0.11210000000000001</v>
      </c>
      <c r="CJ85" s="230">
        <v>1051050</v>
      </c>
      <c r="CK85" s="230">
        <v>1023000</v>
      </c>
      <c r="CL85" s="230">
        <v>28050</v>
      </c>
      <c r="CM85" s="229">
        <v>2.7400000000000001E-2</v>
      </c>
      <c r="CN85" s="230">
        <v>8599800</v>
      </c>
      <c r="CO85" s="230">
        <v>29855100</v>
      </c>
      <c r="CP85" s="230">
        <v>-21255300</v>
      </c>
      <c r="CQ85" s="229">
        <v>-0.71189999999999998</v>
      </c>
      <c r="CR85" s="230">
        <v>10793200</v>
      </c>
      <c r="CS85" s="230">
        <v>23194600</v>
      </c>
      <c r="CT85" s="230">
        <v>-12401400</v>
      </c>
      <c r="CU85" s="229">
        <v>-0.53469999999999995</v>
      </c>
      <c r="CV85" s="230">
        <v>123107050</v>
      </c>
      <c r="CW85" s="230">
        <v>159005000</v>
      </c>
      <c r="CX85" s="230">
        <v>-35897950</v>
      </c>
      <c r="CY85" s="229">
        <v>-0.2258</v>
      </c>
      <c r="CZ85" s="228">
        <v>15.83</v>
      </c>
      <c r="DA85" s="228">
        <v>16.36</v>
      </c>
      <c r="DB85" s="228">
        <v>-0.53</v>
      </c>
      <c r="DC85" s="228">
        <v>-0.53</v>
      </c>
      <c r="DD85" s="228">
        <v>23</v>
      </c>
      <c r="DE85" s="228">
        <v>23.06</v>
      </c>
      <c r="DF85" s="228">
        <v>-7.17</v>
      </c>
      <c r="DG85" s="228">
        <v>-0.06</v>
      </c>
      <c r="DH85" s="228">
        <v>15.07</v>
      </c>
      <c r="DI85" s="228">
        <v>15.39</v>
      </c>
      <c r="DJ85" s="228">
        <v>-0.32</v>
      </c>
      <c r="DK85" s="228">
        <v>-0.32</v>
      </c>
      <c r="DL85" s="228">
        <v>16.600000000000001</v>
      </c>
      <c r="DM85" s="228">
        <v>17.29</v>
      </c>
      <c r="DN85" s="228">
        <v>-0.69</v>
      </c>
      <c r="DO85" s="228">
        <v>-0.69</v>
      </c>
      <c r="DP85" s="228">
        <v>1.26</v>
      </c>
      <c r="DQ85" s="228">
        <v>0.78</v>
      </c>
      <c r="DR85" s="228">
        <v>0.48</v>
      </c>
      <c r="DS85" s="229">
        <v>0.61539999999999995</v>
      </c>
      <c r="DT85" s="231">
        <v>2040</v>
      </c>
      <c r="DU85" s="231">
        <v>2000</v>
      </c>
      <c r="DV85" s="228">
        <v>0.99</v>
      </c>
      <c r="DW85" s="228">
        <v>0.81</v>
      </c>
      <c r="DX85" s="228">
        <v>0.18</v>
      </c>
      <c r="DY85" s="229">
        <v>0.22220000000000001</v>
      </c>
      <c r="DZ85" s="229">
        <v>0.98119999999999996</v>
      </c>
      <c r="EA85" s="230">
        <v>93333900</v>
      </c>
      <c r="EB85" s="229">
        <v>5.4000000000000003E-3</v>
      </c>
      <c r="EC85" s="229">
        <v>0.98119999999999996</v>
      </c>
      <c r="ED85" s="228">
        <v>10.9</v>
      </c>
      <c r="EE85" s="229">
        <v>5.4000000000000003E-3</v>
      </c>
      <c r="EF85" s="230">
        <v>4771350</v>
      </c>
      <c r="EG85" s="230">
        <v>5350639</v>
      </c>
      <c r="EH85" s="229">
        <v>-0.10829999999999999</v>
      </c>
      <c r="EI85" s="229">
        <v>0.4234</v>
      </c>
      <c r="EJ85" s="231">
        <v>762697.29</v>
      </c>
      <c r="EK85" s="231">
        <v>732561.32</v>
      </c>
      <c r="EL85" s="231">
        <v>747649.25</v>
      </c>
      <c r="EM85" s="228">
        <v>0</v>
      </c>
      <c r="EN85" s="231">
        <v>2242907.86</v>
      </c>
      <c r="EO85" s="231">
        <v>2496589.84</v>
      </c>
      <c r="EP85" s="231">
        <v>-253681.98</v>
      </c>
      <c r="EQ85" s="229">
        <v>-0.1016</v>
      </c>
      <c r="ER85" s="231">
        <v>177459</v>
      </c>
      <c r="ES85" s="231">
        <v>211115</v>
      </c>
      <c r="ET85" s="231">
        <v>2104174</v>
      </c>
      <c r="EU85" s="231">
        <v>1324758679</v>
      </c>
      <c r="EV85" s="231">
        <v>2492749</v>
      </c>
      <c r="EW85" s="231">
        <v>3220413</v>
      </c>
      <c r="EX85" s="231">
        <v>-727664</v>
      </c>
      <c r="EY85" s="229">
        <v>-0.22600000000000001</v>
      </c>
      <c r="EZ85" s="229">
        <v>9.2899999999999996E-2</v>
      </c>
      <c r="FA85" s="227" t="s">
        <v>568</v>
      </c>
      <c r="FB85" s="161">
        <f t="shared" si="1"/>
        <v>101721950</v>
      </c>
    </row>
    <row r="86" spans="1:158" ht="17.25" thickBot="1" x14ac:dyDescent="0.3">
      <c r="A86" s="226">
        <v>45869</v>
      </c>
      <c r="B86" s="227" t="s">
        <v>175</v>
      </c>
      <c r="C86" s="227" t="s">
        <v>225</v>
      </c>
      <c r="D86" s="228">
        <v>1100</v>
      </c>
      <c r="E86" s="228">
        <v>760</v>
      </c>
      <c r="F86" s="228">
        <v>761.7</v>
      </c>
      <c r="G86" s="228">
        <v>-1.7</v>
      </c>
      <c r="H86" s="229">
        <v>-2.2000000000000001E-3</v>
      </c>
      <c r="I86" s="228">
        <v>755.5</v>
      </c>
      <c r="J86" s="228">
        <v>757.45</v>
      </c>
      <c r="K86" s="228">
        <v>-1.95</v>
      </c>
      <c r="L86" s="229">
        <v>-2.5999999999999999E-3</v>
      </c>
      <c r="M86" s="228">
        <v>756.65</v>
      </c>
      <c r="N86" s="228">
        <v>757.3</v>
      </c>
      <c r="O86" s="228">
        <v>-0.65</v>
      </c>
      <c r="P86" s="229">
        <v>-8.9999999999999998E-4</v>
      </c>
      <c r="Q86" s="228">
        <v>760</v>
      </c>
      <c r="R86" s="228">
        <v>761.7</v>
      </c>
      <c r="S86" s="228">
        <v>-1.7</v>
      </c>
      <c r="T86" s="229">
        <v>-2.2000000000000001E-3</v>
      </c>
      <c r="U86" s="228">
        <v>765.7</v>
      </c>
      <c r="V86" s="228">
        <v>766.7</v>
      </c>
      <c r="W86" s="228">
        <v>-1</v>
      </c>
      <c r="X86" s="229">
        <v>-1.2999999999999999E-3</v>
      </c>
      <c r="Y86" s="228">
        <v>4.5</v>
      </c>
      <c r="Z86" s="228">
        <v>-0.15</v>
      </c>
      <c r="AA86" s="228">
        <v>4.6500000000000004</v>
      </c>
      <c r="AB86" s="229">
        <v>6.0000000000000001E-3</v>
      </c>
      <c r="AC86" s="228">
        <v>1.1499999999999999</v>
      </c>
      <c r="AD86" s="228">
        <v>-0.15</v>
      </c>
      <c r="AE86" s="228">
        <v>1.3</v>
      </c>
      <c r="AF86" s="229">
        <v>1.5E-3</v>
      </c>
      <c r="AG86" s="228">
        <v>4.5</v>
      </c>
      <c r="AH86" s="228">
        <v>4.25</v>
      </c>
      <c r="AI86" s="228">
        <v>0.25</v>
      </c>
      <c r="AJ86" s="229">
        <v>6.0000000000000001E-3</v>
      </c>
      <c r="AK86" s="228">
        <v>10.199999999999999</v>
      </c>
      <c r="AL86" s="228">
        <v>9.25</v>
      </c>
      <c r="AM86" s="228">
        <v>0.95</v>
      </c>
      <c r="AN86" s="229">
        <v>1.35E-2</v>
      </c>
      <c r="AO86" s="228">
        <v>755.55</v>
      </c>
      <c r="AP86" s="228">
        <v>759.35</v>
      </c>
      <c r="AQ86" s="228">
        <v>0</v>
      </c>
      <c r="AR86" s="230">
        <v>12854600</v>
      </c>
      <c r="AS86" s="230">
        <v>22348700</v>
      </c>
      <c r="AT86" s="230">
        <v>-9494100</v>
      </c>
      <c r="AU86" s="229">
        <v>-0.42480000000000001</v>
      </c>
      <c r="AV86" s="230">
        <v>5760700</v>
      </c>
      <c r="AW86" s="230">
        <v>11057200</v>
      </c>
      <c r="AX86" s="230">
        <v>-5296500</v>
      </c>
      <c r="AY86" s="229">
        <v>-0.47899999999999998</v>
      </c>
      <c r="AZ86" s="230">
        <v>7037800</v>
      </c>
      <c r="BA86" s="230">
        <v>11261800</v>
      </c>
      <c r="BB86" s="230">
        <v>-4224000</v>
      </c>
      <c r="BC86" s="229">
        <v>-0.37509999999999999</v>
      </c>
      <c r="BD86" s="230">
        <v>56100</v>
      </c>
      <c r="BE86" s="230">
        <v>29700</v>
      </c>
      <c r="BF86" s="230">
        <v>26400</v>
      </c>
      <c r="BG86" s="229">
        <v>0.88890000000000002</v>
      </c>
      <c r="BH86" s="230">
        <v>8274200</v>
      </c>
      <c r="BI86" s="230">
        <v>8156500</v>
      </c>
      <c r="BJ86" s="230">
        <v>117700</v>
      </c>
      <c r="BK86" s="229">
        <v>1.44E-2</v>
      </c>
      <c r="BL86" s="230">
        <v>6964100</v>
      </c>
      <c r="BM86" s="230">
        <v>4093100</v>
      </c>
      <c r="BN86" s="230">
        <v>2871000</v>
      </c>
      <c r="BO86" s="229">
        <v>0.70140000000000002</v>
      </c>
      <c r="BP86" s="230">
        <v>28092900</v>
      </c>
      <c r="BQ86" s="230">
        <v>34598300</v>
      </c>
      <c r="BR86" s="230">
        <v>-6505400</v>
      </c>
      <c r="BS86" s="229">
        <v>-0.188</v>
      </c>
      <c r="BT86" s="230">
        <v>1839036</v>
      </c>
      <c r="BU86" s="230">
        <v>2070046</v>
      </c>
      <c r="BV86" s="230">
        <v>-231010</v>
      </c>
      <c r="BW86" s="229">
        <v>-0.1116</v>
      </c>
      <c r="BX86" s="230">
        <v>28716600</v>
      </c>
      <c r="BY86" s="230">
        <v>29797900</v>
      </c>
      <c r="BZ86" s="230">
        <v>-1081300</v>
      </c>
      <c r="CA86" s="229">
        <v>-3.6299999999999999E-2</v>
      </c>
      <c r="CB86" s="230">
        <v>1293600</v>
      </c>
      <c r="CC86" s="230">
        <v>4244900</v>
      </c>
      <c r="CD86" s="230">
        <v>-2951300</v>
      </c>
      <c r="CE86" s="229">
        <v>-0.69530000000000003</v>
      </c>
      <c r="CF86" s="230">
        <v>28508700</v>
      </c>
      <c r="CG86" s="230">
        <v>25350600</v>
      </c>
      <c r="CH86" s="230">
        <v>3158100</v>
      </c>
      <c r="CI86" s="229">
        <v>0.1246</v>
      </c>
      <c r="CJ86" s="230">
        <v>207900</v>
      </c>
      <c r="CK86" s="230">
        <v>202400</v>
      </c>
      <c r="CL86" s="230">
        <v>5500</v>
      </c>
      <c r="CM86" s="229">
        <v>2.7199999999999998E-2</v>
      </c>
      <c r="CN86" s="230">
        <v>3190000</v>
      </c>
      <c r="CO86" s="230">
        <v>16654000</v>
      </c>
      <c r="CP86" s="230">
        <v>-13464000</v>
      </c>
      <c r="CQ86" s="229">
        <v>-0.8085</v>
      </c>
      <c r="CR86" s="230">
        <v>2624600</v>
      </c>
      <c r="CS86" s="230">
        <v>8556900</v>
      </c>
      <c r="CT86" s="230">
        <v>-5932300</v>
      </c>
      <c r="CU86" s="229">
        <v>-0.69330000000000003</v>
      </c>
      <c r="CV86" s="230">
        <v>34531200</v>
      </c>
      <c r="CW86" s="230">
        <v>55008800</v>
      </c>
      <c r="CX86" s="230">
        <v>-20477600</v>
      </c>
      <c r="CY86" s="229">
        <v>-0.37230000000000002</v>
      </c>
      <c r="CZ86" s="228">
        <v>21.9</v>
      </c>
      <c r="DA86" s="228">
        <v>21.85</v>
      </c>
      <c r="DB86" s="228">
        <v>0.05</v>
      </c>
      <c r="DC86" s="228">
        <v>0.05</v>
      </c>
      <c r="DD86" s="228">
        <v>27.49</v>
      </c>
      <c r="DE86" s="228">
        <v>27.56</v>
      </c>
      <c r="DF86" s="228">
        <v>-5.59</v>
      </c>
      <c r="DG86" s="228">
        <v>-7.0000000000000007E-2</v>
      </c>
      <c r="DH86" s="228">
        <v>21.85</v>
      </c>
      <c r="DI86" s="228">
        <v>21.94</v>
      </c>
      <c r="DJ86" s="228">
        <v>-0.09</v>
      </c>
      <c r="DK86" s="228">
        <v>-0.09</v>
      </c>
      <c r="DL86" s="228">
        <v>21.96</v>
      </c>
      <c r="DM86" s="228">
        <v>21.71</v>
      </c>
      <c r="DN86" s="228">
        <v>0.25</v>
      </c>
      <c r="DO86" s="228">
        <v>0.25</v>
      </c>
      <c r="DP86" s="228">
        <v>0.82</v>
      </c>
      <c r="DQ86" s="228">
        <v>0.51</v>
      </c>
      <c r="DR86" s="228">
        <v>0.31</v>
      </c>
      <c r="DS86" s="229">
        <v>0.60780000000000001</v>
      </c>
      <c r="DT86" s="228">
        <v>820</v>
      </c>
      <c r="DU86" s="228">
        <v>700</v>
      </c>
      <c r="DV86" s="228">
        <v>0.84</v>
      </c>
      <c r="DW86" s="228">
        <v>0.5</v>
      </c>
      <c r="DX86" s="228">
        <v>0.34</v>
      </c>
      <c r="DY86" s="229">
        <v>0.68</v>
      </c>
      <c r="DZ86" s="229">
        <v>0.95689999999999997</v>
      </c>
      <c r="EA86" s="230">
        <v>25553000</v>
      </c>
      <c r="EB86" s="229">
        <v>4.4000000000000003E-3</v>
      </c>
      <c r="EC86" s="229">
        <v>0.95689999999999997</v>
      </c>
      <c r="ED86" s="228">
        <v>3.8</v>
      </c>
      <c r="EE86" s="229">
        <v>5.0000000000000001E-3</v>
      </c>
      <c r="EF86" s="230">
        <v>909243</v>
      </c>
      <c r="EG86" s="230">
        <v>1193790</v>
      </c>
      <c r="EH86" s="229">
        <v>-0.2384</v>
      </c>
      <c r="EI86" s="229">
        <v>0.49440000000000001</v>
      </c>
      <c r="EJ86" s="231">
        <v>64818.74</v>
      </c>
      <c r="EK86" s="231">
        <v>52618.67</v>
      </c>
      <c r="EL86" s="231">
        <v>97395.39</v>
      </c>
      <c r="EM86" s="228">
        <v>0</v>
      </c>
      <c r="EN86" s="231">
        <v>214832.8</v>
      </c>
      <c r="EO86" s="231">
        <v>263838.46000000002</v>
      </c>
      <c r="EP86" s="231">
        <v>-49005.66</v>
      </c>
      <c r="EQ86" s="229">
        <v>-0.1857</v>
      </c>
      <c r="ER86" s="231">
        <v>25356</v>
      </c>
      <c r="ES86" s="231">
        <v>19449</v>
      </c>
      <c r="ET86" s="231">
        <v>218258</v>
      </c>
      <c r="EU86" s="231">
        <v>213821216</v>
      </c>
      <c r="EV86" s="231">
        <v>263063</v>
      </c>
      <c r="EW86" s="231">
        <v>425750</v>
      </c>
      <c r="EX86" s="231">
        <v>-162687</v>
      </c>
      <c r="EY86" s="229">
        <v>-0.3821</v>
      </c>
      <c r="EZ86" s="229">
        <v>0.1615</v>
      </c>
      <c r="FA86" s="227" t="s">
        <v>568</v>
      </c>
      <c r="FB86" s="161">
        <f t="shared" si="1"/>
        <v>27423000</v>
      </c>
    </row>
    <row r="87" spans="1:158" ht="17.25" thickBot="1" x14ac:dyDescent="0.3">
      <c r="A87" s="226">
        <v>45869</v>
      </c>
      <c r="B87" s="227" t="s">
        <v>162</v>
      </c>
      <c r="C87" s="227" t="s">
        <v>226</v>
      </c>
      <c r="D87" s="228">
        <v>150</v>
      </c>
      <c r="E87" s="231">
        <v>4225</v>
      </c>
      <c r="F87" s="231">
        <v>4221.2</v>
      </c>
      <c r="G87" s="228">
        <v>3.8</v>
      </c>
      <c r="H87" s="229">
        <v>8.9999999999999998E-4</v>
      </c>
      <c r="I87" s="231">
        <v>4260.7</v>
      </c>
      <c r="J87" s="231">
        <v>4251.3</v>
      </c>
      <c r="K87" s="228">
        <v>9.4</v>
      </c>
      <c r="L87" s="229">
        <v>2.2000000000000001E-3</v>
      </c>
      <c r="M87" s="231">
        <v>4260.2</v>
      </c>
      <c r="N87" s="231">
        <v>4252.6000000000004</v>
      </c>
      <c r="O87" s="228">
        <v>7.6</v>
      </c>
      <c r="P87" s="229">
        <v>1.8E-3</v>
      </c>
      <c r="Q87" s="231">
        <v>4225</v>
      </c>
      <c r="R87" s="231">
        <v>4221.2</v>
      </c>
      <c r="S87" s="228">
        <v>3.8</v>
      </c>
      <c r="T87" s="229">
        <v>8.9999999999999998E-4</v>
      </c>
      <c r="U87" s="231">
        <v>4218</v>
      </c>
      <c r="V87" s="231">
        <v>4216.5</v>
      </c>
      <c r="W87" s="228">
        <v>1.5</v>
      </c>
      <c r="X87" s="229">
        <v>4.0000000000000002E-4</v>
      </c>
      <c r="Y87" s="228">
        <v>-35.700000000000003</v>
      </c>
      <c r="Z87" s="228">
        <v>1.3</v>
      </c>
      <c r="AA87" s="228">
        <v>-37</v>
      </c>
      <c r="AB87" s="229">
        <v>-8.3999999999999995E-3</v>
      </c>
      <c r="AC87" s="228">
        <v>-0.5</v>
      </c>
      <c r="AD87" s="228">
        <v>1.3</v>
      </c>
      <c r="AE87" s="228">
        <v>-1.8</v>
      </c>
      <c r="AF87" s="229">
        <v>-1E-4</v>
      </c>
      <c r="AG87" s="228">
        <v>-35.700000000000003</v>
      </c>
      <c r="AH87" s="228">
        <v>-30.1</v>
      </c>
      <c r="AI87" s="228">
        <v>-5.6</v>
      </c>
      <c r="AJ87" s="229">
        <v>-8.3999999999999995E-3</v>
      </c>
      <c r="AK87" s="228">
        <v>-42.7</v>
      </c>
      <c r="AL87" s="228">
        <v>-34.799999999999997</v>
      </c>
      <c r="AM87" s="228">
        <v>-7.9</v>
      </c>
      <c r="AN87" s="229">
        <v>-0.01</v>
      </c>
      <c r="AO87" s="231">
        <v>4252.6499999999996</v>
      </c>
      <c r="AP87" s="231">
        <v>4219.72</v>
      </c>
      <c r="AQ87" s="228">
        <v>0</v>
      </c>
      <c r="AR87" s="230">
        <v>2286450</v>
      </c>
      <c r="AS87" s="230">
        <v>4419300</v>
      </c>
      <c r="AT87" s="230">
        <v>-2132850</v>
      </c>
      <c r="AU87" s="229">
        <v>-0.48259999999999997</v>
      </c>
      <c r="AV87" s="230">
        <v>858000</v>
      </c>
      <c r="AW87" s="230">
        <v>1868850</v>
      </c>
      <c r="AX87" s="230">
        <v>-1010850</v>
      </c>
      <c r="AY87" s="229">
        <v>-0.54090000000000005</v>
      </c>
      <c r="AZ87" s="230">
        <v>1364100</v>
      </c>
      <c r="BA87" s="230">
        <v>2494200</v>
      </c>
      <c r="BB87" s="230">
        <v>-1130100</v>
      </c>
      <c r="BC87" s="229">
        <v>-0.4531</v>
      </c>
      <c r="BD87" s="230">
        <v>64350</v>
      </c>
      <c r="BE87" s="230">
        <v>56250</v>
      </c>
      <c r="BF87" s="230">
        <v>8100</v>
      </c>
      <c r="BG87" s="229">
        <v>0.14399999999999999</v>
      </c>
      <c r="BH87" s="230">
        <v>3106050</v>
      </c>
      <c r="BI87" s="230">
        <v>6631800</v>
      </c>
      <c r="BJ87" s="230">
        <v>-3525750</v>
      </c>
      <c r="BK87" s="229">
        <v>-0.53159999999999996</v>
      </c>
      <c r="BL87" s="230">
        <v>1387050</v>
      </c>
      <c r="BM87" s="230">
        <v>2876700</v>
      </c>
      <c r="BN87" s="230">
        <v>-1489650</v>
      </c>
      <c r="BO87" s="229">
        <v>-0.51780000000000004</v>
      </c>
      <c r="BP87" s="230">
        <v>6779550</v>
      </c>
      <c r="BQ87" s="230">
        <v>13927800</v>
      </c>
      <c r="BR87" s="230">
        <v>-7148250</v>
      </c>
      <c r="BS87" s="229">
        <v>-0.51319999999999999</v>
      </c>
      <c r="BT87" s="230">
        <v>469501</v>
      </c>
      <c r="BU87" s="230">
        <v>565296</v>
      </c>
      <c r="BV87" s="230">
        <v>-95795</v>
      </c>
      <c r="BW87" s="229">
        <v>-0.16950000000000001</v>
      </c>
      <c r="BX87" s="230">
        <v>6548100</v>
      </c>
      <c r="BY87" s="230">
        <v>7336200</v>
      </c>
      <c r="BZ87" s="230">
        <v>-788100</v>
      </c>
      <c r="CA87" s="229">
        <v>-0.1074</v>
      </c>
      <c r="CB87" s="230">
        <v>571800</v>
      </c>
      <c r="CC87" s="230">
        <v>884700</v>
      </c>
      <c r="CD87" s="230">
        <v>-312900</v>
      </c>
      <c r="CE87" s="229">
        <v>-0.35370000000000001</v>
      </c>
      <c r="CF87" s="230">
        <v>6442350</v>
      </c>
      <c r="CG87" s="230">
        <v>6363300</v>
      </c>
      <c r="CH87" s="230">
        <v>79050</v>
      </c>
      <c r="CI87" s="229">
        <v>1.24E-2</v>
      </c>
      <c r="CJ87" s="230">
        <v>105750</v>
      </c>
      <c r="CK87" s="230">
        <v>88200</v>
      </c>
      <c r="CL87" s="230">
        <v>17550</v>
      </c>
      <c r="CM87" s="229">
        <v>0.19900000000000001</v>
      </c>
      <c r="CN87" s="230">
        <v>1139850</v>
      </c>
      <c r="CO87" s="230">
        <v>3423000</v>
      </c>
      <c r="CP87" s="230">
        <v>-2283150</v>
      </c>
      <c r="CQ87" s="229">
        <v>-0.66700000000000004</v>
      </c>
      <c r="CR87" s="230">
        <v>773100</v>
      </c>
      <c r="CS87" s="230">
        <v>1993800</v>
      </c>
      <c r="CT87" s="230">
        <v>-1220700</v>
      </c>
      <c r="CU87" s="229">
        <v>-0.61219999999999997</v>
      </c>
      <c r="CV87" s="230">
        <v>8461050</v>
      </c>
      <c r="CW87" s="230">
        <v>12753000</v>
      </c>
      <c r="CX87" s="230">
        <v>-4291950</v>
      </c>
      <c r="CY87" s="229">
        <v>-0.33650000000000002</v>
      </c>
      <c r="CZ87" s="228">
        <v>28.42</v>
      </c>
      <c r="DA87" s="228">
        <v>28.86</v>
      </c>
      <c r="DB87" s="228">
        <v>-0.44</v>
      </c>
      <c r="DC87" s="228">
        <v>-0.44</v>
      </c>
      <c r="DD87" s="228">
        <v>30.37</v>
      </c>
      <c r="DE87" s="228">
        <v>30.44</v>
      </c>
      <c r="DF87" s="228">
        <v>-1.95</v>
      </c>
      <c r="DG87" s="228">
        <v>-7.0000000000000007E-2</v>
      </c>
      <c r="DH87" s="228">
        <v>28.35</v>
      </c>
      <c r="DI87" s="228">
        <v>28.85</v>
      </c>
      <c r="DJ87" s="228">
        <v>-0.5</v>
      </c>
      <c r="DK87" s="228">
        <v>-0.5</v>
      </c>
      <c r="DL87" s="228">
        <v>28.57</v>
      </c>
      <c r="DM87" s="228">
        <v>28.89</v>
      </c>
      <c r="DN87" s="228">
        <v>-0.32</v>
      </c>
      <c r="DO87" s="228">
        <v>-0.32</v>
      </c>
      <c r="DP87" s="228">
        <v>0.68</v>
      </c>
      <c r="DQ87" s="228">
        <v>0.57999999999999996</v>
      </c>
      <c r="DR87" s="228">
        <v>0.1</v>
      </c>
      <c r="DS87" s="229">
        <v>0.1724</v>
      </c>
      <c r="DT87" s="231">
        <v>4500</v>
      </c>
      <c r="DU87" s="231">
        <v>3700</v>
      </c>
      <c r="DV87" s="228">
        <v>0.45</v>
      </c>
      <c r="DW87" s="228">
        <v>0.43</v>
      </c>
      <c r="DX87" s="228">
        <v>0.02</v>
      </c>
      <c r="DY87" s="229">
        <v>4.65E-2</v>
      </c>
      <c r="DZ87" s="229">
        <v>0.91969999999999996</v>
      </c>
      <c r="EA87" s="230">
        <v>6451500</v>
      </c>
      <c r="EB87" s="229">
        <v>-8.3000000000000001E-3</v>
      </c>
      <c r="EC87" s="229">
        <v>0.91969999999999996</v>
      </c>
      <c r="ED87" s="228">
        <v>-32.93</v>
      </c>
      <c r="EE87" s="229">
        <v>-7.7000000000000002E-3</v>
      </c>
      <c r="EF87" s="230">
        <v>216529</v>
      </c>
      <c r="EG87" s="230">
        <v>225310</v>
      </c>
      <c r="EH87" s="229">
        <v>-3.9E-2</v>
      </c>
      <c r="EI87" s="229">
        <v>0.4612</v>
      </c>
      <c r="EJ87" s="231">
        <v>137641.87</v>
      </c>
      <c r="EK87" s="231">
        <v>58707.18</v>
      </c>
      <c r="EL87" s="231">
        <v>96760.48</v>
      </c>
      <c r="EM87" s="228">
        <v>0</v>
      </c>
      <c r="EN87" s="231">
        <v>293109.53000000003</v>
      </c>
      <c r="EO87" s="231">
        <v>603802.64</v>
      </c>
      <c r="EP87" s="231">
        <v>-310693.11</v>
      </c>
      <c r="EQ87" s="229">
        <v>-0.51459999999999995</v>
      </c>
      <c r="ER87" s="231">
        <v>51580</v>
      </c>
      <c r="ES87" s="231">
        <v>31986</v>
      </c>
      <c r="ET87" s="231">
        <v>276650</v>
      </c>
      <c r="EU87" s="231">
        <v>26104531</v>
      </c>
      <c r="EV87" s="231">
        <v>360216</v>
      </c>
      <c r="EW87" s="231">
        <v>546131</v>
      </c>
      <c r="EX87" s="231">
        <v>-185915</v>
      </c>
      <c r="EY87" s="229">
        <v>-0.34039999999999998</v>
      </c>
      <c r="EZ87" s="229">
        <v>0.3241</v>
      </c>
      <c r="FA87" s="227" t="s">
        <v>556</v>
      </c>
      <c r="FB87" s="161">
        <f t="shared" si="1"/>
        <v>5976300</v>
      </c>
    </row>
    <row r="88" spans="1:158" ht="17.25" thickBot="1" x14ac:dyDescent="0.3">
      <c r="A88" s="226">
        <v>45869</v>
      </c>
      <c r="B88" s="227" t="s">
        <v>221</v>
      </c>
      <c r="C88" s="227" t="s">
        <v>577</v>
      </c>
      <c r="D88" s="228">
        <v>6450</v>
      </c>
      <c r="E88" s="228">
        <v>76.09</v>
      </c>
      <c r="F88" s="228">
        <v>77.430000000000007</v>
      </c>
      <c r="G88" s="228">
        <v>-1.34</v>
      </c>
      <c r="H88" s="229">
        <v>-1.7299999999999999E-2</v>
      </c>
      <c r="I88" s="228">
        <v>75.569999999999993</v>
      </c>
      <c r="J88" s="228">
        <v>77</v>
      </c>
      <c r="K88" s="228">
        <v>-1.43</v>
      </c>
      <c r="L88" s="229">
        <v>-1.8599999999999998E-2</v>
      </c>
      <c r="M88" s="228">
        <v>75.760000000000005</v>
      </c>
      <c r="N88" s="228">
        <v>77.010000000000005</v>
      </c>
      <c r="O88" s="228">
        <v>-1.25</v>
      </c>
      <c r="P88" s="229">
        <v>-1.6199999999999999E-2</v>
      </c>
      <c r="Q88" s="228">
        <v>76.09</v>
      </c>
      <c r="R88" s="228">
        <v>77.430000000000007</v>
      </c>
      <c r="S88" s="228">
        <v>-1.34</v>
      </c>
      <c r="T88" s="229">
        <v>-1.7299999999999999E-2</v>
      </c>
      <c r="U88" s="228">
        <v>76.59</v>
      </c>
      <c r="V88" s="228">
        <v>77.849999999999994</v>
      </c>
      <c r="W88" s="228">
        <v>-1.26</v>
      </c>
      <c r="X88" s="229">
        <v>-1.6199999999999999E-2</v>
      </c>
      <c r="Y88" s="228">
        <v>0.52</v>
      </c>
      <c r="Z88" s="228">
        <v>0.01</v>
      </c>
      <c r="AA88" s="228">
        <v>0.51</v>
      </c>
      <c r="AB88" s="229">
        <v>6.8999999999999999E-3</v>
      </c>
      <c r="AC88" s="228">
        <v>0.19</v>
      </c>
      <c r="AD88" s="228">
        <v>0.01</v>
      </c>
      <c r="AE88" s="228">
        <v>0.18</v>
      </c>
      <c r="AF88" s="229">
        <v>2.5000000000000001E-3</v>
      </c>
      <c r="AG88" s="228">
        <v>0.52</v>
      </c>
      <c r="AH88" s="228">
        <v>0.43</v>
      </c>
      <c r="AI88" s="228">
        <v>0.09</v>
      </c>
      <c r="AJ88" s="229">
        <v>6.8999999999999999E-3</v>
      </c>
      <c r="AK88" s="228">
        <v>1.02</v>
      </c>
      <c r="AL88" s="228">
        <v>0.85</v>
      </c>
      <c r="AM88" s="228">
        <v>0.17</v>
      </c>
      <c r="AN88" s="229">
        <v>1.35E-2</v>
      </c>
      <c r="AO88" s="228">
        <v>76.13</v>
      </c>
      <c r="AP88" s="228">
        <v>76.48</v>
      </c>
      <c r="AQ88" s="228">
        <v>0</v>
      </c>
      <c r="AR88" s="230">
        <v>60307500</v>
      </c>
      <c r="AS88" s="230">
        <v>40022250</v>
      </c>
      <c r="AT88" s="230">
        <v>20285250</v>
      </c>
      <c r="AU88" s="229">
        <v>0.50680000000000003</v>
      </c>
      <c r="AV88" s="230">
        <v>25864500</v>
      </c>
      <c r="AW88" s="230">
        <v>19008150</v>
      </c>
      <c r="AX88" s="230">
        <v>6856350</v>
      </c>
      <c r="AY88" s="229">
        <v>0.36070000000000002</v>
      </c>
      <c r="AZ88" s="230">
        <v>33352950</v>
      </c>
      <c r="BA88" s="230">
        <v>20575500</v>
      </c>
      <c r="BB88" s="230">
        <v>12777450</v>
      </c>
      <c r="BC88" s="229">
        <v>0.621</v>
      </c>
      <c r="BD88" s="230">
        <v>1090050</v>
      </c>
      <c r="BE88" s="230">
        <v>438600</v>
      </c>
      <c r="BF88" s="230">
        <v>651450</v>
      </c>
      <c r="BG88" s="229">
        <v>1.4853000000000001</v>
      </c>
      <c r="BH88" s="230">
        <v>17163450</v>
      </c>
      <c r="BI88" s="230">
        <v>10997250</v>
      </c>
      <c r="BJ88" s="230">
        <v>6166200</v>
      </c>
      <c r="BK88" s="229">
        <v>0.56069999999999998</v>
      </c>
      <c r="BL88" s="230">
        <v>10629600</v>
      </c>
      <c r="BM88" s="230">
        <v>10636050</v>
      </c>
      <c r="BN88" s="230">
        <v>-6450</v>
      </c>
      <c r="BO88" s="229">
        <v>-5.9999999999999995E-4</v>
      </c>
      <c r="BP88" s="230">
        <v>88100550</v>
      </c>
      <c r="BQ88" s="230">
        <v>61655550</v>
      </c>
      <c r="BR88" s="230">
        <v>26445000</v>
      </c>
      <c r="BS88" s="229">
        <v>0.4289</v>
      </c>
      <c r="BT88" s="230">
        <v>12752093</v>
      </c>
      <c r="BU88" s="230">
        <v>6303265</v>
      </c>
      <c r="BV88" s="230">
        <v>6448828</v>
      </c>
      <c r="BW88" s="229">
        <v>1.0230999999999999</v>
      </c>
      <c r="BX88" s="230">
        <v>83243700</v>
      </c>
      <c r="BY88" s="230">
        <v>82985700</v>
      </c>
      <c r="BZ88" s="230">
        <v>258000</v>
      </c>
      <c r="CA88" s="229">
        <v>3.0999999999999999E-3</v>
      </c>
      <c r="CB88" s="230">
        <v>3979650</v>
      </c>
      <c r="CC88" s="230">
        <v>19021050</v>
      </c>
      <c r="CD88" s="230">
        <v>-15041400</v>
      </c>
      <c r="CE88" s="229">
        <v>-0.79079999999999995</v>
      </c>
      <c r="CF88" s="230">
        <v>80695950</v>
      </c>
      <c r="CG88" s="230">
        <v>62190900</v>
      </c>
      <c r="CH88" s="230">
        <v>18505050</v>
      </c>
      <c r="CI88" s="229">
        <v>0.29759999999999998</v>
      </c>
      <c r="CJ88" s="230">
        <v>2547750</v>
      </c>
      <c r="CK88" s="230">
        <v>1773750</v>
      </c>
      <c r="CL88" s="230">
        <v>774000</v>
      </c>
      <c r="CM88" s="229">
        <v>0.43640000000000001</v>
      </c>
      <c r="CN88" s="230">
        <v>21897750</v>
      </c>
      <c r="CO88" s="230">
        <v>45220950</v>
      </c>
      <c r="CP88" s="230">
        <v>-23323200</v>
      </c>
      <c r="CQ88" s="229">
        <v>-0.51580000000000004</v>
      </c>
      <c r="CR88" s="230">
        <v>13241850</v>
      </c>
      <c r="CS88" s="230">
        <v>25522650</v>
      </c>
      <c r="CT88" s="230">
        <v>-12280800</v>
      </c>
      <c r="CU88" s="229">
        <v>-0.48120000000000002</v>
      </c>
      <c r="CV88" s="230">
        <v>118383300</v>
      </c>
      <c r="CW88" s="230">
        <v>153729300</v>
      </c>
      <c r="CX88" s="230">
        <v>-35346000</v>
      </c>
      <c r="CY88" s="229">
        <v>-0.22989999999999999</v>
      </c>
      <c r="CZ88" s="228">
        <v>43.64</v>
      </c>
      <c r="DA88" s="228">
        <v>45.2</v>
      </c>
      <c r="DB88" s="228">
        <v>-1.56</v>
      </c>
      <c r="DC88" s="228">
        <v>-1.56</v>
      </c>
      <c r="DD88" s="228">
        <v>57.92</v>
      </c>
      <c r="DE88" s="228">
        <v>58.02</v>
      </c>
      <c r="DF88" s="228">
        <v>-14.28</v>
      </c>
      <c r="DG88" s="228">
        <v>-0.1</v>
      </c>
      <c r="DH88" s="228">
        <v>43.49</v>
      </c>
      <c r="DI88" s="228">
        <v>43.46</v>
      </c>
      <c r="DJ88" s="228">
        <v>0.03</v>
      </c>
      <c r="DK88" s="228">
        <v>0.03</v>
      </c>
      <c r="DL88" s="228">
        <v>43.98</v>
      </c>
      <c r="DM88" s="228">
        <v>46.92</v>
      </c>
      <c r="DN88" s="228">
        <v>-2.94</v>
      </c>
      <c r="DO88" s="228">
        <v>-2.94</v>
      </c>
      <c r="DP88" s="228">
        <v>0.6</v>
      </c>
      <c r="DQ88" s="228">
        <v>0.56000000000000005</v>
      </c>
      <c r="DR88" s="228">
        <v>0.04</v>
      </c>
      <c r="DS88" s="229">
        <v>7.1400000000000005E-2</v>
      </c>
      <c r="DT88" s="228">
        <v>90</v>
      </c>
      <c r="DU88" s="228">
        <v>80</v>
      </c>
      <c r="DV88" s="228">
        <v>0.62</v>
      </c>
      <c r="DW88" s="228">
        <v>0.97</v>
      </c>
      <c r="DX88" s="228">
        <v>-0.35</v>
      </c>
      <c r="DY88" s="229">
        <v>-0.36080000000000001</v>
      </c>
      <c r="DZ88" s="229">
        <v>0.95440000000000003</v>
      </c>
      <c r="EA88" s="230">
        <v>63964650</v>
      </c>
      <c r="EB88" s="229">
        <v>4.4000000000000003E-3</v>
      </c>
      <c r="EC88" s="229">
        <v>0.95440000000000003</v>
      </c>
      <c r="ED88" s="228">
        <v>0.35</v>
      </c>
      <c r="EE88" s="229">
        <v>4.5999999999999999E-3</v>
      </c>
      <c r="EF88" s="230">
        <v>6327756</v>
      </c>
      <c r="EG88" s="230">
        <v>1989133</v>
      </c>
      <c r="EH88" s="229">
        <v>2.1812</v>
      </c>
      <c r="EI88" s="229">
        <v>0.49619999999999997</v>
      </c>
      <c r="EJ88" s="231">
        <v>14161.85</v>
      </c>
      <c r="EK88" s="231">
        <v>8616.74</v>
      </c>
      <c r="EL88" s="231">
        <v>46040.68</v>
      </c>
      <c r="EM88" s="228">
        <v>0</v>
      </c>
      <c r="EN88" s="231">
        <v>68819.27</v>
      </c>
      <c r="EO88" s="231">
        <v>49779.15</v>
      </c>
      <c r="EP88" s="231">
        <v>19040.12</v>
      </c>
      <c r="EQ88" s="229">
        <v>0.38250000000000001</v>
      </c>
      <c r="ER88" s="231">
        <v>18337</v>
      </c>
      <c r="ES88" s="231">
        <v>10427</v>
      </c>
      <c r="ET88" s="231">
        <v>63353</v>
      </c>
      <c r="EU88" s="231">
        <v>189248684</v>
      </c>
      <c r="EV88" s="231">
        <v>92117</v>
      </c>
      <c r="EW88" s="231">
        <v>123912</v>
      </c>
      <c r="EX88" s="231">
        <v>-31795</v>
      </c>
      <c r="EY88" s="229">
        <v>-0.25659999999999999</v>
      </c>
      <c r="EZ88" s="229">
        <v>0.62549999999999994</v>
      </c>
      <c r="FA88" s="227" t="s">
        <v>567</v>
      </c>
      <c r="FB88" s="161">
        <f t="shared" si="1"/>
        <v>79264050</v>
      </c>
    </row>
    <row r="89" spans="1:158" ht="17.25" thickBot="1" x14ac:dyDescent="0.3">
      <c r="A89" s="226">
        <v>45869</v>
      </c>
      <c r="B89" s="227" t="s">
        <v>227</v>
      </c>
      <c r="C89" s="227" t="s">
        <v>228</v>
      </c>
      <c r="D89" s="228">
        <v>1400</v>
      </c>
      <c r="E89" s="228">
        <v>680.2</v>
      </c>
      <c r="F89" s="228">
        <v>687.4</v>
      </c>
      <c r="G89" s="228">
        <v>-7.2</v>
      </c>
      <c r="H89" s="229">
        <v>-1.0500000000000001E-2</v>
      </c>
      <c r="I89" s="228">
        <v>683.05</v>
      </c>
      <c r="J89" s="228">
        <v>688.8</v>
      </c>
      <c r="K89" s="228">
        <v>-5.75</v>
      </c>
      <c r="L89" s="229">
        <v>-8.3000000000000001E-3</v>
      </c>
      <c r="M89" s="228">
        <v>682.35</v>
      </c>
      <c r="N89" s="228">
        <v>688.7</v>
      </c>
      <c r="O89" s="228">
        <v>-6.35</v>
      </c>
      <c r="P89" s="229">
        <v>-9.1999999999999998E-3</v>
      </c>
      <c r="Q89" s="228">
        <v>680.2</v>
      </c>
      <c r="R89" s="228">
        <v>687.4</v>
      </c>
      <c r="S89" s="228">
        <v>-7.2</v>
      </c>
      <c r="T89" s="229">
        <v>-1.0500000000000001E-2</v>
      </c>
      <c r="U89" s="228">
        <v>684.25</v>
      </c>
      <c r="V89" s="228">
        <v>691.25</v>
      </c>
      <c r="W89" s="228">
        <v>-7</v>
      </c>
      <c r="X89" s="229">
        <v>-1.01E-2</v>
      </c>
      <c r="Y89" s="228">
        <v>-2.85</v>
      </c>
      <c r="Z89" s="228">
        <v>-0.1</v>
      </c>
      <c r="AA89" s="228">
        <v>-2.75</v>
      </c>
      <c r="AB89" s="229">
        <v>-4.1999999999999997E-3</v>
      </c>
      <c r="AC89" s="228">
        <v>-0.7</v>
      </c>
      <c r="AD89" s="228">
        <v>-0.1</v>
      </c>
      <c r="AE89" s="228">
        <v>-0.6</v>
      </c>
      <c r="AF89" s="229">
        <v>-1E-3</v>
      </c>
      <c r="AG89" s="228">
        <v>-2.85</v>
      </c>
      <c r="AH89" s="228">
        <v>-1.4</v>
      </c>
      <c r="AI89" s="228">
        <v>-1.45</v>
      </c>
      <c r="AJ89" s="229">
        <v>-4.1999999999999997E-3</v>
      </c>
      <c r="AK89" s="228">
        <v>1.2</v>
      </c>
      <c r="AL89" s="228">
        <v>2.4500000000000002</v>
      </c>
      <c r="AM89" s="228">
        <v>-1.25</v>
      </c>
      <c r="AN89" s="229">
        <v>1.8E-3</v>
      </c>
      <c r="AO89" s="228">
        <v>685.2</v>
      </c>
      <c r="AP89" s="228">
        <v>682.97</v>
      </c>
      <c r="AQ89" s="228">
        <v>0</v>
      </c>
      <c r="AR89" s="230">
        <v>20014400</v>
      </c>
      <c r="AS89" s="230">
        <v>30490600</v>
      </c>
      <c r="AT89" s="230">
        <v>-10476200</v>
      </c>
      <c r="AU89" s="229">
        <v>-0.34360000000000002</v>
      </c>
      <c r="AV89" s="230">
        <v>6995800</v>
      </c>
      <c r="AW89" s="230">
        <v>14624400</v>
      </c>
      <c r="AX89" s="230">
        <v>-7628600</v>
      </c>
      <c r="AY89" s="229">
        <v>-0.52159999999999995</v>
      </c>
      <c r="AZ89" s="230">
        <v>12811400</v>
      </c>
      <c r="BA89" s="230">
        <v>15670200</v>
      </c>
      <c r="BB89" s="230">
        <v>-2858800</v>
      </c>
      <c r="BC89" s="229">
        <v>-0.18240000000000001</v>
      </c>
      <c r="BD89" s="230">
        <v>207200</v>
      </c>
      <c r="BE89" s="230">
        <v>196000</v>
      </c>
      <c r="BF89" s="230">
        <v>11200</v>
      </c>
      <c r="BG89" s="229">
        <v>5.7099999999999998E-2</v>
      </c>
      <c r="BH89" s="230">
        <v>10647000</v>
      </c>
      <c r="BI89" s="230">
        <v>11278400</v>
      </c>
      <c r="BJ89" s="230">
        <v>-631400</v>
      </c>
      <c r="BK89" s="229">
        <v>-5.6000000000000001E-2</v>
      </c>
      <c r="BL89" s="230">
        <v>10781400</v>
      </c>
      <c r="BM89" s="230">
        <v>7714000</v>
      </c>
      <c r="BN89" s="230">
        <v>3067400</v>
      </c>
      <c r="BO89" s="229">
        <v>0.39760000000000001</v>
      </c>
      <c r="BP89" s="230">
        <v>41442800</v>
      </c>
      <c r="BQ89" s="230">
        <v>49483000</v>
      </c>
      <c r="BR89" s="230">
        <v>-8040200</v>
      </c>
      <c r="BS89" s="229">
        <v>-0.16250000000000001</v>
      </c>
      <c r="BT89" s="230">
        <v>6461649</v>
      </c>
      <c r="BU89" s="230">
        <v>2876564</v>
      </c>
      <c r="BV89" s="230">
        <v>3585085</v>
      </c>
      <c r="BW89" s="229">
        <v>1.2463</v>
      </c>
      <c r="BX89" s="230">
        <v>45635800</v>
      </c>
      <c r="BY89" s="230">
        <v>49302400</v>
      </c>
      <c r="BZ89" s="230">
        <v>-3666600</v>
      </c>
      <c r="CA89" s="229">
        <v>-7.4399999999999994E-2</v>
      </c>
      <c r="CB89" s="230">
        <v>2353400</v>
      </c>
      <c r="CC89" s="230">
        <v>4894400</v>
      </c>
      <c r="CD89" s="230">
        <v>-2541000</v>
      </c>
      <c r="CE89" s="229">
        <v>-0.51919999999999999</v>
      </c>
      <c r="CF89" s="230">
        <v>45334800</v>
      </c>
      <c r="CG89" s="230">
        <v>44144800</v>
      </c>
      <c r="CH89" s="230">
        <v>1190000</v>
      </c>
      <c r="CI89" s="229">
        <v>2.7E-2</v>
      </c>
      <c r="CJ89" s="230">
        <v>301000</v>
      </c>
      <c r="CK89" s="230">
        <v>263200</v>
      </c>
      <c r="CL89" s="230">
        <v>37800</v>
      </c>
      <c r="CM89" s="229">
        <v>0.14360000000000001</v>
      </c>
      <c r="CN89" s="230">
        <v>4545800</v>
      </c>
      <c r="CO89" s="230">
        <v>15016400</v>
      </c>
      <c r="CP89" s="230">
        <v>-10470600</v>
      </c>
      <c r="CQ89" s="229">
        <v>-0.69730000000000003</v>
      </c>
      <c r="CR89" s="230">
        <v>3917200</v>
      </c>
      <c r="CS89" s="230">
        <v>8745800</v>
      </c>
      <c r="CT89" s="230">
        <v>-4828600</v>
      </c>
      <c r="CU89" s="229">
        <v>-0.55210000000000004</v>
      </c>
      <c r="CV89" s="230">
        <v>54098800</v>
      </c>
      <c r="CW89" s="230">
        <v>73064600</v>
      </c>
      <c r="CX89" s="230">
        <v>-18965800</v>
      </c>
      <c r="CY89" s="229">
        <v>-0.2596</v>
      </c>
      <c r="CZ89" s="228">
        <v>27.77</v>
      </c>
      <c r="DA89" s="228">
        <v>27.23</v>
      </c>
      <c r="DB89" s="228">
        <v>0.54</v>
      </c>
      <c r="DC89" s="228">
        <v>0.54</v>
      </c>
      <c r="DD89" s="228">
        <v>35.29</v>
      </c>
      <c r="DE89" s="228">
        <v>35.36</v>
      </c>
      <c r="DF89" s="228">
        <v>-7.52</v>
      </c>
      <c r="DG89" s="228">
        <v>-7.0000000000000007E-2</v>
      </c>
      <c r="DH89" s="228">
        <v>28.05</v>
      </c>
      <c r="DI89" s="228">
        <v>27.35</v>
      </c>
      <c r="DJ89" s="228">
        <v>0.7</v>
      </c>
      <c r="DK89" s="228">
        <v>0.7</v>
      </c>
      <c r="DL89" s="228">
        <v>27.48</v>
      </c>
      <c r="DM89" s="228">
        <v>27.08</v>
      </c>
      <c r="DN89" s="228">
        <v>0.4</v>
      </c>
      <c r="DO89" s="228">
        <v>0.4</v>
      </c>
      <c r="DP89" s="228">
        <v>0.86</v>
      </c>
      <c r="DQ89" s="228">
        <v>0.57999999999999996</v>
      </c>
      <c r="DR89" s="228">
        <v>0.28000000000000003</v>
      </c>
      <c r="DS89" s="229">
        <v>0.48280000000000001</v>
      </c>
      <c r="DT89" s="228">
        <v>730</v>
      </c>
      <c r="DU89" s="228">
        <v>670</v>
      </c>
      <c r="DV89" s="228">
        <v>1.01</v>
      </c>
      <c r="DW89" s="228">
        <v>0.68</v>
      </c>
      <c r="DX89" s="228">
        <v>0.33</v>
      </c>
      <c r="DY89" s="229">
        <v>0.48530000000000001</v>
      </c>
      <c r="DZ89" s="229">
        <v>0.95099999999999996</v>
      </c>
      <c r="EA89" s="230">
        <v>44408000</v>
      </c>
      <c r="EB89" s="229">
        <v>-3.2000000000000002E-3</v>
      </c>
      <c r="EC89" s="229">
        <v>0.95099999999999996</v>
      </c>
      <c r="ED89" s="228">
        <v>-2.23</v>
      </c>
      <c r="EE89" s="229">
        <v>-3.3E-3</v>
      </c>
      <c r="EF89" s="230">
        <v>3699620</v>
      </c>
      <c r="EG89" s="230">
        <v>1585368</v>
      </c>
      <c r="EH89" s="229">
        <v>1.3335999999999999</v>
      </c>
      <c r="EI89" s="229">
        <v>0.5726</v>
      </c>
      <c r="EJ89" s="231">
        <v>76192.39</v>
      </c>
      <c r="EK89" s="231">
        <v>73211.8</v>
      </c>
      <c r="EL89" s="231">
        <v>136855.72</v>
      </c>
      <c r="EM89" s="228">
        <v>0</v>
      </c>
      <c r="EN89" s="231">
        <v>286259.90999999997</v>
      </c>
      <c r="EO89" s="231">
        <v>342614.8</v>
      </c>
      <c r="EP89" s="231">
        <v>-56354.89</v>
      </c>
      <c r="EQ89" s="229">
        <v>-0.16450000000000001</v>
      </c>
      <c r="ER89" s="231">
        <v>32659</v>
      </c>
      <c r="ES89" s="231">
        <v>25781</v>
      </c>
      <c r="ET89" s="231">
        <v>310427</v>
      </c>
      <c r="EU89" s="231">
        <v>291659008</v>
      </c>
      <c r="EV89" s="231">
        <v>368867</v>
      </c>
      <c r="EW89" s="231">
        <v>504606</v>
      </c>
      <c r="EX89" s="231">
        <v>-135739</v>
      </c>
      <c r="EY89" s="229">
        <v>-0.26900000000000002</v>
      </c>
      <c r="EZ89" s="229">
        <v>0.1855</v>
      </c>
      <c r="FA89" s="227" t="s">
        <v>568</v>
      </c>
      <c r="FB89" s="161">
        <f t="shared" si="1"/>
        <v>43282400</v>
      </c>
    </row>
    <row r="90" spans="1:158" ht="17.25" thickBot="1" x14ac:dyDescent="0.3">
      <c r="A90" s="226">
        <v>45869</v>
      </c>
      <c r="B90" s="227" t="s">
        <v>227</v>
      </c>
      <c r="C90" s="227" t="s">
        <v>547</v>
      </c>
      <c r="D90" s="228">
        <v>2650</v>
      </c>
      <c r="E90" s="228">
        <v>0</v>
      </c>
      <c r="F90" s="228">
        <v>0</v>
      </c>
      <c r="G90" s="228">
        <v>0</v>
      </c>
      <c r="H90" s="229">
        <v>0</v>
      </c>
      <c r="I90" s="228">
        <v>243.35</v>
      </c>
      <c r="J90" s="228">
        <v>258.35000000000002</v>
      </c>
      <c r="K90" s="228">
        <v>-15</v>
      </c>
      <c r="L90" s="229">
        <v>-5.8099999999999999E-2</v>
      </c>
      <c r="M90" s="228">
        <v>243.2</v>
      </c>
      <c r="N90" s="228">
        <v>257.95</v>
      </c>
      <c r="O90" s="228">
        <v>-14.75</v>
      </c>
      <c r="P90" s="229">
        <v>-5.7200000000000001E-2</v>
      </c>
      <c r="Q90" s="228">
        <v>0</v>
      </c>
      <c r="R90" s="228">
        <v>0</v>
      </c>
      <c r="S90" s="228">
        <v>0</v>
      </c>
      <c r="T90" s="229">
        <v>0</v>
      </c>
      <c r="U90" s="228">
        <v>0</v>
      </c>
      <c r="V90" s="228">
        <v>0</v>
      </c>
      <c r="W90" s="228">
        <v>0</v>
      </c>
      <c r="X90" s="229">
        <v>0</v>
      </c>
      <c r="Y90" s="228">
        <v>0</v>
      </c>
      <c r="Z90" s="228">
        <v>-0.4</v>
      </c>
      <c r="AA90" s="228">
        <v>0</v>
      </c>
      <c r="AB90" s="229">
        <v>0</v>
      </c>
      <c r="AC90" s="228">
        <v>-0.15</v>
      </c>
      <c r="AD90" s="228">
        <v>-0.4</v>
      </c>
      <c r="AE90" s="228">
        <v>0.25</v>
      </c>
      <c r="AF90" s="229">
        <v>-5.9999999999999995E-4</v>
      </c>
      <c r="AG90" s="228">
        <v>0</v>
      </c>
      <c r="AH90" s="228">
        <v>0</v>
      </c>
      <c r="AI90" s="228">
        <v>0</v>
      </c>
      <c r="AJ90" s="229">
        <v>0</v>
      </c>
      <c r="AK90" s="228">
        <v>0</v>
      </c>
      <c r="AL90" s="228">
        <v>0</v>
      </c>
      <c r="AM90" s="228">
        <v>0</v>
      </c>
      <c r="AN90" s="229">
        <v>0</v>
      </c>
      <c r="AO90" s="228">
        <v>246.31</v>
      </c>
      <c r="AP90" s="228">
        <v>0</v>
      </c>
      <c r="AQ90" s="228">
        <v>0</v>
      </c>
      <c r="AR90" s="230">
        <v>11212150</v>
      </c>
      <c r="AS90" s="230">
        <v>10552300</v>
      </c>
      <c r="AT90" s="230">
        <v>659850</v>
      </c>
      <c r="AU90" s="229">
        <v>6.25E-2</v>
      </c>
      <c r="AV90" s="230">
        <v>11212150</v>
      </c>
      <c r="AW90" s="230">
        <v>10552300</v>
      </c>
      <c r="AX90" s="230">
        <v>659850</v>
      </c>
      <c r="AY90" s="229">
        <v>6.25E-2</v>
      </c>
      <c r="AZ90" s="228">
        <v>0</v>
      </c>
      <c r="BA90" s="228">
        <v>0</v>
      </c>
      <c r="BB90" s="228">
        <v>0</v>
      </c>
      <c r="BC90" s="229">
        <v>0</v>
      </c>
      <c r="BD90" s="228">
        <v>0</v>
      </c>
      <c r="BE90" s="228">
        <v>0</v>
      </c>
      <c r="BF90" s="228">
        <v>0</v>
      </c>
      <c r="BG90" s="229">
        <v>0</v>
      </c>
      <c r="BH90" s="230">
        <v>4293000</v>
      </c>
      <c r="BI90" s="230">
        <v>10292600</v>
      </c>
      <c r="BJ90" s="230">
        <v>-5999600</v>
      </c>
      <c r="BK90" s="229">
        <v>-0.58289999999999997</v>
      </c>
      <c r="BL90" s="230">
        <v>4727600</v>
      </c>
      <c r="BM90" s="230">
        <v>5231100</v>
      </c>
      <c r="BN90" s="230">
        <v>-503500</v>
      </c>
      <c r="BO90" s="229">
        <v>-9.6299999999999997E-2</v>
      </c>
      <c r="BP90" s="230">
        <v>20232750</v>
      </c>
      <c r="BQ90" s="230">
        <v>26076000</v>
      </c>
      <c r="BR90" s="230">
        <v>-5843250</v>
      </c>
      <c r="BS90" s="229">
        <v>-0.22409999999999999</v>
      </c>
      <c r="BT90" s="230">
        <v>14931637</v>
      </c>
      <c r="BU90" s="230">
        <v>12766780</v>
      </c>
      <c r="BV90" s="230">
        <v>2164857</v>
      </c>
      <c r="BW90" s="229">
        <v>0.1696</v>
      </c>
      <c r="BX90" s="228">
        <v>0</v>
      </c>
      <c r="BY90" s="230">
        <v>10743100</v>
      </c>
      <c r="BZ90" s="230">
        <v>-10743100</v>
      </c>
      <c r="CA90" s="229">
        <v>-1</v>
      </c>
      <c r="CB90" s="230">
        <v>4987300</v>
      </c>
      <c r="CC90" s="230">
        <v>10743100</v>
      </c>
      <c r="CD90" s="230">
        <v>-5755800</v>
      </c>
      <c r="CE90" s="229">
        <v>-0.53580000000000005</v>
      </c>
      <c r="CF90" s="228">
        <v>0</v>
      </c>
      <c r="CG90" s="228">
        <v>0</v>
      </c>
      <c r="CH90" s="228">
        <v>0</v>
      </c>
      <c r="CI90" s="229">
        <v>0</v>
      </c>
      <c r="CJ90" s="228">
        <v>0</v>
      </c>
      <c r="CK90" s="228">
        <v>0</v>
      </c>
      <c r="CL90" s="228">
        <v>0</v>
      </c>
      <c r="CM90" s="229">
        <v>0</v>
      </c>
      <c r="CN90" s="230">
        <v>7836050</v>
      </c>
      <c r="CO90" s="230">
        <v>8408450</v>
      </c>
      <c r="CP90" s="230">
        <v>-572400</v>
      </c>
      <c r="CQ90" s="229">
        <v>-6.8099999999999994E-2</v>
      </c>
      <c r="CR90" s="230">
        <v>3328400</v>
      </c>
      <c r="CS90" s="230">
        <v>4279750</v>
      </c>
      <c r="CT90" s="230">
        <v>-951350</v>
      </c>
      <c r="CU90" s="229">
        <v>-0.2223</v>
      </c>
      <c r="CV90" s="230">
        <v>11164450</v>
      </c>
      <c r="CW90" s="230">
        <v>23431300</v>
      </c>
      <c r="CX90" s="230">
        <v>-12266850</v>
      </c>
      <c r="CY90" s="229">
        <v>-0.52349999999999997</v>
      </c>
      <c r="CZ90" s="228">
        <v>55.62</v>
      </c>
      <c r="DA90" s="228">
        <v>55.62</v>
      </c>
      <c r="DB90" s="228">
        <v>0</v>
      </c>
      <c r="DC90" s="228">
        <v>0</v>
      </c>
      <c r="DD90" s="228">
        <v>55.62</v>
      </c>
      <c r="DE90" s="228">
        <v>55.62</v>
      </c>
      <c r="DF90" s="228">
        <v>0</v>
      </c>
      <c r="DG90" s="228">
        <v>0</v>
      </c>
      <c r="DH90" s="228">
        <v>55.62</v>
      </c>
      <c r="DI90" s="228">
        <v>55.62</v>
      </c>
      <c r="DJ90" s="228">
        <v>0</v>
      </c>
      <c r="DK90" s="228">
        <v>0</v>
      </c>
      <c r="DL90" s="228">
        <v>55.62</v>
      </c>
      <c r="DM90" s="228">
        <v>55.62</v>
      </c>
      <c r="DN90" s="228">
        <v>0</v>
      </c>
      <c r="DO90" s="228">
        <v>0</v>
      </c>
      <c r="DP90" s="228">
        <v>0.42</v>
      </c>
      <c r="DQ90" s="228">
        <v>0.51</v>
      </c>
      <c r="DR90" s="228">
        <v>-0.09</v>
      </c>
      <c r="DS90" s="229">
        <v>-0.17649999999999999</v>
      </c>
      <c r="DT90" s="228">
        <v>280</v>
      </c>
      <c r="DU90" s="228">
        <v>260</v>
      </c>
      <c r="DV90" s="228">
        <v>1.1000000000000001</v>
      </c>
      <c r="DW90" s="228">
        <v>0.51</v>
      </c>
      <c r="DX90" s="228">
        <v>0.59</v>
      </c>
      <c r="DY90" s="229">
        <v>1.1569</v>
      </c>
      <c r="DZ90" s="229">
        <v>0</v>
      </c>
      <c r="EA90" s="228">
        <v>0</v>
      </c>
      <c r="EB90" s="229">
        <v>0</v>
      </c>
      <c r="EC90" s="229">
        <v>0</v>
      </c>
      <c r="ED90" s="228">
        <v>0</v>
      </c>
      <c r="EE90" s="229">
        <v>0</v>
      </c>
      <c r="EF90" s="230">
        <v>7383805</v>
      </c>
      <c r="EG90" s="230">
        <v>6464370</v>
      </c>
      <c r="EH90" s="229">
        <v>0.14219999999999999</v>
      </c>
      <c r="EI90" s="229">
        <v>0.4945</v>
      </c>
      <c r="EJ90" s="231">
        <v>11275.78</v>
      </c>
      <c r="EK90" s="231">
        <v>11927.07</v>
      </c>
      <c r="EL90" s="231">
        <v>27616.45</v>
      </c>
      <c r="EM90" s="228">
        <v>0</v>
      </c>
      <c r="EN90" s="231">
        <v>50819.3</v>
      </c>
      <c r="EO90" s="231">
        <v>68073.98</v>
      </c>
      <c r="EP90" s="231">
        <v>-17254.68</v>
      </c>
      <c r="EQ90" s="229">
        <v>-0.2535</v>
      </c>
      <c r="ER90" s="228">
        <v>0</v>
      </c>
      <c r="ES90" s="228">
        <v>0</v>
      </c>
      <c r="ET90" s="228">
        <v>0</v>
      </c>
      <c r="EU90" s="231">
        <v>65482129</v>
      </c>
      <c r="EV90" s="228">
        <v>0</v>
      </c>
      <c r="EW90" s="231">
        <v>62545</v>
      </c>
      <c r="EX90" s="231">
        <v>-62545</v>
      </c>
      <c r="EY90" s="229">
        <v>-1</v>
      </c>
      <c r="EZ90" s="229">
        <v>0.17050000000000001</v>
      </c>
      <c r="FA90" s="227" t="s">
        <v>237</v>
      </c>
      <c r="FB90" s="161">
        <f t="shared" si="1"/>
        <v>-4987300</v>
      </c>
    </row>
    <row r="91" spans="1:158" ht="17.25" thickBot="1" x14ac:dyDescent="0.3">
      <c r="A91" s="226">
        <v>45869</v>
      </c>
      <c r="B91" s="227" t="s">
        <v>193</v>
      </c>
      <c r="C91" s="227" t="s">
        <v>229</v>
      </c>
      <c r="D91" s="228">
        <v>2025</v>
      </c>
      <c r="E91" s="228">
        <v>418.45</v>
      </c>
      <c r="F91" s="228">
        <v>428.75</v>
      </c>
      <c r="G91" s="228">
        <v>-10.3</v>
      </c>
      <c r="H91" s="229">
        <v>-2.4E-2</v>
      </c>
      <c r="I91" s="228">
        <v>418.45</v>
      </c>
      <c r="J91" s="228">
        <v>426.25</v>
      </c>
      <c r="K91" s="228">
        <v>-7.8</v>
      </c>
      <c r="L91" s="229">
        <v>-1.83E-2</v>
      </c>
      <c r="M91" s="228">
        <v>418.5</v>
      </c>
      <c r="N91" s="228">
        <v>426.2</v>
      </c>
      <c r="O91" s="228">
        <v>-7.7</v>
      </c>
      <c r="P91" s="229">
        <v>-1.8100000000000002E-2</v>
      </c>
      <c r="Q91" s="228">
        <v>418.45</v>
      </c>
      <c r="R91" s="228">
        <v>428.75</v>
      </c>
      <c r="S91" s="228">
        <v>-10.3</v>
      </c>
      <c r="T91" s="229">
        <v>-2.4E-2</v>
      </c>
      <c r="U91" s="228">
        <v>420.35</v>
      </c>
      <c r="V91" s="228">
        <v>430.95</v>
      </c>
      <c r="W91" s="228">
        <v>-10.6</v>
      </c>
      <c r="X91" s="229">
        <v>-2.46E-2</v>
      </c>
      <c r="Y91" s="228">
        <v>0</v>
      </c>
      <c r="Z91" s="228">
        <v>-0.05</v>
      </c>
      <c r="AA91" s="228">
        <v>0.05</v>
      </c>
      <c r="AB91" s="229">
        <v>0</v>
      </c>
      <c r="AC91" s="228">
        <v>0.05</v>
      </c>
      <c r="AD91" s="228">
        <v>-0.05</v>
      </c>
      <c r="AE91" s="228">
        <v>0.1</v>
      </c>
      <c r="AF91" s="229">
        <v>1E-4</v>
      </c>
      <c r="AG91" s="228">
        <v>0</v>
      </c>
      <c r="AH91" s="228">
        <v>2.5</v>
      </c>
      <c r="AI91" s="228">
        <v>-2.5</v>
      </c>
      <c r="AJ91" s="229">
        <v>0</v>
      </c>
      <c r="AK91" s="228">
        <v>1.9</v>
      </c>
      <c r="AL91" s="228">
        <v>4.7</v>
      </c>
      <c r="AM91" s="228">
        <v>-2.8</v>
      </c>
      <c r="AN91" s="229">
        <v>4.4999999999999997E-3</v>
      </c>
      <c r="AO91" s="228">
        <v>417.37</v>
      </c>
      <c r="AP91" s="228">
        <v>417.88</v>
      </c>
      <c r="AQ91" s="228">
        <v>0</v>
      </c>
      <c r="AR91" s="230">
        <v>35099325</v>
      </c>
      <c r="AS91" s="230">
        <v>57013875</v>
      </c>
      <c r="AT91" s="230">
        <v>-21914550</v>
      </c>
      <c r="AU91" s="229">
        <v>-0.38440000000000002</v>
      </c>
      <c r="AV91" s="230">
        <v>13770000</v>
      </c>
      <c r="AW91" s="230">
        <v>24674625</v>
      </c>
      <c r="AX91" s="230">
        <v>-10904625</v>
      </c>
      <c r="AY91" s="229">
        <v>-0.44190000000000002</v>
      </c>
      <c r="AZ91" s="230">
        <v>21157200</v>
      </c>
      <c r="BA91" s="230">
        <v>32116500</v>
      </c>
      <c r="BB91" s="230">
        <v>-10959300</v>
      </c>
      <c r="BC91" s="229">
        <v>-0.3412</v>
      </c>
      <c r="BD91" s="230">
        <v>172125</v>
      </c>
      <c r="BE91" s="230">
        <v>222750</v>
      </c>
      <c r="BF91" s="230">
        <v>-50625</v>
      </c>
      <c r="BG91" s="229">
        <v>-0.2273</v>
      </c>
      <c r="BH91" s="230">
        <v>22923000</v>
      </c>
      <c r="BI91" s="230">
        <v>53786025</v>
      </c>
      <c r="BJ91" s="230">
        <v>-30863025</v>
      </c>
      <c r="BK91" s="229">
        <v>-0.57379999999999998</v>
      </c>
      <c r="BL91" s="230">
        <v>13030875</v>
      </c>
      <c r="BM91" s="230">
        <v>24476175</v>
      </c>
      <c r="BN91" s="230">
        <v>-11445300</v>
      </c>
      <c r="BO91" s="229">
        <v>-0.46760000000000002</v>
      </c>
      <c r="BP91" s="230">
        <v>71053200</v>
      </c>
      <c r="BQ91" s="230">
        <v>135276075</v>
      </c>
      <c r="BR91" s="230">
        <v>-64222875</v>
      </c>
      <c r="BS91" s="229">
        <v>-0.4748</v>
      </c>
      <c r="BT91" s="230">
        <v>10057221</v>
      </c>
      <c r="BU91" s="230">
        <v>7073298</v>
      </c>
      <c r="BV91" s="230">
        <v>2983923</v>
      </c>
      <c r="BW91" s="229">
        <v>0.4219</v>
      </c>
      <c r="BX91" s="230">
        <v>53719200</v>
      </c>
      <c r="BY91" s="230">
        <v>64650150</v>
      </c>
      <c r="BZ91" s="230">
        <v>-10930950</v>
      </c>
      <c r="CA91" s="229">
        <v>-0.1691</v>
      </c>
      <c r="CB91" s="230">
        <v>9385875</v>
      </c>
      <c r="CC91" s="230">
        <v>15774750</v>
      </c>
      <c r="CD91" s="230">
        <v>-6388875</v>
      </c>
      <c r="CE91" s="229">
        <v>-0.40500000000000003</v>
      </c>
      <c r="CF91" s="230">
        <v>53494425</v>
      </c>
      <c r="CG91" s="230">
        <v>48664800</v>
      </c>
      <c r="CH91" s="230">
        <v>4829625</v>
      </c>
      <c r="CI91" s="229">
        <v>9.9199999999999997E-2</v>
      </c>
      <c r="CJ91" s="230">
        <v>224775</v>
      </c>
      <c r="CK91" s="230">
        <v>210600</v>
      </c>
      <c r="CL91" s="230">
        <v>14175</v>
      </c>
      <c r="CM91" s="229">
        <v>6.7299999999999999E-2</v>
      </c>
      <c r="CN91" s="230">
        <v>5169825</v>
      </c>
      <c r="CO91" s="230">
        <v>15274575</v>
      </c>
      <c r="CP91" s="230">
        <v>-10104750</v>
      </c>
      <c r="CQ91" s="229">
        <v>-0.66149999999999998</v>
      </c>
      <c r="CR91" s="230">
        <v>4949100</v>
      </c>
      <c r="CS91" s="230">
        <v>10339650</v>
      </c>
      <c r="CT91" s="230">
        <v>-5390550</v>
      </c>
      <c r="CU91" s="229">
        <v>-0.52129999999999999</v>
      </c>
      <c r="CV91" s="230">
        <v>63838125</v>
      </c>
      <c r="CW91" s="230">
        <v>90264375</v>
      </c>
      <c r="CX91" s="230">
        <v>-26426250</v>
      </c>
      <c r="CY91" s="229">
        <v>-0.2928</v>
      </c>
      <c r="CZ91" s="228">
        <v>34.54</v>
      </c>
      <c r="DA91" s="228">
        <v>35.299999999999997</v>
      </c>
      <c r="DB91" s="228">
        <v>-0.76</v>
      </c>
      <c r="DC91" s="228">
        <v>-0.76</v>
      </c>
      <c r="DD91" s="228">
        <v>43.8</v>
      </c>
      <c r="DE91" s="228">
        <v>43.79</v>
      </c>
      <c r="DF91" s="228">
        <v>-9.26</v>
      </c>
      <c r="DG91" s="228">
        <v>0.01</v>
      </c>
      <c r="DH91" s="228">
        <v>34.25</v>
      </c>
      <c r="DI91" s="228">
        <v>35.44</v>
      </c>
      <c r="DJ91" s="228">
        <v>-1.19</v>
      </c>
      <c r="DK91" s="228">
        <v>-1.19</v>
      </c>
      <c r="DL91" s="228">
        <v>35.049999999999997</v>
      </c>
      <c r="DM91" s="228">
        <v>35.07</v>
      </c>
      <c r="DN91" s="228">
        <v>-0.02</v>
      </c>
      <c r="DO91" s="228">
        <v>-0.02</v>
      </c>
      <c r="DP91" s="228">
        <v>0.96</v>
      </c>
      <c r="DQ91" s="228">
        <v>0.68</v>
      </c>
      <c r="DR91" s="228">
        <v>0.28000000000000003</v>
      </c>
      <c r="DS91" s="229">
        <v>0.4118</v>
      </c>
      <c r="DT91" s="228">
        <v>450</v>
      </c>
      <c r="DU91" s="228">
        <v>400</v>
      </c>
      <c r="DV91" s="228">
        <v>0.56999999999999995</v>
      </c>
      <c r="DW91" s="228">
        <v>0.46</v>
      </c>
      <c r="DX91" s="228">
        <v>0.11</v>
      </c>
      <c r="DY91" s="229">
        <v>0.23910000000000001</v>
      </c>
      <c r="DZ91" s="229">
        <v>0.85129999999999995</v>
      </c>
      <c r="EA91" s="230">
        <v>48875400</v>
      </c>
      <c r="EB91" s="229">
        <v>-1E-4</v>
      </c>
      <c r="EC91" s="229">
        <v>0.85129999999999995</v>
      </c>
      <c r="ED91" s="228">
        <v>0.51</v>
      </c>
      <c r="EE91" s="229">
        <v>1.1999999999999999E-3</v>
      </c>
      <c r="EF91" s="230">
        <v>4434941</v>
      </c>
      <c r="EG91" s="230">
        <v>2749932</v>
      </c>
      <c r="EH91" s="229">
        <v>0.61270000000000002</v>
      </c>
      <c r="EI91" s="229">
        <v>0.441</v>
      </c>
      <c r="EJ91" s="231">
        <v>101007.41</v>
      </c>
      <c r="EK91" s="231">
        <v>54987.76</v>
      </c>
      <c r="EL91" s="231">
        <v>146606.07999999999</v>
      </c>
      <c r="EM91" s="228">
        <v>0</v>
      </c>
      <c r="EN91" s="231">
        <v>302601.25</v>
      </c>
      <c r="EO91" s="231">
        <v>587100.29</v>
      </c>
      <c r="EP91" s="231">
        <v>-284499.03999999998</v>
      </c>
      <c r="EQ91" s="229">
        <v>-0.48459999999999998</v>
      </c>
      <c r="ER91" s="231">
        <v>23134</v>
      </c>
      <c r="ES91" s="231">
        <v>20227</v>
      </c>
      <c r="ET91" s="231">
        <v>224792</v>
      </c>
      <c r="EU91" s="231">
        <v>191910891</v>
      </c>
      <c r="EV91" s="231">
        <v>268153</v>
      </c>
      <c r="EW91" s="231">
        <v>387747</v>
      </c>
      <c r="EX91" s="231">
        <v>-119594</v>
      </c>
      <c r="EY91" s="229">
        <v>-0.30840000000000001</v>
      </c>
      <c r="EZ91" s="229">
        <v>0.33260000000000001</v>
      </c>
      <c r="FA91" s="227" t="s">
        <v>568</v>
      </c>
      <c r="FB91" s="161">
        <f t="shared" si="1"/>
        <v>44333325</v>
      </c>
    </row>
    <row r="92" spans="1:158" ht="17.25" thickBot="1" x14ac:dyDescent="0.3">
      <c r="A92" s="226">
        <v>45869</v>
      </c>
      <c r="B92" s="227" t="s">
        <v>168</v>
      </c>
      <c r="C92" s="227" t="s">
        <v>230</v>
      </c>
      <c r="D92" s="228">
        <v>300</v>
      </c>
      <c r="E92" s="231">
        <v>2532.5</v>
      </c>
      <c r="F92" s="231">
        <v>2450.8000000000002</v>
      </c>
      <c r="G92" s="228">
        <v>81.7</v>
      </c>
      <c r="H92" s="229">
        <v>3.3300000000000003E-2</v>
      </c>
      <c r="I92" s="231">
        <v>2521.1999999999998</v>
      </c>
      <c r="J92" s="231">
        <v>2437.4</v>
      </c>
      <c r="K92" s="228">
        <v>83.8</v>
      </c>
      <c r="L92" s="229">
        <v>3.44E-2</v>
      </c>
      <c r="M92" s="231">
        <v>2516.3000000000002</v>
      </c>
      <c r="N92" s="231">
        <v>2436.6999999999998</v>
      </c>
      <c r="O92" s="228">
        <v>79.599999999999994</v>
      </c>
      <c r="P92" s="229">
        <v>3.27E-2</v>
      </c>
      <c r="Q92" s="231">
        <v>2532.5</v>
      </c>
      <c r="R92" s="231">
        <v>2450.8000000000002</v>
      </c>
      <c r="S92" s="228">
        <v>81.7</v>
      </c>
      <c r="T92" s="229">
        <v>3.3300000000000003E-2</v>
      </c>
      <c r="U92" s="231">
        <v>2546.1</v>
      </c>
      <c r="V92" s="231">
        <v>2462.9</v>
      </c>
      <c r="W92" s="228">
        <v>83.2</v>
      </c>
      <c r="X92" s="229">
        <v>3.3799999999999997E-2</v>
      </c>
      <c r="Y92" s="228">
        <v>11.3</v>
      </c>
      <c r="Z92" s="228">
        <v>-0.7</v>
      </c>
      <c r="AA92" s="228">
        <v>12</v>
      </c>
      <c r="AB92" s="229">
        <v>4.4999999999999997E-3</v>
      </c>
      <c r="AC92" s="228">
        <v>-4.9000000000000004</v>
      </c>
      <c r="AD92" s="228">
        <v>-0.7</v>
      </c>
      <c r="AE92" s="228">
        <v>-4.2</v>
      </c>
      <c r="AF92" s="229">
        <v>-1.9E-3</v>
      </c>
      <c r="AG92" s="228">
        <v>11.3</v>
      </c>
      <c r="AH92" s="228">
        <v>13.4</v>
      </c>
      <c r="AI92" s="228">
        <v>-2.1</v>
      </c>
      <c r="AJ92" s="229">
        <v>4.4999999999999997E-3</v>
      </c>
      <c r="AK92" s="228">
        <v>24.9</v>
      </c>
      <c r="AL92" s="228">
        <v>25.5</v>
      </c>
      <c r="AM92" s="228">
        <v>-0.6</v>
      </c>
      <c r="AN92" s="229">
        <v>9.9000000000000008E-3</v>
      </c>
      <c r="AO92" s="231">
        <v>2498.67</v>
      </c>
      <c r="AP92" s="231">
        <v>2510.06</v>
      </c>
      <c r="AQ92" s="228">
        <v>0</v>
      </c>
      <c r="AR92" s="230">
        <v>15431700</v>
      </c>
      <c r="AS92" s="230">
        <v>13902900</v>
      </c>
      <c r="AT92" s="230">
        <v>1528800</v>
      </c>
      <c r="AU92" s="229">
        <v>0.11</v>
      </c>
      <c r="AV92" s="230">
        <v>4914000</v>
      </c>
      <c r="AW92" s="230">
        <v>5856600</v>
      </c>
      <c r="AX92" s="230">
        <v>-942600</v>
      </c>
      <c r="AY92" s="229">
        <v>-0.16089999999999999</v>
      </c>
      <c r="AZ92" s="230">
        <v>10376700</v>
      </c>
      <c r="BA92" s="230">
        <v>7995300</v>
      </c>
      <c r="BB92" s="230">
        <v>2381400</v>
      </c>
      <c r="BC92" s="229">
        <v>0.29780000000000001</v>
      </c>
      <c r="BD92" s="230">
        <v>141000</v>
      </c>
      <c r="BE92" s="230">
        <v>51000</v>
      </c>
      <c r="BF92" s="230">
        <v>90000</v>
      </c>
      <c r="BG92" s="229">
        <v>1.7646999999999999</v>
      </c>
      <c r="BH92" s="230">
        <v>65924100</v>
      </c>
      <c r="BI92" s="230">
        <v>16661400</v>
      </c>
      <c r="BJ92" s="230">
        <v>49262700</v>
      </c>
      <c r="BK92" s="229">
        <v>2.9567000000000001</v>
      </c>
      <c r="BL92" s="230">
        <v>29331300</v>
      </c>
      <c r="BM92" s="230">
        <v>11636400</v>
      </c>
      <c r="BN92" s="230">
        <v>17694900</v>
      </c>
      <c r="BO92" s="229">
        <v>1.5206999999999999</v>
      </c>
      <c r="BP92" s="230">
        <v>110687100</v>
      </c>
      <c r="BQ92" s="230">
        <v>42200700</v>
      </c>
      <c r="BR92" s="230">
        <v>68486400</v>
      </c>
      <c r="BS92" s="229">
        <v>1.6229</v>
      </c>
      <c r="BT92" s="230">
        <v>5718163</v>
      </c>
      <c r="BU92" s="230">
        <v>1263180</v>
      </c>
      <c r="BV92" s="230">
        <v>4454983</v>
      </c>
      <c r="BW92" s="229">
        <v>3.5268000000000002</v>
      </c>
      <c r="BX92" s="230">
        <v>15723900</v>
      </c>
      <c r="BY92" s="230">
        <v>16987800</v>
      </c>
      <c r="BZ92" s="230">
        <v>-1263900</v>
      </c>
      <c r="CA92" s="229">
        <v>-7.4399999999999994E-2</v>
      </c>
      <c r="CB92" s="230">
        <v>2531100</v>
      </c>
      <c r="CC92" s="230">
        <v>2216400</v>
      </c>
      <c r="CD92" s="230">
        <v>314700</v>
      </c>
      <c r="CE92" s="229">
        <v>0.14199999999999999</v>
      </c>
      <c r="CF92" s="230">
        <v>15616200</v>
      </c>
      <c r="CG92" s="230">
        <v>14662500</v>
      </c>
      <c r="CH92" s="230">
        <v>953700</v>
      </c>
      <c r="CI92" s="229">
        <v>6.5000000000000002E-2</v>
      </c>
      <c r="CJ92" s="230">
        <v>107700</v>
      </c>
      <c r="CK92" s="230">
        <v>108900</v>
      </c>
      <c r="CL92" s="230">
        <v>-1200</v>
      </c>
      <c r="CM92" s="229">
        <v>-1.0999999999999999E-2</v>
      </c>
      <c r="CN92" s="230">
        <v>3243900</v>
      </c>
      <c r="CO92" s="230">
        <v>9710100</v>
      </c>
      <c r="CP92" s="230">
        <v>-6466200</v>
      </c>
      <c r="CQ92" s="229">
        <v>-0.66590000000000005</v>
      </c>
      <c r="CR92" s="230">
        <v>3040500</v>
      </c>
      <c r="CS92" s="230">
        <v>6704700</v>
      </c>
      <c r="CT92" s="230">
        <v>-3664200</v>
      </c>
      <c r="CU92" s="229">
        <v>-0.54649999999999999</v>
      </c>
      <c r="CV92" s="230">
        <v>22008300</v>
      </c>
      <c r="CW92" s="230">
        <v>33402600</v>
      </c>
      <c r="CX92" s="230">
        <v>-11394300</v>
      </c>
      <c r="CY92" s="229">
        <v>-0.34110000000000001</v>
      </c>
      <c r="CZ92" s="228">
        <v>19.489999999999998</v>
      </c>
      <c r="DA92" s="228">
        <v>22.07</v>
      </c>
      <c r="DB92" s="228">
        <v>-2.58</v>
      </c>
      <c r="DC92" s="228">
        <v>-2.58</v>
      </c>
      <c r="DD92" s="228">
        <v>23.36</v>
      </c>
      <c r="DE92" s="228">
        <v>22.97</v>
      </c>
      <c r="DF92" s="228">
        <v>-3.87</v>
      </c>
      <c r="DG92" s="228">
        <v>0.39</v>
      </c>
      <c r="DH92" s="228">
        <v>19.14</v>
      </c>
      <c r="DI92" s="228">
        <v>21.64</v>
      </c>
      <c r="DJ92" s="228">
        <v>-2.5</v>
      </c>
      <c r="DK92" s="228">
        <v>-2.5</v>
      </c>
      <c r="DL92" s="228">
        <v>20.22</v>
      </c>
      <c r="DM92" s="228">
        <v>22.72</v>
      </c>
      <c r="DN92" s="228">
        <v>-2.5</v>
      </c>
      <c r="DO92" s="228">
        <v>-2.5</v>
      </c>
      <c r="DP92" s="228">
        <v>0.94</v>
      </c>
      <c r="DQ92" s="228">
        <v>0.69</v>
      </c>
      <c r="DR92" s="228">
        <v>0.25</v>
      </c>
      <c r="DS92" s="229">
        <v>0.36230000000000001</v>
      </c>
      <c r="DT92" s="231">
        <v>2560</v>
      </c>
      <c r="DU92" s="231">
        <v>2400</v>
      </c>
      <c r="DV92" s="228">
        <v>0.44</v>
      </c>
      <c r="DW92" s="228">
        <v>0.7</v>
      </c>
      <c r="DX92" s="228">
        <v>-0.26</v>
      </c>
      <c r="DY92" s="229">
        <v>-0.37140000000000001</v>
      </c>
      <c r="DZ92" s="229">
        <v>0.86129999999999995</v>
      </c>
      <c r="EA92" s="230">
        <v>14771400</v>
      </c>
      <c r="EB92" s="229">
        <v>6.4000000000000003E-3</v>
      </c>
      <c r="EC92" s="229">
        <v>0.86129999999999995</v>
      </c>
      <c r="ED92" s="228">
        <v>11.39</v>
      </c>
      <c r="EE92" s="229">
        <v>4.5999999999999999E-3</v>
      </c>
      <c r="EF92" s="230">
        <v>1916013</v>
      </c>
      <c r="EG92" s="230">
        <v>612973</v>
      </c>
      <c r="EH92" s="229">
        <v>2.1257999999999999</v>
      </c>
      <c r="EI92" s="229">
        <v>0.33510000000000001</v>
      </c>
      <c r="EJ92" s="231">
        <v>1697240.39</v>
      </c>
      <c r="EK92" s="231">
        <v>721912.42</v>
      </c>
      <c r="EL92" s="231">
        <v>386812.69</v>
      </c>
      <c r="EM92" s="228">
        <v>0</v>
      </c>
      <c r="EN92" s="231">
        <v>2805965.5</v>
      </c>
      <c r="EO92" s="231">
        <v>1034185.51</v>
      </c>
      <c r="EP92" s="231">
        <v>1771779.99</v>
      </c>
      <c r="EQ92" s="229">
        <v>1.7132000000000001</v>
      </c>
      <c r="ER92" s="231">
        <v>84167</v>
      </c>
      <c r="ES92" s="231">
        <v>72820</v>
      </c>
      <c r="ET92" s="231">
        <v>398222</v>
      </c>
      <c r="EU92" s="231">
        <v>179035680</v>
      </c>
      <c r="EV92" s="231">
        <v>555210</v>
      </c>
      <c r="EW92" s="231">
        <v>815757</v>
      </c>
      <c r="EX92" s="231">
        <v>-260547</v>
      </c>
      <c r="EY92" s="229">
        <v>-0.31940000000000002</v>
      </c>
      <c r="EZ92" s="229">
        <v>0.1229</v>
      </c>
      <c r="FA92" s="227" t="s">
        <v>556</v>
      </c>
      <c r="FB92" s="161">
        <f t="shared" si="1"/>
        <v>13192800</v>
      </c>
    </row>
    <row r="93" spans="1:158" ht="17.25" thickBot="1" x14ac:dyDescent="0.3">
      <c r="A93" s="226">
        <v>45869</v>
      </c>
      <c r="B93" s="227" t="s">
        <v>227</v>
      </c>
      <c r="C93" s="227" t="s">
        <v>670</v>
      </c>
      <c r="D93" s="228">
        <v>1225</v>
      </c>
      <c r="E93" s="228">
        <v>426.7</v>
      </c>
      <c r="F93" s="228">
        <v>434.7</v>
      </c>
      <c r="G93" s="228">
        <v>-8</v>
      </c>
      <c r="H93" s="229">
        <v>-1.84E-2</v>
      </c>
      <c r="I93" s="228">
        <v>424.05</v>
      </c>
      <c r="J93" s="228">
        <v>432.45</v>
      </c>
      <c r="K93" s="228">
        <v>-8.4</v>
      </c>
      <c r="L93" s="229">
        <v>-1.9400000000000001E-2</v>
      </c>
      <c r="M93" s="228">
        <v>424.8</v>
      </c>
      <c r="N93" s="228">
        <v>432.45</v>
      </c>
      <c r="O93" s="228">
        <v>-7.65</v>
      </c>
      <c r="P93" s="229">
        <v>-1.77E-2</v>
      </c>
      <c r="Q93" s="228">
        <v>426.7</v>
      </c>
      <c r="R93" s="228">
        <v>434.7</v>
      </c>
      <c r="S93" s="228">
        <v>-8</v>
      </c>
      <c r="T93" s="229">
        <v>-1.84E-2</v>
      </c>
      <c r="U93" s="228">
        <v>429.4</v>
      </c>
      <c r="V93" s="228">
        <v>437.45</v>
      </c>
      <c r="W93" s="228">
        <v>-8.0500000000000007</v>
      </c>
      <c r="X93" s="229">
        <v>-1.84E-2</v>
      </c>
      <c r="Y93" s="228">
        <v>2.65</v>
      </c>
      <c r="Z93" s="228">
        <v>0</v>
      </c>
      <c r="AA93" s="228">
        <v>2.65</v>
      </c>
      <c r="AB93" s="229">
        <v>6.1999999999999998E-3</v>
      </c>
      <c r="AC93" s="228">
        <v>0.75</v>
      </c>
      <c r="AD93" s="228">
        <v>0</v>
      </c>
      <c r="AE93" s="228">
        <v>0.75</v>
      </c>
      <c r="AF93" s="229">
        <v>1.8E-3</v>
      </c>
      <c r="AG93" s="228">
        <v>2.65</v>
      </c>
      <c r="AH93" s="228">
        <v>2.25</v>
      </c>
      <c r="AI93" s="228">
        <v>0.4</v>
      </c>
      <c r="AJ93" s="229">
        <v>6.1999999999999998E-3</v>
      </c>
      <c r="AK93" s="228">
        <v>5.35</v>
      </c>
      <c r="AL93" s="228">
        <v>5</v>
      </c>
      <c r="AM93" s="228">
        <v>0.35</v>
      </c>
      <c r="AN93" s="229">
        <v>1.26E-2</v>
      </c>
      <c r="AO93" s="228">
        <v>427.73</v>
      </c>
      <c r="AP93" s="228">
        <v>429.7</v>
      </c>
      <c r="AQ93" s="228">
        <v>0</v>
      </c>
      <c r="AR93" s="230">
        <v>22636775</v>
      </c>
      <c r="AS93" s="230">
        <v>19086725</v>
      </c>
      <c r="AT93" s="230">
        <v>3550050</v>
      </c>
      <c r="AU93" s="229">
        <v>0.186</v>
      </c>
      <c r="AV93" s="230">
        <v>10878000</v>
      </c>
      <c r="AW93" s="230">
        <v>9214450</v>
      </c>
      <c r="AX93" s="230">
        <v>1663550</v>
      </c>
      <c r="AY93" s="229">
        <v>0.18049999999999999</v>
      </c>
      <c r="AZ93" s="230">
        <v>11546850</v>
      </c>
      <c r="BA93" s="230">
        <v>9736300</v>
      </c>
      <c r="BB93" s="230">
        <v>1810550</v>
      </c>
      <c r="BC93" s="229">
        <v>0.186</v>
      </c>
      <c r="BD93" s="230">
        <v>211925</v>
      </c>
      <c r="BE93" s="230">
        <v>135975</v>
      </c>
      <c r="BF93" s="230">
        <v>75950</v>
      </c>
      <c r="BG93" s="229">
        <v>0.55859999999999999</v>
      </c>
      <c r="BH93" s="230">
        <v>6906550</v>
      </c>
      <c r="BI93" s="230">
        <v>6226675</v>
      </c>
      <c r="BJ93" s="230">
        <v>679875</v>
      </c>
      <c r="BK93" s="229">
        <v>0.10920000000000001</v>
      </c>
      <c r="BL93" s="230">
        <v>5336100</v>
      </c>
      <c r="BM93" s="230">
        <v>3057600</v>
      </c>
      <c r="BN93" s="230">
        <v>2278500</v>
      </c>
      <c r="BO93" s="229">
        <v>0.74519999999999997</v>
      </c>
      <c r="BP93" s="230">
        <v>34879425</v>
      </c>
      <c r="BQ93" s="230">
        <v>28371000</v>
      </c>
      <c r="BR93" s="230">
        <v>6508425</v>
      </c>
      <c r="BS93" s="229">
        <v>0.22939999999999999</v>
      </c>
      <c r="BT93" s="230">
        <v>2364016</v>
      </c>
      <c r="BU93" s="230">
        <v>1420578</v>
      </c>
      <c r="BV93" s="230">
        <v>943438</v>
      </c>
      <c r="BW93" s="229">
        <v>0.66410000000000002</v>
      </c>
      <c r="BX93" s="230">
        <v>31164000</v>
      </c>
      <c r="BY93" s="230">
        <v>34769175</v>
      </c>
      <c r="BZ93" s="230">
        <v>-3605175</v>
      </c>
      <c r="CA93" s="229">
        <v>-0.1037</v>
      </c>
      <c r="CB93" s="230">
        <v>3036775</v>
      </c>
      <c r="CC93" s="230">
        <v>10637900</v>
      </c>
      <c r="CD93" s="230">
        <v>-7601125</v>
      </c>
      <c r="CE93" s="229">
        <v>-0.71450000000000002</v>
      </c>
      <c r="CF93" s="230">
        <v>30573550</v>
      </c>
      <c r="CG93" s="230">
        <v>23667000</v>
      </c>
      <c r="CH93" s="230">
        <v>6906550</v>
      </c>
      <c r="CI93" s="229">
        <v>0.2918</v>
      </c>
      <c r="CJ93" s="230">
        <v>590450</v>
      </c>
      <c r="CK93" s="230">
        <v>464275</v>
      </c>
      <c r="CL93" s="230">
        <v>126175</v>
      </c>
      <c r="CM93" s="229">
        <v>0.27179999999999999</v>
      </c>
      <c r="CN93" s="230">
        <v>6258525</v>
      </c>
      <c r="CO93" s="230">
        <v>17371725</v>
      </c>
      <c r="CP93" s="230">
        <v>-11113200</v>
      </c>
      <c r="CQ93" s="229">
        <v>-0.63970000000000005</v>
      </c>
      <c r="CR93" s="230">
        <v>4383050</v>
      </c>
      <c r="CS93" s="230">
        <v>10963750</v>
      </c>
      <c r="CT93" s="230">
        <v>-6580700</v>
      </c>
      <c r="CU93" s="229">
        <v>-0.60019999999999996</v>
      </c>
      <c r="CV93" s="230">
        <v>41805575</v>
      </c>
      <c r="CW93" s="230">
        <v>63104650</v>
      </c>
      <c r="CX93" s="230">
        <v>-21299075</v>
      </c>
      <c r="CY93" s="229">
        <v>-0.33750000000000002</v>
      </c>
      <c r="CZ93" s="228">
        <v>26.01</v>
      </c>
      <c r="DA93" s="228">
        <v>24.62</v>
      </c>
      <c r="DB93" s="228">
        <v>1.39</v>
      </c>
      <c r="DC93" s="228">
        <v>1.39</v>
      </c>
      <c r="DD93" s="228">
        <v>46.85</v>
      </c>
      <c r="DE93" s="228">
        <v>46.9</v>
      </c>
      <c r="DF93" s="228">
        <v>-20.84</v>
      </c>
      <c r="DG93" s="228">
        <v>-0.05</v>
      </c>
      <c r="DH93" s="228">
        <v>25.15</v>
      </c>
      <c r="DI93" s="228">
        <v>24.32</v>
      </c>
      <c r="DJ93" s="228">
        <v>0.83</v>
      </c>
      <c r="DK93" s="228">
        <v>0.83</v>
      </c>
      <c r="DL93" s="228">
        <v>27.28</v>
      </c>
      <c r="DM93" s="228">
        <v>25.09</v>
      </c>
      <c r="DN93" s="228">
        <v>2.19</v>
      </c>
      <c r="DO93" s="228">
        <v>2.19</v>
      </c>
      <c r="DP93" s="228">
        <v>0.7</v>
      </c>
      <c r="DQ93" s="228">
        <v>0.63</v>
      </c>
      <c r="DR93" s="228">
        <v>7.0000000000000007E-2</v>
      </c>
      <c r="DS93" s="229">
        <v>0.1111</v>
      </c>
      <c r="DT93" s="228">
        <v>450</v>
      </c>
      <c r="DU93" s="228">
        <v>450</v>
      </c>
      <c r="DV93" s="228">
        <v>0.77</v>
      </c>
      <c r="DW93" s="228">
        <v>0.49</v>
      </c>
      <c r="DX93" s="228">
        <v>0.28000000000000003</v>
      </c>
      <c r="DY93" s="229">
        <v>0.57140000000000002</v>
      </c>
      <c r="DZ93" s="229">
        <v>0.91120000000000001</v>
      </c>
      <c r="EA93" s="230">
        <v>24131275</v>
      </c>
      <c r="EB93" s="229">
        <v>4.4999999999999997E-3</v>
      </c>
      <c r="EC93" s="229">
        <v>0.91120000000000001</v>
      </c>
      <c r="ED93" s="228">
        <v>1.97</v>
      </c>
      <c r="EE93" s="229">
        <v>4.5999999999999999E-3</v>
      </c>
      <c r="EF93" s="230">
        <v>1429409</v>
      </c>
      <c r="EG93" s="230">
        <v>829781</v>
      </c>
      <c r="EH93" s="229">
        <v>0.72260000000000002</v>
      </c>
      <c r="EI93" s="229">
        <v>0.60470000000000002</v>
      </c>
      <c r="EJ93" s="231">
        <v>31289.439999999999</v>
      </c>
      <c r="EK93" s="231">
        <v>24079.59</v>
      </c>
      <c r="EL93" s="231">
        <v>97061.69</v>
      </c>
      <c r="EM93" s="228">
        <v>0</v>
      </c>
      <c r="EN93" s="231">
        <v>152430.72</v>
      </c>
      <c r="EO93" s="231">
        <v>125303.67999999999</v>
      </c>
      <c r="EP93" s="231">
        <v>27127.040000000001</v>
      </c>
      <c r="EQ93" s="229">
        <v>0.2165</v>
      </c>
      <c r="ER93" s="231">
        <v>29151</v>
      </c>
      <c r="ES93" s="231">
        <v>19118</v>
      </c>
      <c r="ET93" s="231">
        <v>132993</v>
      </c>
      <c r="EU93" s="231">
        <v>309154116</v>
      </c>
      <c r="EV93" s="231">
        <v>181262</v>
      </c>
      <c r="EW93" s="231">
        <v>281010</v>
      </c>
      <c r="EX93" s="231">
        <v>-99748</v>
      </c>
      <c r="EY93" s="229">
        <v>-0.35499999999999998</v>
      </c>
      <c r="EZ93" s="229">
        <v>0.13519999999999999</v>
      </c>
      <c r="FA93" s="227" t="s">
        <v>568</v>
      </c>
      <c r="FB93" s="161">
        <f t="shared" si="1"/>
        <v>28127225</v>
      </c>
    </row>
    <row r="94" spans="1:158" ht="17.25" thickBot="1" x14ac:dyDescent="0.3">
      <c r="A94" s="226">
        <v>45869</v>
      </c>
      <c r="B94" s="227" t="s">
        <v>206</v>
      </c>
      <c r="C94" s="227" t="s">
        <v>609</v>
      </c>
      <c r="D94" s="228">
        <v>2775</v>
      </c>
      <c r="E94" s="228">
        <v>212.15</v>
      </c>
      <c r="F94" s="228">
        <v>216.96</v>
      </c>
      <c r="G94" s="228">
        <v>-4.8099999999999996</v>
      </c>
      <c r="H94" s="229">
        <v>-2.2200000000000001E-2</v>
      </c>
      <c r="I94" s="228">
        <v>212.27</v>
      </c>
      <c r="J94" s="228">
        <v>217.43</v>
      </c>
      <c r="K94" s="228">
        <v>-5.16</v>
      </c>
      <c r="L94" s="229">
        <v>-2.3699999999999999E-2</v>
      </c>
      <c r="M94" s="228">
        <v>211.95</v>
      </c>
      <c r="N94" s="228">
        <v>217</v>
      </c>
      <c r="O94" s="228">
        <v>-5.05</v>
      </c>
      <c r="P94" s="229">
        <v>-2.3300000000000001E-2</v>
      </c>
      <c r="Q94" s="228">
        <v>212.15</v>
      </c>
      <c r="R94" s="228">
        <v>216.96</v>
      </c>
      <c r="S94" s="228">
        <v>-4.8099999999999996</v>
      </c>
      <c r="T94" s="229">
        <v>-2.2200000000000001E-2</v>
      </c>
      <c r="U94" s="228">
        <v>212.35</v>
      </c>
      <c r="V94" s="228">
        <v>217.51</v>
      </c>
      <c r="W94" s="228">
        <v>-5.16</v>
      </c>
      <c r="X94" s="229">
        <v>-2.3699999999999999E-2</v>
      </c>
      <c r="Y94" s="228">
        <v>-0.12</v>
      </c>
      <c r="Z94" s="228">
        <v>-0.43</v>
      </c>
      <c r="AA94" s="228">
        <v>0.31</v>
      </c>
      <c r="AB94" s="229">
        <v>-5.9999999999999995E-4</v>
      </c>
      <c r="AC94" s="228">
        <v>-0.32</v>
      </c>
      <c r="AD94" s="228">
        <v>-0.43</v>
      </c>
      <c r="AE94" s="228">
        <v>0.11</v>
      </c>
      <c r="AF94" s="229">
        <v>-1.5E-3</v>
      </c>
      <c r="AG94" s="228">
        <v>-0.12</v>
      </c>
      <c r="AH94" s="228">
        <v>-0.47</v>
      </c>
      <c r="AI94" s="228">
        <v>0.35</v>
      </c>
      <c r="AJ94" s="229">
        <v>-5.9999999999999995E-4</v>
      </c>
      <c r="AK94" s="228">
        <v>0.08</v>
      </c>
      <c r="AL94" s="228">
        <v>0.08</v>
      </c>
      <c r="AM94" s="228">
        <v>0</v>
      </c>
      <c r="AN94" s="229">
        <v>4.0000000000000002E-4</v>
      </c>
      <c r="AO94" s="228">
        <v>213.49</v>
      </c>
      <c r="AP94" s="228">
        <v>213.63</v>
      </c>
      <c r="AQ94" s="228">
        <v>0</v>
      </c>
      <c r="AR94" s="230">
        <v>32603475</v>
      </c>
      <c r="AS94" s="230">
        <v>30117075</v>
      </c>
      <c r="AT94" s="230">
        <v>2486400</v>
      </c>
      <c r="AU94" s="229">
        <v>8.2600000000000007E-2</v>
      </c>
      <c r="AV94" s="230">
        <v>15173700</v>
      </c>
      <c r="AW94" s="230">
        <v>14618700</v>
      </c>
      <c r="AX94" s="230">
        <v>555000</v>
      </c>
      <c r="AY94" s="229">
        <v>3.7999999999999999E-2</v>
      </c>
      <c r="AZ94" s="230">
        <v>16261500</v>
      </c>
      <c r="BA94" s="230">
        <v>15012750</v>
      </c>
      <c r="BB94" s="230">
        <v>1248750</v>
      </c>
      <c r="BC94" s="229">
        <v>8.3199999999999996E-2</v>
      </c>
      <c r="BD94" s="230">
        <v>1168275</v>
      </c>
      <c r="BE94" s="230">
        <v>485625</v>
      </c>
      <c r="BF94" s="230">
        <v>682650</v>
      </c>
      <c r="BG94" s="229">
        <v>1.4056999999999999</v>
      </c>
      <c r="BH94" s="230">
        <v>9787425</v>
      </c>
      <c r="BI94" s="230">
        <v>9884550</v>
      </c>
      <c r="BJ94" s="230">
        <v>-97125</v>
      </c>
      <c r="BK94" s="229">
        <v>-9.7999999999999997E-3</v>
      </c>
      <c r="BL94" s="230">
        <v>5419575</v>
      </c>
      <c r="BM94" s="230">
        <v>6193800</v>
      </c>
      <c r="BN94" s="230">
        <v>-774225</v>
      </c>
      <c r="BO94" s="229">
        <v>-0.125</v>
      </c>
      <c r="BP94" s="230">
        <v>47810475</v>
      </c>
      <c r="BQ94" s="230">
        <v>46195425</v>
      </c>
      <c r="BR94" s="230">
        <v>1615050</v>
      </c>
      <c r="BS94" s="229">
        <v>3.5000000000000003E-2</v>
      </c>
      <c r="BT94" s="230">
        <v>3234470</v>
      </c>
      <c r="BU94" s="230">
        <v>3646205</v>
      </c>
      <c r="BV94" s="230">
        <v>-411735</v>
      </c>
      <c r="BW94" s="229">
        <v>-0.1129</v>
      </c>
      <c r="BX94" s="230">
        <v>33169575</v>
      </c>
      <c r="BY94" s="230">
        <v>36702150</v>
      </c>
      <c r="BZ94" s="230">
        <v>-3532575</v>
      </c>
      <c r="CA94" s="229">
        <v>-9.6199999999999994E-2</v>
      </c>
      <c r="CB94" s="230">
        <v>2902650</v>
      </c>
      <c r="CC94" s="230">
        <v>10594950</v>
      </c>
      <c r="CD94" s="230">
        <v>-7692300</v>
      </c>
      <c r="CE94" s="229">
        <v>-0.72599999999999998</v>
      </c>
      <c r="CF94" s="230">
        <v>32029050</v>
      </c>
      <c r="CG94" s="230">
        <v>25407900</v>
      </c>
      <c r="CH94" s="230">
        <v>6621150</v>
      </c>
      <c r="CI94" s="229">
        <v>0.2606</v>
      </c>
      <c r="CJ94" s="230">
        <v>1140525</v>
      </c>
      <c r="CK94" s="230">
        <v>699300</v>
      </c>
      <c r="CL94" s="230">
        <v>441225</v>
      </c>
      <c r="CM94" s="229">
        <v>0.63100000000000001</v>
      </c>
      <c r="CN94" s="230">
        <v>4931175</v>
      </c>
      <c r="CO94" s="230">
        <v>15212550</v>
      </c>
      <c r="CP94" s="230">
        <v>-10281375</v>
      </c>
      <c r="CQ94" s="229">
        <v>-0.67579999999999996</v>
      </c>
      <c r="CR94" s="230">
        <v>3998775</v>
      </c>
      <c r="CS94" s="230">
        <v>9243525</v>
      </c>
      <c r="CT94" s="230">
        <v>-5244750</v>
      </c>
      <c r="CU94" s="229">
        <v>-0.56740000000000002</v>
      </c>
      <c r="CV94" s="230">
        <v>42099525</v>
      </c>
      <c r="CW94" s="230">
        <v>61158225</v>
      </c>
      <c r="CX94" s="230">
        <v>-19058700</v>
      </c>
      <c r="CY94" s="229">
        <v>-0.31159999999999999</v>
      </c>
      <c r="CZ94" s="228">
        <v>36.92</v>
      </c>
      <c r="DA94" s="228">
        <v>36.1</v>
      </c>
      <c r="DB94" s="228">
        <v>0.82</v>
      </c>
      <c r="DC94" s="228">
        <v>0.82</v>
      </c>
      <c r="DD94" s="228">
        <v>57.73</v>
      </c>
      <c r="DE94" s="228">
        <v>57.8</v>
      </c>
      <c r="DF94" s="228">
        <v>-20.81</v>
      </c>
      <c r="DG94" s="228">
        <v>-7.0000000000000007E-2</v>
      </c>
      <c r="DH94" s="228">
        <v>37.11</v>
      </c>
      <c r="DI94" s="228">
        <v>35.799999999999997</v>
      </c>
      <c r="DJ94" s="228">
        <v>1.31</v>
      </c>
      <c r="DK94" s="228">
        <v>1.31</v>
      </c>
      <c r="DL94" s="228">
        <v>36.6</v>
      </c>
      <c r="DM94" s="228">
        <v>36.54</v>
      </c>
      <c r="DN94" s="228">
        <v>0.06</v>
      </c>
      <c r="DO94" s="228">
        <v>0.06</v>
      </c>
      <c r="DP94" s="228">
        <v>0.81</v>
      </c>
      <c r="DQ94" s="228">
        <v>0.61</v>
      </c>
      <c r="DR94" s="228">
        <v>0.2</v>
      </c>
      <c r="DS94" s="229">
        <v>0.32790000000000002</v>
      </c>
      <c r="DT94" s="228">
        <v>240</v>
      </c>
      <c r="DU94" s="228">
        <v>210</v>
      </c>
      <c r="DV94" s="228">
        <v>0.55000000000000004</v>
      </c>
      <c r="DW94" s="228">
        <v>0.63</v>
      </c>
      <c r="DX94" s="228">
        <v>-0.08</v>
      </c>
      <c r="DY94" s="229">
        <v>-0.127</v>
      </c>
      <c r="DZ94" s="229">
        <v>0.91949999999999998</v>
      </c>
      <c r="EA94" s="230">
        <v>26107200</v>
      </c>
      <c r="EB94" s="229">
        <v>8.9999999999999998E-4</v>
      </c>
      <c r="EC94" s="229">
        <v>0.91949999999999998</v>
      </c>
      <c r="ED94" s="228">
        <v>0.14000000000000001</v>
      </c>
      <c r="EE94" s="229">
        <v>6.9999999999999999E-4</v>
      </c>
      <c r="EF94" s="230">
        <v>1098204</v>
      </c>
      <c r="EG94" s="230">
        <v>1433651</v>
      </c>
      <c r="EH94" s="229">
        <v>-0.23400000000000001</v>
      </c>
      <c r="EI94" s="229">
        <v>0.33950000000000002</v>
      </c>
      <c r="EJ94" s="231">
        <v>22353.89</v>
      </c>
      <c r="EK94" s="231">
        <v>12140.81</v>
      </c>
      <c r="EL94" s="231">
        <v>69634.95</v>
      </c>
      <c r="EM94" s="228">
        <v>0</v>
      </c>
      <c r="EN94" s="231">
        <v>104129.65</v>
      </c>
      <c r="EO94" s="231">
        <v>101976.34</v>
      </c>
      <c r="EP94" s="231">
        <v>2153.31</v>
      </c>
      <c r="EQ94" s="229">
        <v>2.1100000000000001E-2</v>
      </c>
      <c r="ER94" s="231">
        <v>11384</v>
      </c>
      <c r="ES94" s="231">
        <v>8667</v>
      </c>
      <c r="ET94" s="231">
        <v>70372</v>
      </c>
      <c r="EU94" s="231">
        <v>100095000</v>
      </c>
      <c r="EV94" s="231">
        <v>90423</v>
      </c>
      <c r="EW94" s="231">
        <v>136756</v>
      </c>
      <c r="EX94" s="231">
        <v>-46333</v>
      </c>
      <c r="EY94" s="229">
        <v>-0.33879999999999999</v>
      </c>
      <c r="EZ94" s="229">
        <v>0.42059999999999997</v>
      </c>
      <c r="FA94" s="227" t="s">
        <v>568</v>
      </c>
      <c r="FB94" s="161">
        <f t="shared" si="1"/>
        <v>30266925</v>
      </c>
    </row>
    <row r="95" spans="1:158" ht="17.25" thickBot="1" x14ac:dyDescent="0.3">
      <c r="A95" s="226">
        <v>45869</v>
      </c>
      <c r="B95" s="227" t="s">
        <v>172</v>
      </c>
      <c r="C95" s="227" t="s">
        <v>232</v>
      </c>
      <c r="D95" s="228">
        <v>700</v>
      </c>
      <c r="E95" s="231">
        <v>1477.4</v>
      </c>
      <c r="F95" s="231">
        <v>1477.6</v>
      </c>
      <c r="G95" s="228">
        <v>-0.2</v>
      </c>
      <c r="H95" s="229">
        <v>-1E-4</v>
      </c>
      <c r="I95" s="231">
        <v>1481.4</v>
      </c>
      <c r="J95" s="231">
        <v>1482.4</v>
      </c>
      <c r="K95" s="228">
        <v>-1</v>
      </c>
      <c r="L95" s="229">
        <v>-6.9999999999999999E-4</v>
      </c>
      <c r="M95" s="231">
        <v>1479.3</v>
      </c>
      <c r="N95" s="231">
        <v>1480.7</v>
      </c>
      <c r="O95" s="228">
        <v>-1.4</v>
      </c>
      <c r="P95" s="229">
        <v>-8.9999999999999998E-4</v>
      </c>
      <c r="Q95" s="231">
        <v>1477.4</v>
      </c>
      <c r="R95" s="231">
        <v>1477.6</v>
      </c>
      <c r="S95" s="228">
        <v>-0.2</v>
      </c>
      <c r="T95" s="229">
        <v>-1E-4</v>
      </c>
      <c r="U95" s="231">
        <v>1486.5</v>
      </c>
      <c r="V95" s="231">
        <v>1485.4</v>
      </c>
      <c r="W95" s="228">
        <v>1.1000000000000001</v>
      </c>
      <c r="X95" s="229">
        <v>6.9999999999999999E-4</v>
      </c>
      <c r="Y95" s="228">
        <v>-4</v>
      </c>
      <c r="Z95" s="228">
        <v>-1.7</v>
      </c>
      <c r="AA95" s="228">
        <v>-2.2999999999999998</v>
      </c>
      <c r="AB95" s="229">
        <v>-2.7000000000000001E-3</v>
      </c>
      <c r="AC95" s="228">
        <v>-2.1</v>
      </c>
      <c r="AD95" s="228">
        <v>-1.7</v>
      </c>
      <c r="AE95" s="228">
        <v>-0.4</v>
      </c>
      <c r="AF95" s="229">
        <v>-1.4E-3</v>
      </c>
      <c r="AG95" s="228">
        <v>-4</v>
      </c>
      <c r="AH95" s="228">
        <v>-4.8</v>
      </c>
      <c r="AI95" s="228">
        <v>0.8</v>
      </c>
      <c r="AJ95" s="229">
        <v>-2.7000000000000001E-3</v>
      </c>
      <c r="AK95" s="228">
        <v>5.0999999999999996</v>
      </c>
      <c r="AL95" s="228">
        <v>3</v>
      </c>
      <c r="AM95" s="228">
        <v>2.1</v>
      </c>
      <c r="AN95" s="229">
        <v>3.3999999999999998E-3</v>
      </c>
      <c r="AO95" s="231">
        <v>1475.21</v>
      </c>
      <c r="AP95" s="231">
        <v>1474.5</v>
      </c>
      <c r="AQ95" s="228">
        <v>0</v>
      </c>
      <c r="AR95" s="230">
        <v>31343900</v>
      </c>
      <c r="AS95" s="230">
        <v>39419100</v>
      </c>
      <c r="AT95" s="230">
        <v>-8075200</v>
      </c>
      <c r="AU95" s="229">
        <v>-0.2049</v>
      </c>
      <c r="AV95" s="230">
        <v>11079600</v>
      </c>
      <c r="AW95" s="230">
        <v>19063800</v>
      </c>
      <c r="AX95" s="230">
        <v>-7984200</v>
      </c>
      <c r="AY95" s="229">
        <v>-0.41880000000000001</v>
      </c>
      <c r="AZ95" s="230">
        <v>19733000</v>
      </c>
      <c r="BA95" s="230">
        <v>20205500</v>
      </c>
      <c r="BB95" s="230">
        <v>-472500</v>
      </c>
      <c r="BC95" s="229">
        <v>-2.3400000000000001E-2</v>
      </c>
      <c r="BD95" s="230">
        <v>531300</v>
      </c>
      <c r="BE95" s="230">
        <v>149800</v>
      </c>
      <c r="BF95" s="230">
        <v>381500</v>
      </c>
      <c r="BG95" s="229">
        <v>2.5467</v>
      </c>
      <c r="BH95" s="230">
        <v>35469700</v>
      </c>
      <c r="BI95" s="230">
        <v>26112100</v>
      </c>
      <c r="BJ95" s="230">
        <v>9357600</v>
      </c>
      <c r="BK95" s="229">
        <v>0.3584</v>
      </c>
      <c r="BL95" s="230">
        <v>32265800</v>
      </c>
      <c r="BM95" s="230">
        <v>21641200</v>
      </c>
      <c r="BN95" s="230">
        <v>10624600</v>
      </c>
      <c r="BO95" s="229">
        <v>0.4909</v>
      </c>
      <c r="BP95" s="230">
        <v>99079400</v>
      </c>
      <c r="BQ95" s="230">
        <v>87172400</v>
      </c>
      <c r="BR95" s="230">
        <v>11907000</v>
      </c>
      <c r="BS95" s="229">
        <v>0.1366</v>
      </c>
      <c r="BT95" s="230">
        <v>12513144</v>
      </c>
      <c r="BU95" s="230">
        <v>7334368</v>
      </c>
      <c r="BV95" s="230">
        <v>5178776</v>
      </c>
      <c r="BW95" s="229">
        <v>0.70609999999999995</v>
      </c>
      <c r="BX95" s="230">
        <v>94227000</v>
      </c>
      <c r="BY95" s="230">
        <v>94367000</v>
      </c>
      <c r="BZ95" s="230">
        <v>-140000</v>
      </c>
      <c r="CA95" s="229">
        <v>-1.5E-3</v>
      </c>
      <c r="CB95" s="230">
        <v>3841600</v>
      </c>
      <c r="CC95" s="230">
        <v>6659100</v>
      </c>
      <c r="CD95" s="230">
        <v>-2817500</v>
      </c>
      <c r="CE95" s="229">
        <v>-0.42309999999999998</v>
      </c>
      <c r="CF95" s="230">
        <v>93604000</v>
      </c>
      <c r="CG95" s="230">
        <v>87249400</v>
      </c>
      <c r="CH95" s="230">
        <v>6354600</v>
      </c>
      <c r="CI95" s="229">
        <v>7.2800000000000004E-2</v>
      </c>
      <c r="CJ95" s="230">
        <v>623000</v>
      </c>
      <c r="CK95" s="230">
        <v>458500</v>
      </c>
      <c r="CL95" s="230">
        <v>164500</v>
      </c>
      <c r="CM95" s="229">
        <v>0.35880000000000001</v>
      </c>
      <c r="CN95" s="230">
        <v>6947500</v>
      </c>
      <c r="CO95" s="230">
        <v>21938700</v>
      </c>
      <c r="CP95" s="230">
        <v>-14991200</v>
      </c>
      <c r="CQ95" s="229">
        <v>-0.68330000000000002</v>
      </c>
      <c r="CR95" s="230">
        <v>7024500</v>
      </c>
      <c r="CS95" s="230">
        <v>21036400</v>
      </c>
      <c r="CT95" s="230">
        <v>-14011900</v>
      </c>
      <c r="CU95" s="229">
        <v>-0.66610000000000003</v>
      </c>
      <c r="CV95" s="230">
        <v>108199000</v>
      </c>
      <c r="CW95" s="230">
        <v>137342100</v>
      </c>
      <c r="CX95" s="230">
        <v>-29143100</v>
      </c>
      <c r="CY95" s="229">
        <v>-0.2122</v>
      </c>
      <c r="CZ95" s="228">
        <v>15.37</v>
      </c>
      <c r="DA95" s="228">
        <v>16.12</v>
      </c>
      <c r="DB95" s="228">
        <v>-0.75</v>
      </c>
      <c r="DC95" s="228">
        <v>-0.75</v>
      </c>
      <c r="DD95" s="228">
        <v>22.66</v>
      </c>
      <c r="DE95" s="228">
        <v>22.72</v>
      </c>
      <c r="DF95" s="228">
        <v>-7.29</v>
      </c>
      <c r="DG95" s="228">
        <v>-0.06</v>
      </c>
      <c r="DH95" s="228">
        <v>15.36</v>
      </c>
      <c r="DI95" s="228">
        <v>15.65</v>
      </c>
      <c r="DJ95" s="228">
        <v>-0.28999999999999998</v>
      </c>
      <c r="DK95" s="228">
        <v>-0.28999999999999998</v>
      </c>
      <c r="DL95" s="228">
        <v>15.38</v>
      </c>
      <c r="DM95" s="228">
        <v>16.77</v>
      </c>
      <c r="DN95" s="228">
        <v>-1.39</v>
      </c>
      <c r="DO95" s="228">
        <v>-1.39</v>
      </c>
      <c r="DP95" s="228">
        <v>1.01</v>
      </c>
      <c r="DQ95" s="228">
        <v>0.96</v>
      </c>
      <c r="DR95" s="228">
        <v>0.05</v>
      </c>
      <c r="DS95" s="229">
        <v>5.21E-2</v>
      </c>
      <c r="DT95" s="231">
        <v>1490</v>
      </c>
      <c r="DU95" s="231">
        <v>1400</v>
      </c>
      <c r="DV95" s="228">
        <v>0.91</v>
      </c>
      <c r="DW95" s="228">
        <v>0.83</v>
      </c>
      <c r="DX95" s="228">
        <v>0.08</v>
      </c>
      <c r="DY95" s="229">
        <v>9.64E-2</v>
      </c>
      <c r="DZ95" s="229">
        <v>0.96079999999999999</v>
      </c>
      <c r="EA95" s="230">
        <v>87707900</v>
      </c>
      <c r="EB95" s="229">
        <v>-1.2999999999999999E-3</v>
      </c>
      <c r="EC95" s="229">
        <v>0.96079999999999999</v>
      </c>
      <c r="ED95" s="228">
        <v>-0.71</v>
      </c>
      <c r="EE95" s="229">
        <v>-5.0000000000000001E-4</v>
      </c>
      <c r="EF95" s="230">
        <v>6713694</v>
      </c>
      <c r="EG95" s="230">
        <v>4958888</v>
      </c>
      <c r="EH95" s="229">
        <v>0.35389999999999999</v>
      </c>
      <c r="EI95" s="229">
        <v>0.53649999999999998</v>
      </c>
      <c r="EJ95" s="231">
        <v>534004.59</v>
      </c>
      <c r="EK95" s="231">
        <v>474145.84</v>
      </c>
      <c r="EL95" s="231">
        <v>462312.16</v>
      </c>
      <c r="EM95" s="228">
        <v>0</v>
      </c>
      <c r="EN95" s="231">
        <v>1470462.59</v>
      </c>
      <c r="EO95" s="231">
        <v>1292092.99</v>
      </c>
      <c r="EP95" s="231">
        <v>178369.6</v>
      </c>
      <c r="EQ95" s="229">
        <v>0.13800000000000001</v>
      </c>
      <c r="ER95" s="231">
        <v>104573</v>
      </c>
      <c r="ES95" s="231">
        <v>100363</v>
      </c>
      <c r="ET95" s="231">
        <v>1392166</v>
      </c>
      <c r="EU95" s="231">
        <v>1159424540</v>
      </c>
      <c r="EV95" s="231">
        <v>1597103</v>
      </c>
      <c r="EW95" s="231">
        <v>2020847</v>
      </c>
      <c r="EX95" s="231">
        <v>-423744</v>
      </c>
      <c r="EY95" s="229">
        <v>-0.2097</v>
      </c>
      <c r="EZ95" s="229">
        <v>9.3299999999999994E-2</v>
      </c>
      <c r="FA95" s="227" t="s">
        <v>568</v>
      </c>
      <c r="FB95" s="161">
        <f t="shared" si="1"/>
        <v>90385400</v>
      </c>
    </row>
    <row r="96" spans="1:158" ht="17.25" thickBot="1" x14ac:dyDescent="0.3">
      <c r="A96" s="226">
        <v>45869</v>
      </c>
      <c r="B96" s="227" t="s">
        <v>175</v>
      </c>
      <c r="C96" s="227" t="s">
        <v>472</v>
      </c>
      <c r="D96" s="228">
        <v>325</v>
      </c>
      <c r="E96" s="231">
        <v>1938.2</v>
      </c>
      <c r="F96" s="231">
        <v>1926</v>
      </c>
      <c r="G96" s="228">
        <v>12.2</v>
      </c>
      <c r="H96" s="229">
        <v>6.3E-3</v>
      </c>
      <c r="I96" s="231">
        <v>1927</v>
      </c>
      <c r="J96" s="231">
        <v>1920.4</v>
      </c>
      <c r="K96" s="228">
        <v>6.6</v>
      </c>
      <c r="L96" s="229">
        <v>3.3999999999999998E-3</v>
      </c>
      <c r="M96" s="231">
        <v>1929.6</v>
      </c>
      <c r="N96" s="231">
        <v>1918.1</v>
      </c>
      <c r="O96" s="228">
        <v>11.5</v>
      </c>
      <c r="P96" s="229">
        <v>6.0000000000000001E-3</v>
      </c>
      <c r="Q96" s="231">
        <v>1938.2</v>
      </c>
      <c r="R96" s="231">
        <v>1926</v>
      </c>
      <c r="S96" s="228">
        <v>12.2</v>
      </c>
      <c r="T96" s="229">
        <v>6.3E-3</v>
      </c>
      <c r="U96" s="231">
        <v>1950.7</v>
      </c>
      <c r="V96" s="231">
        <v>1936.9</v>
      </c>
      <c r="W96" s="228">
        <v>13.8</v>
      </c>
      <c r="X96" s="229">
        <v>7.1000000000000004E-3</v>
      </c>
      <c r="Y96" s="228">
        <v>11.2</v>
      </c>
      <c r="Z96" s="228">
        <v>-2.2999999999999998</v>
      </c>
      <c r="AA96" s="228">
        <v>13.5</v>
      </c>
      <c r="AB96" s="229">
        <v>5.7999999999999996E-3</v>
      </c>
      <c r="AC96" s="228">
        <v>2.6</v>
      </c>
      <c r="AD96" s="228">
        <v>-2.2999999999999998</v>
      </c>
      <c r="AE96" s="228">
        <v>4.9000000000000004</v>
      </c>
      <c r="AF96" s="229">
        <v>1.2999999999999999E-3</v>
      </c>
      <c r="AG96" s="228">
        <v>11.2</v>
      </c>
      <c r="AH96" s="228">
        <v>5.6</v>
      </c>
      <c r="AI96" s="228">
        <v>5.6</v>
      </c>
      <c r="AJ96" s="229">
        <v>5.7999999999999996E-3</v>
      </c>
      <c r="AK96" s="228">
        <v>23.7</v>
      </c>
      <c r="AL96" s="228">
        <v>16.5</v>
      </c>
      <c r="AM96" s="228">
        <v>7.2</v>
      </c>
      <c r="AN96" s="229">
        <v>1.23E-2</v>
      </c>
      <c r="AO96" s="231">
        <v>1923.88</v>
      </c>
      <c r="AP96" s="231">
        <v>1927.11</v>
      </c>
      <c r="AQ96" s="228">
        <v>0</v>
      </c>
      <c r="AR96" s="230">
        <v>2610725</v>
      </c>
      <c r="AS96" s="230">
        <v>2729675</v>
      </c>
      <c r="AT96" s="230">
        <v>-118950</v>
      </c>
      <c r="AU96" s="229">
        <v>-4.36E-2</v>
      </c>
      <c r="AV96" s="230">
        <v>1169025</v>
      </c>
      <c r="AW96" s="230">
        <v>1378650</v>
      </c>
      <c r="AX96" s="230">
        <v>-209625</v>
      </c>
      <c r="AY96" s="229">
        <v>-0.15210000000000001</v>
      </c>
      <c r="AZ96" s="230">
        <v>1428375</v>
      </c>
      <c r="BA96" s="230">
        <v>1348750</v>
      </c>
      <c r="BB96" s="230">
        <v>79625</v>
      </c>
      <c r="BC96" s="229">
        <v>5.8999999999999997E-2</v>
      </c>
      <c r="BD96" s="230">
        <v>13325</v>
      </c>
      <c r="BE96" s="230">
        <v>2275</v>
      </c>
      <c r="BF96" s="230">
        <v>11050</v>
      </c>
      <c r="BG96" s="229">
        <v>4.8571</v>
      </c>
      <c r="BH96" s="230">
        <v>949325</v>
      </c>
      <c r="BI96" s="230">
        <v>805025</v>
      </c>
      <c r="BJ96" s="230">
        <v>144300</v>
      </c>
      <c r="BK96" s="229">
        <v>0.1792</v>
      </c>
      <c r="BL96" s="230">
        <v>507975</v>
      </c>
      <c r="BM96" s="230">
        <v>243100</v>
      </c>
      <c r="BN96" s="230">
        <v>264875</v>
      </c>
      <c r="BO96" s="229">
        <v>1.0895999999999999</v>
      </c>
      <c r="BP96" s="230">
        <v>4068025</v>
      </c>
      <c r="BQ96" s="230">
        <v>3777800</v>
      </c>
      <c r="BR96" s="230">
        <v>290225</v>
      </c>
      <c r="BS96" s="229">
        <v>7.6799999999999993E-2</v>
      </c>
      <c r="BT96" s="230">
        <v>512147</v>
      </c>
      <c r="BU96" s="230">
        <v>282145</v>
      </c>
      <c r="BV96" s="230">
        <v>230002</v>
      </c>
      <c r="BW96" s="229">
        <v>0.81520000000000004</v>
      </c>
      <c r="BX96" s="230">
        <v>4884750</v>
      </c>
      <c r="BY96" s="230">
        <v>5202925</v>
      </c>
      <c r="BZ96" s="230">
        <v>-318175</v>
      </c>
      <c r="CA96" s="229">
        <v>-6.1199999999999997E-2</v>
      </c>
      <c r="CB96" s="230">
        <v>489775</v>
      </c>
      <c r="CC96" s="230">
        <v>760175</v>
      </c>
      <c r="CD96" s="230">
        <v>-270400</v>
      </c>
      <c r="CE96" s="229">
        <v>-0.35570000000000002</v>
      </c>
      <c r="CF96" s="230">
        <v>4859400</v>
      </c>
      <c r="CG96" s="230">
        <v>4424550</v>
      </c>
      <c r="CH96" s="230">
        <v>434850</v>
      </c>
      <c r="CI96" s="229">
        <v>9.8299999999999998E-2</v>
      </c>
      <c r="CJ96" s="230">
        <v>25350</v>
      </c>
      <c r="CK96" s="230">
        <v>18200</v>
      </c>
      <c r="CL96" s="230">
        <v>7150</v>
      </c>
      <c r="CM96" s="229">
        <v>0.39290000000000003</v>
      </c>
      <c r="CN96" s="230">
        <v>317850</v>
      </c>
      <c r="CO96" s="230">
        <v>1984775</v>
      </c>
      <c r="CP96" s="230">
        <v>-1666925</v>
      </c>
      <c r="CQ96" s="229">
        <v>-0.83989999999999998</v>
      </c>
      <c r="CR96" s="230">
        <v>297375</v>
      </c>
      <c r="CS96" s="230">
        <v>915850</v>
      </c>
      <c r="CT96" s="230">
        <v>-618475</v>
      </c>
      <c r="CU96" s="229">
        <v>-0.67530000000000001</v>
      </c>
      <c r="CV96" s="230">
        <v>5499975</v>
      </c>
      <c r="CW96" s="230">
        <v>8103550</v>
      </c>
      <c r="CX96" s="230">
        <v>-2603575</v>
      </c>
      <c r="CY96" s="229">
        <v>-0.32129999999999997</v>
      </c>
      <c r="CZ96" s="228">
        <v>21.35</v>
      </c>
      <c r="DA96" s="228">
        <v>22.09</v>
      </c>
      <c r="DB96" s="228">
        <v>-0.74</v>
      </c>
      <c r="DC96" s="228">
        <v>-0.74</v>
      </c>
      <c r="DD96" s="228">
        <v>29.48</v>
      </c>
      <c r="DE96" s="228">
        <v>29.55</v>
      </c>
      <c r="DF96" s="228">
        <v>-8.1300000000000008</v>
      </c>
      <c r="DG96" s="228">
        <v>-7.0000000000000007E-2</v>
      </c>
      <c r="DH96" s="228">
        <v>21.29</v>
      </c>
      <c r="DI96" s="228">
        <v>22.12</v>
      </c>
      <c r="DJ96" s="228">
        <v>-0.83</v>
      </c>
      <c r="DK96" s="228">
        <v>-0.83</v>
      </c>
      <c r="DL96" s="228">
        <v>21.47</v>
      </c>
      <c r="DM96" s="228">
        <v>22.05</v>
      </c>
      <c r="DN96" s="228">
        <v>-0.57999999999999996</v>
      </c>
      <c r="DO96" s="228">
        <v>-0.57999999999999996</v>
      </c>
      <c r="DP96" s="228">
        <v>0.94</v>
      </c>
      <c r="DQ96" s="228">
        <v>0.46</v>
      </c>
      <c r="DR96" s="228">
        <v>0.48</v>
      </c>
      <c r="DS96" s="229">
        <v>1.0435000000000001</v>
      </c>
      <c r="DT96" s="231">
        <v>2100</v>
      </c>
      <c r="DU96" s="231">
        <v>2000</v>
      </c>
      <c r="DV96" s="228">
        <v>0.54</v>
      </c>
      <c r="DW96" s="228">
        <v>0.3</v>
      </c>
      <c r="DX96" s="228">
        <v>0.24</v>
      </c>
      <c r="DY96" s="229">
        <v>0.8</v>
      </c>
      <c r="DZ96" s="229">
        <v>0.90890000000000004</v>
      </c>
      <c r="EA96" s="230">
        <v>4442750</v>
      </c>
      <c r="EB96" s="229">
        <v>4.4999999999999997E-3</v>
      </c>
      <c r="EC96" s="229">
        <v>0.90890000000000004</v>
      </c>
      <c r="ED96" s="228">
        <v>3.23</v>
      </c>
      <c r="EE96" s="229">
        <v>1.6999999999999999E-3</v>
      </c>
      <c r="EF96" s="230">
        <v>225034</v>
      </c>
      <c r="EG96" s="230">
        <v>189554</v>
      </c>
      <c r="EH96" s="229">
        <v>0.18720000000000001</v>
      </c>
      <c r="EI96" s="229">
        <v>0.43940000000000001</v>
      </c>
      <c r="EJ96" s="231">
        <v>19084.86</v>
      </c>
      <c r="EK96" s="231">
        <v>9780.2800000000007</v>
      </c>
      <c r="EL96" s="231">
        <v>50275.5</v>
      </c>
      <c r="EM96" s="228">
        <v>0</v>
      </c>
      <c r="EN96" s="231">
        <v>79140.639999999999</v>
      </c>
      <c r="EO96" s="231">
        <v>73267.240000000005</v>
      </c>
      <c r="EP96" s="231">
        <v>5873.4</v>
      </c>
      <c r="EQ96" s="229">
        <v>8.0199999999999994E-2</v>
      </c>
      <c r="ER96" s="231">
        <v>6357</v>
      </c>
      <c r="ES96" s="231">
        <v>5688</v>
      </c>
      <c r="ET96" s="231">
        <v>94679</v>
      </c>
      <c r="EU96" s="231">
        <v>48034132</v>
      </c>
      <c r="EV96" s="231">
        <v>106725</v>
      </c>
      <c r="EW96" s="231">
        <v>158897</v>
      </c>
      <c r="EX96" s="231">
        <v>-52172</v>
      </c>
      <c r="EY96" s="229">
        <v>-0.32829999999999998</v>
      </c>
      <c r="EZ96" s="229">
        <v>0.1145</v>
      </c>
      <c r="FA96" s="227" t="s">
        <v>556</v>
      </c>
      <c r="FB96" s="161">
        <f t="shared" si="1"/>
        <v>4394975</v>
      </c>
    </row>
    <row r="97" spans="1:158" ht="17.25" thickBot="1" x14ac:dyDescent="0.3">
      <c r="A97" s="226">
        <v>45869</v>
      </c>
      <c r="B97" s="227" t="s">
        <v>175</v>
      </c>
      <c r="C97" s="227" t="s">
        <v>233</v>
      </c>
      <c r="D97" s="228">
        <v>925</v>
      </c>
      <c r="E97" s="228">
        <v>618.29999999999995</v>
      </c>
      <c r="F97" s="228">
        <v>622.5</v>
      </c>
      <c r="G97" s="228">
        <v>-4.2</v>
      </c>
      <c r="H97" s="229">
        <v>-6.7000000000000002E-3</v>
      </c>
      <c r="I97" s="228">
        <v>615.95000000000005</v>
      </c>
      <c r="J97" s="228">
        <v>619.15</v>
      </c>
      <c r="K97" s="228">
        <v>-3.2</v>
      </c>
      <c r="L97" s="229">
        <v>-5.1999999999999998E-3</v>
      </c>
      <c r="M97" s="228">
        <v>615.70000000000005</v>
      </c>
      <c r="N97" s="228">
        <v>619.29999999999995</v>
      </c>
      <c r="O97" s="228">
        <v>-3.6</v>
      </c>
      <c r="P97" s="229">
        <v>-5.7999999999999996E-3</v>
      </c>
      <c r="Q97" s="228">
        <v>618.29999999999995</v>
      </c>
      <c r="R97" s="228">
        <v>622.5</v>
      </c>
      <c r="S97" s="228">
        <v>-4.2</v>
      </c>
      <c r="T97" s="229">
        <v>-6.7000000000000002E-3</v>
      </c>
      <c r="U97" s="228">
        <v>621.25</v>
      </c>
      <c r="V97" s="228">
        <v>626</v>
      </c>
      <c r="W97" s="228">
        <v>-4.75</v>
      </c>
      <c r="X97" s="229">
        <v>-7.6E-3</v>
      </c>
      <c r="Y97" s="228">
        <v>2.35</v>
      </c>
      <c r="Z97" s="228">
        <v>0.15</v>
      </c>
      <c r="AA97" s="228">
        <v>2.2000000000000002</v>
      </c>
      <c r="AB97" s="229">
        <v>3.8E-3</v>
      </c>
      <c r="AC97" s="228">
        <v>-0.25</v>
      </c>
      <c r="AD97" s="228">
        <v>0.15</v>
      </c>
      <c r="AE97" s="228">
        <v>-0.4</v>
      </c>
      <c r="AF97" s="229">
        <v>-4.0000000000000002E-4</v>
      </c>
      <c r="AG97" s="228">
        <v>2.35</v>
      </c>
      <c r="AH97" s="228">
        <v>3.35</v>
      </c>
      <c r="AI97" s="228">
        <v>-1</v>
      </c>
      <c r="AJ97" s="229">
        <v>3.8E-3</v>
      </c>
      <c r="AK97" s="228">
        <v>5.3</v>
      </c>
      <c r="AL97" s="228">
        <v>6.85</v>
      </c>
      <c r="AM97" s="228">
        <v>-1.55</v>
      </c>
      <c r="AN97" s="229">
        <v>8.6E-3</v>
      </c>
      <c r="AO97" s="228">
        <v>614.38</v>
      </c>
      <c r="AP97" s="228">
        <v>617.4</v>
      </c>
      <c r="AQ97" s="228">
        <v>0</v>
      </c>
      <c r="AR97" s="230">
        <v>3539050</v>
      </c>
      <c r="AS97" s="230">
        <v>8423050</v>
      </c>
      <c r="AT97" s="230">
        <v>-4884000</v>
      </c>
      <c r="AU97" s="229">
        <v>-0.57979999999999998</v>
      </c>
      <c r="AV97" s="230">
        <v>1641875</v>
      </c>
      <c r="AW97" s="230">
        <v>4277200</v>
      </c>
      <c r="AX97" s="230">
        <v>-2635325</v>
      </c>
      <c r="AY97" s="229">
        <v>-0.61609999999999998</v>
      </c>
      <c r="AZ97" s="230">
        <v>1878675</v>
      </c>
      <c r="BA97" s="230">
        <v>4135675</v>
      </c>
      <c r="BB97" s="230">
        <v>-2257000</v>
      </c>
      <c r="BC97" s="229">
        <v>-0.54569999999999996</v>
      </c>
      <c r="BD97" s="230">
        <v>18500</v>
      </c>
      <c r="BE97" s="230">
        <v>10175</v>
      </c>
      <c r="BF97" s="230">
        <v>8325</v>
      </c>
      <c r="BG97" s="229">
        <v>0.81820000000000004</v>
      </c>
      <c r="BH97" s="230">
        <v>2789800</v>
      </c>
      <c r="BI97" s="230">
        <v>3300400</v>
      </c>
      <c r="BJ97" s="230">
        <v>-510600</v>
      </c>
      <c r="BK97" s="229">
        <v>-0.1547</v>
      </c>
      <c r="BL97" s="230">
        <v>1266325</v>
      </c>
      <c r="BM97" s="230">
        <v>1255225</v>
      </c>
      <c r="BN97" s="230">
        <v>11100</v>
      </c>
      <c r="BO97" s="229">
        <v>8.8000000000000005E-3</v>
      </c>
      <c r="BP97" s="230">
        <v>7595175</v>
      </c>
      <c r="BQ97" s="230">
        <v>12978675</v>
      </c>
      <c r="BR97" s="230">
        <v>-5383500</v>
      </c>
      <c r="BS97" s="229">
        <v>-0.4148</v>
      </c>
      <c r="BT97" s="230">
        <v>469493</v>
      </c>
      <c r="BU97" s="230">
        <v>589128</v>
      </c>
      <c r="BV97" s="230">
        <v>-119635</v>
      </c>
      <c r="BW97" s="229">
        <v>-0.2031</v>
      </c>
      <c r="BX97" s="230">
        <v>13505925</v>
      </c>
      <c r="BY97" s="230">
        <v>14798150</v>
      </c>
      <c r="BZ97" s="230">
        <v>-1292225</v>
      </c>
      <c r="CA97" s="229">
        <v>-8.7300000000000003E-2</v>
      </c>
      <c r="CB97" s="230">
        <v>1265400</v>
      </c>
      <c r="CC97" s="230">
        <v>2055350</v>
      </c>
      <c r="CD97" s="230">
        <v>-789950</v>
      </c>
      <c r="CE97" s="229">
        <v>-0.38429999999999997</v>
      </c>
      <c r="CF97" s="230">
        <v>13399550</v>
      </c>
      <c r="CG97" s="230">
        <v>12644750</v>
      </c>
      <c r="CH97" s="230">
        <v>754800</v>
      </c>
      <c r="CI97" s="229">
        <v>5.9700000000000003E-2</v>
      </c>
      <c r="CJ97" s="230">
        <v>106375</v>
      </c>
      <c r="CK97" s="230">
        <v>98050</v>
      </c>
      <c r="CL97" s="230">
        <v>8325</v>
      </c>
      <c r="CM97" s="229">
        <v>8.4900000000000003E-2</v>
      </c>
      <c r="CN97" s="230">
        <v>1241350</v>
      </c>
      <c r="CO97" s="230">
        <v>7431450</v>
      </c>
      <c r="CP97" s="230">
        <v>-6190100</v>
      </c>
      <c r="CQ97" s="229">
        <v>-0.83299999999999996</v>
      </c>
      <c r="CR97" s="230">
        <v>1036925</v>
      </c>
      <c r="CS97" s="230">
        <v>3056200</v>
      </c>
      <c r="CT97" s="230">
        <v>-2019275</v>
      </c>
      <c r="CU97" s="229">
        <v>-0.66069999999999995</v>
      </c>
      <c r="CV97" s="230">
        <v>15784200</v>
      </c>
      <c r="CW97" s="230">
        <v>25285800</v>
      </c>
      <c r="CX97" s="230">
        <v>-9501600</v>
      </c>
      <c r="CY97" s="229">
        <v>-0.37580000000000002</v>
      </c>
      <c r="CZ97" s="228">
        <v>23.51</v>
      </c>
      <c r="DA97" s="228">
        <v>23.25</v>
      </c>
      <c r="DB97" s="228">
        <v>0.26</v>
      </c>
      <c r="DC97" s="228">
        <v>0.26</v>
      </c>
      <c r="DD97" s="228">
        <v>30.31</v>
      </c>
      <c r="DE97" s="228">
        <v>30.38</v>
      </c>
      <c r="DF97" s="228">
        <v>-6.8</v>
      </c>
      <c r="DG97" s="228">
        <v>-7.0000000000000007E-2</v>
      </c>
      <c r="DH97" s="228">
        <v>23.56</v>
      </c>
      <c r="DI97" s="228">
        <v>23.16</v>
      </c>
      <c r="DJ97" s="228">
        <v>0.4</v>
      </c>
      <c r="DK97" s="228">
        <v>0.4</v>
      </c>
      <c r="DL97" s="228">
        <v>23.36</v>
      </c>
      <c r="DM97" s="228">
        <v>23.48</v>
      </c>
      <c r="DN97" s="228">
        <v>-0.12</v>
      </c>
      <c r="DO97" s="228">
        <v>-0.12</v>
      </c>
      <c r="DP97" s="228">
        <v>0.84</v>
      </c>
      <c r="DQ97" s="228">
        <v>0.41</v>
      </c>
      <c r="DR97" s="228">
        <v>0.43</v>
      </c>
      <c r="DS97" s="229">
        <v>1.0488</v>
      </c>
      <c r="DT97" s="228">
        <v>700</v>
      </c>
      <c r="DU97" s="228">
        <v>620</v>
      </c>
      <c r="DV97" s="228">
        <v>0.45</v>
      </c>
      <c r="DW97" s="228">
        <v>0.38</v>
      </c>
      <c r="DX97" s="228">
        <v>7.0000000000000007E-2</v>
      </c>
      <c r="DY97" s="229">
        <v>0.1842</v>
      </c>
      <c r="DZ97" s="229">
        <v>0.9143</v>
      </c>
      <c r="EA97" s="230">
        <v>12742800</v>
      </c>
      <c r="EB97" s="229">
        <v>4.1999999999999997E-3</v>
      </c>
      <c r="EC97" s="229">
        <v>0.9143</v>
      </c>
      <c r="ED97" s="228">
        <v>3.02</v>
      </c>
      <c r="EE97" s="229">
        <v>4.8999999999999998E-3</v>
      </c>
      <c r="EF97" s="230">
        <v>217879</v>
      </c>
      <c r="EG97" s="230">
        <v>340477</v>
      </c>
      <c r="EH97" s="229">
        <v>-0.36009999999999998</v>
      </c>
      <c r="EI97" s="229">
        <v>0.46410000000000001</v>
      </c>
      <c r="EJ97" s="231">
        <v>18303.59</v>
      </c>
      <c r="EK97" s="231">
        <v>7997.7</v>
      </c>
      <c r="EL97" s="231">
        <v>21801.17</v>
      </c>
      <c r="EM97" s="228">
        <v>0</v>
      </c>
      <c r="EN97" s="231">
        <v>48102.46</v>
      </c>
      <c r="EO97" s="231">
        <v>81613.22</v>
      </c>
      <c r="EP97" s="231">
        <v>-33510.76</v>
      </c>
      <c r="EQ97" s="229">
        <v>-0.41060000000000002</v>
      </c>
      <c r="ER97" s="231">
        <v>8138</v>
      </c>
      <c r="ES97" s="231">
        <v>6374</v>
      </c>
      <c r="ET97" s="231">
        <v>83510</v>
      </c>
      <c r="EU97" s="231">
        <v>78039794</v>
      </c>
      <c r="EV97" s="231">
        <v>98022</v>
      </c>
      <c r="EW97" s="231">
        <v>161604</v>
      </c>
      <c r="EX97" s="231">
        <v>-63582</v>
      </c>
      <c r="EY97" s="229">
        <v>-0.39340000000000003</v>
      </c>
      <c r="EZ97" s="229">
        <v>0.20230000000000001</v>
      </c>
      <c r="FA97" s="227" t="s">
        <v>568</v>
      </c>
      <c r="FB97" s="161">
        <f t="shared" si="1"/>
        <v>12240525</v>
      </c>
    </row>
    <row r="98" spans="1:158" ht="17.25" thickBot="1" x14ac:dyDescent="0.3">
      <c r="A98" s="226">
        <v>45869</v>
      </c>
      <c r="B98" s="227" t="s">
        <v>188</v>
      </c>
      <c r="C98" s="227" t="s">
        <v>234</v>
      </c>
      <c r="D98" s="228">
        <v>71475</v>
      </c>
      <c r="E98" s="228">
        <v>6.93</v>
      </c>
      <c r="F98" s="228">
        <v>7.05</v>
      </c>
      <c r="G98" s="228">
        <v>-0.12</v>
      </c>
      <c r="H98" s="229">
        <v>-1.7000000000000001E-2</v>
      </c>
      <c r="I98" s="228">
        <v>6.91</v>
      </c>
      <c r="J98" s="228">
        <v>7</v>
      </c>
      <c r="K98" s="228">
        <v>-0.09</v>
      </c>
      <c r="L98" s="229">
        <v>-1.29E-2</v>
      </c>
      <c r="M98" s="228">
        <v>6.89</v>
      </c>
      <c r="N98" s="228">
        <v>7.01</v>
      </c>
      <c r="O98" s="228">
        <v>-0.12</v>
      </c>
      <c r="P98" s="229">
        <v>-1.7100000000000001E-2</v>
      </c>
      <c r="Q98" s="228">
        <v>6.93</v>
      </c>
      <c r="R98" s="228">
        <v>7.05</v>
      </c>
      <c r="S98" s="228">
        <v>-0.12</v>
      </c>
      <c r="T98" s="229">
        <v>-1.7000000000000001E-2</v>
      </c>
      <c r="U98" s="228">
        <v>6.98</v>
      </c>
      <c r="V98" s="228">
        <v>7.09</v>
      </c>
      <c r="W98" s="228">
        <v>-0.11</v>
      </c>
      <c r="X98" s="229">
        <v>-1.55E-2</v>
      </c>
      <c r="Y98" s="228">
        <v>0.02</v>
      </c>
      <c r="Z98" s="228">
        <v>0.01</v>
      </c>
      <c r="AA98" s="228">
        <v>0.01</v>
      </c>
      <c r="AB98" s="229">
        <v>2.8999999999999998E-3</v>
      </c>
      <c r="AC98" s="228">
        <v>-0.02</v>
      </c>
      <c r="AD98" s="228">
        <v>0.01</v>
      </c>
      <c r="AE98" s="228">
        <v>-0.03</v>
      </c>
      <c r="AF98" s="229">
        <v>-2.8999999999999998E-3</v>
      </c>
      <c r="AG98" s="228">
        <v>0.02</v>
      </c>
      <c r="AH98" s="228">
        <v>0.05</v>
      </c>
      <c r="AI98" s="228">
        <v>-0.03</v>
      </c>
      <c r="AJ98" s="229">
        <v>2.8999999999999998E-3</v>
      </c>
      <c r="AK98" s="228">
        <v>7.0000000000000007E-2</v>
      </c>
      <c r="AL98" s="228">
        <v>0.09</v>
      </c>
      <c r="AM98" s="228">
        <v>-0.02</v>
      </c>
      <c r="AN98" s="229">
        <v>1.01E-2</v>
      </c>
      <c r="AO98" s="228">
        <v>6.94</v>
      </c>
      <c r="AP98" s="228">
        <v>6.98</v>
      </c>
      <c r="AQ98" s="228">
        <v>0</v>
      </c>
      <c r="AR98" s="230">
        <v>2188135650</v>
      </c>
      <c r="AS98" s="230">
        <v>3103587450</v>
      </c>
      <c r="AT98" s="230">
        <v>-915451800</v>
      </c>
      <c r="AU98" s="229">
        <v>-0.29499999999999998</v>
      </c>
      <c r="AV98" s="230">
        <v>1009870275</v>
      </c>
      <c r="AW98" s="230">
        <v>1484821650</v>
      </c>
      <c r="AX98" s="230">
        <v>-474951375</v>
      </c>
      <c r="AY98" s="229">
        <v>-0.31990000000000002</v>
      </c>
      <c r="AZ98" s="230">
        <v>1119298500</v>
      </c>
      <c r="BA98" s="230">
        <v>1580955525</v>
      </c>
      <c r="BB98" s="230">
        <v>-461657025</v>
      </c>
      <c r="BC98" s="229">
        <v>-0.29199999999999998</v>
      </c>
      <c r="BD98" s="230">
        <v>58966875</v>
      </c>
      <c r="BE98" s="230">
        <v>37810275</v>
      </c>
      <c r="BF98" s="230">
        <v>21156600</v>
      </c>
      <c r="BG98" s="229">
        <v>0.5595</v>
      </c>
      <c r="BH98" s="230">
        <v>247160550</v>
      </c>
      <c r="BI98" s="230">
        <v>486530325</v>
      </c>
      <c r="BJ98" s="230">
        <v>-239369775</v>
      </c>
      <c r="BK98" s="229">
        <v>-0.49199999999999999</v>
      </c>
      <c r="BL98" s="230">
        <v>427420500</v>
      </c>
      <c r="BM98" s="230">
        <v>251734950</v>
      </c>
      <c r="BN98" s="230">
        <v>175685550</v>
      </c>
      <c r="BO98" s="229">
        <v>0.69789999999999996</v>
      </c>
      <c r="BP98" s="230">
        <v>2862716700</v>
      </c>
      <c r="BQ98" s="230">
        <v>3841852725</v>
      </c>
      <c r="BR98" s="230">
        <v>-979136025</v>
      </c>
      <c r="BS98" s="229">
        <v>-0.25490000000000002</v>
      </c>
      <c r="BT98" s="230">
        <v>398270898</v>
      </c>
      <c r="BU98" s="230">
        <v>344803456</v>
      </c>
      <c r="BV98" s="230">
        <v>53467442</v>
      </c>
      <c r="BW98" s="229">
        <v>0.15509999999999999</v>
      </c>
      <c r="BX98" s="230">
        <v>5329033050</v>
      </c>
      <c r="BY98" s="230">
        <v>5495140950</v>
      </c>
      <c r="BZ98" s="230">
        <v>-166107900</v>
      </c>
      <c r="CA98" s="229">
        <v>-3.0200000000000001E-2</v>
      </c>
      <c r="CB98" s="230">
        <v>137517900</v>
      </c>
      <c r="CC98" s="230">
        <v>794802000</v>
      </c>
      <c r="CD98" s="230">
        <v>-657284100</v>
      </c>
      <c r="CE98" s="229">
        <v>-0.82699999999999996</v>
      </c>
      <c r="CF98" s="230">
        <v>5164640550</v>
      </c>
      <c r="CG98" s="230">
        <v>4569539700</v>
      </c>
      <c r="CH98" s="230">
        <v>595100850</v>
      </c>
      <c r="CI98" s="229">
        <v>0.13020000000000001</v>
      </c>
      <c r="CJ98" s="230">
        <v>164392500</v>
      </c>
      <c r="CK98" s="230">
        <v>130799250</v>
      </c>
      <c r="CL98" s="230">
        <v>33593250</v>
      </c>
      <c r="CM98" s="229">
        <v>0.25679999999999997</v>
      </c>
      <c r="CN98" s="230">
        <v>568941000</v>
      </c>
      <c r="CO98" s="230">
        <v>1572807375</v>
      </c>
      <c r="CP98" s="230">
        <v>-1003866375</v>
      </c>
      <c r="CQ98" s="229">
        <v>-0.63829999999999998</v>
      </c>
      <c r="CR98" s="230">
        <v>483385425</v>
      </c>
      <c r="CS98" s="230">
        <v>909447900</v>
      </c>
      <c r="CT98" s="230">
        <v>-426062475</v>
      </c>
      <c r="CU98" s="229">
        <v>-0.46850000000000003</v>
      </c>
      <c r="CV98" s="230">
        <v>6381359475</v>
      </c>
      <c r="CW98" s="230">
        <v>7977396225</v>
      </c>
      <c r="CX98" s="230">
        <v>-1596036750</v>
      </c>
      <c r="CY98" s="229">
        <v>-0.2001</v>
      </c>
      <c r="CZ98" s="228">
        <v>56.94</v>
      </c>
      <c r="DA98" s="228">
        <v>55.11</v>
      </c>
      <c r="DB98" s="228">
        <v>1.83</v>
      </c>
      <c r="DC98" s="228">
        <v>1.83</v>
      </c>
      <c r="DD98" s="228">
        <v>66.709999999999994</v>
      </c>
      <c r="DE98" s="228">
        <v>66.83</v>
      </c>
      <c r="DF98" s="228">
        <v>-9.77</v>
      </c>
      <c r="DG98" s="228">
        <v>-0.12</v>
      </c>
      <c r="DH98" s="228">
        <v>58.26</v>
      </c>
      <c r="DI98" s="228">
        <v>58.48</v>
      </c>
      <c r="DJ98" s="228">
        <v>-0.22</v>
      </c>
      <c r="DK98" s="228">
        <v>-0.22</v>
      </c>
      <c r="DL98" s="228">
        <v>54.41</v>
      </c>
      <c r="DM98" s="228">
        <v>49.16</v>
      </c>
      <c r="DN98" s="228">
        <v>5.25</v>
      </c>
      <c r="DO98" s="228">
        <v>5.25</v>
      </c>
      <c r="DP98" s="228">
        <v>0.85</v>
      </c>
      <c r="DQ98" s="228">
        <v>0.57999999999999996</v>
      </c>
      <c r="DR98" s="228">
        <v>0.27</v>
      </c>
      <c r="DS98" s="229">
        <v>0.46550000000000002</v>
      </c>
      <c r="DT98" s="228">
        <v>8</v>
      </c>
      <c r="DU98" s="228">
        <v>6</v>
      </c>
      <c r="DV98" s="228">
        <v>1.73</v>
      </c>
      <c r="DW98" s="228">
        <v>0.52</v>
      </c>
      <c r="DX98" s="228">
        <v>1.21</v>
      </c>
      <c r="DY98" s="229">
        <v>2.3269000000000002</v>
      </c>
      <c r="DZ98" s="229">
        <v>0.9748</v>
      </c>
      <c r="EA98" s="230">
        <v>4700338950</v>
      </c>
      <c r="EB98" s="229">
        <v>5.7999999999999996E-3</v>
      </c>
      <c r="EC98" s="229">
        <v>0.9748</v>
      </c>
      <c r="ED98" s="228">
        <v>0.04</v>
      </c>
      <c r="EE98" s="229">
        <v>5.7999999999999996E-3</v>
      </c>
      <c r="EF98" s="230">
        <v>93435643</v>
      </c>
      <c r="EG98" s="230">
        <v>94733561</v>
      </c>
      <c r="EH98" s="229">
        <v>-1.37E-2</v>
      </c>
      <c r="EI98" s="229">
        <v>0.2346</v>
      </c>
      <c r="EJ98" s="231">
        <v>18722.71</v>
      </c>
      <c r="EK98" s="231">
        <v>32924.92</v>
      </c>
      <c r="EL98" s="231">
        <v>152300.1</v>
      </c>
      <c r="EM98" s="228">
        <v>0</v>
      </c>
      <c r="EN98" s="231">
        <v>203947.73</v>
      </c>
      <c r="EO98" s="231">
        <v>277407.28000000003</v>
      </c>
      <c r="EP98" s="231">
        <v>-73459.55</v>
      </c>
      <c r="EQ98" s="229">
        <v>-0.26479999999999998</v>
      </c>
      <c r="ER98" s="231">
        <v>47982</v>
      </c>
      <c r="ES98" s="231">
        <v>33853</v>
      </c>
      <c r="ET98" s="231">
        <v>369384</v>
      </c>
      <c r="EU98" s="231">
        <v>16128051291</v>
      </c>
      <c r="EV98" s="231">
        <v>451219</v>
      </c>
      <c r="EW98" s="231">
        <v>581372</v>
      </c>
      <c r="EX98" s="231">
        <v>-130153</v>
      </c>
      <c r="EY98" s="229">
        <v>-0.22389999999999999</v>
      </c>
      <c r="EZ98" s="229">
        <v>0.3957</v>
      </c>
      <c r="FA98" s="227" t="s">
        <v>568</v>
      </c>
      <c r="FB98" s="161">
        <f t="shared" si="1"/>
        <v>5191515150</v>
      </c>
    </row>
    <row r="99" spans="1:158" ht="17.25" thickBot="1" x14ac:dyDescent="0.3">
      <c r="A99" s="226">
        <v>45869</v>
      </c>
      <c r="B99" s="227" t="s">
        <v>172</v>
      </c>
      <c r="C99" s="227" t="s">
        <v>235</v>
      </c>
      <c r="D99" s="228">
        <v>9275</v>
      </c>
      <c r="E99" s="228">
        <v>69.150000000000006</v>
      </c>
      <c r="F99" s="228">
        <v>69.67</v>
      </c>
      <c r="G99" s="228">
        <v>-0.52</v>
      </c>
      <c r="H99" s="229">
        <v>-7.4999999999999997E-3</v>
      </c>
      <c r="I99" s="228">
        <v>68.760000000000005</v>
      </c>
      <c r="J99" s="228">
        <v>69.239999999999995</v>
      </c>
      <c r="K99" s="228">
        <v>-0.48</v>
      </c>
      <c r="L99" s="229">
        <v>-6.8999999999999999E-3</v>
      </c>
      <c r="M99" s="228">
        <v>68.81</v>
      </c>
      <c r="N99" s="228">
        <v>69.31</v>
      </c>
      <c r="O99" s="228">
        <v>-0.5</v>
      </c>
      <c r="P99" s="229">
        <v>-7.1999999999999998E-3</v>
      </c>
      <c r="Q99" s="228">
        <v>69.150000000000006</v>
      </c>
      <c r="R99" s="228">
        <v>69.67</v>
      </c>
      <c r="S99" s="228">
        <v>-0.52</v>
      </c>
      <c r="T99" s="229">
        <v>-7.4999999999999997E-3</v>
      </c>
      <c r="U99" s="228">
        <v>69.58</v>
      </c>
      <c r="V99" s="228">
        <v>70.08</v>
      </c>
      <c r="W99" s="228">
        <v>-0.5</v>
      </c>
      <c r="X99" s="229">
        <v>-7.1000000000000004E-3</v>
      </c>
      <c r="Y99" s="228">
        <v>0.39</v>
      </c>
      <c r="Z99" s="228">
        <v>7.0000000000000007E-2</v>
      </c>
      <c r="AA99" s="228">
        <v>0.32</v>
      </c>
      <c r="AB99" s="229">
        <v>5.7000000000000002E-3</v>
      </c>
      <c r="AC99" s="228">
        <v>0.05</v>
      </c>
      <c r="AD99" s="228">
        <v>7.0000000000000007E-2</v>
      </c>
      <c r="AE99" s="228">
        <v>-0.02</v>
      </c>
      <c r="AF99" s="229">
        <v>6.9999999999999999E-4</v>
      </c>
      <c r="AG99" s="228">
        <v>0.39</v>
      </c>
      <c r="AH99" s="228">
        <v>0.43</v>
      </c>
      <c r="AI99" s="228">
        <v>-0.04</v>
      </c>
      <c r="AJ99" s="229">
        <v>5.7000000000000002E-3</v>
      </c>
      <c r="AK99" s="228">
        <v>0.82</v>
      </c>
      <c r="AL99" s="228">
        <v>0.84</v>
      </c>
      <c r="AM99" s="228">
        <v>-0.02</v>
      </c>
      <c r="AN99" s="229">
        <v>1.1900000000000001E-2</v>
      </c>
      <c r="AO99" s="228">
        <v>69.03</v>
      </c>
      <c r="AP99" s="228">
        <v>69.34</v>
      </c>
      <c r="AQ99" s="228">
        <v>0</v>
      </c>
      <c r="AR99" s="230">
        <v>157461675</v>
      </c>
      <c r="AS99" s="230">
        <v>170251900</v>
      </c>
      <c r="AT99" s="230">
        <v>-12790225</v>
      </c>
      <c r="AU99" s="229">
        <v>-7.51E-2</v>
      </c>
      <c r="AV99" s="230">
        <v>65258900</v>
      </c>
      <c r="AW99" s="230">
        <v>78531425</v>
      </c>
      <c r="AX99" s="230">
        <v>-13272525</v>
      </c>
      <c r="AY99" s="229">
        <v>-0.16900000000000001</v>
      </c>
      <c r="AZ99" s="230">
        <v>88817400</v>
      </c>
      <c r="BA99" s="230">
        <v>87778600</v>
      </c>
      <c r="BB99" s="230">
        <v>1038800</v>
      </c>
      <c r="BC99" s="229">
        <v>1.18E-2</v>
      </c>
      <c r="BD99" s="230">
        <v>3385375</v>
      </c>
      <c r="BE99" s="230">
        <v>3941875</v>
      </c>
      <c r="BF99" s="230">
        <v>-556500</v>
      </c>
      <c r="BG99" s="229">
        <v>-0.14119999999999999</v>
      </c>
      <c r="BH99" s="230">
        <v>55575800</v>
      </c>
      <c r="BI99" s="230">
        <v>75136775</v>
      </c>
      <c r="BJ99" s="230">
        <v>-19560975</v>
      </c>
      <c r="BK99" s="229">
        <v>-0.26029999999999998</v>
      </c>
      <c r="BL99" s="230">
        <v>58571625</v>
      </c>
      <c r="BM99" s="230">
        <v>77075250</v>
      </c>
      <c r="BN99" s="230">
        <v>-18503625</v>
      </c>
      <c r="BO99" s="229">
        <v>-0.24010000000000001</v>
      </c>
      <c r="BP99" s="230">
        <v>271609100</v>
      </c>
      <c r="BQ99" s="230">
        <v>322463925</v>
      </c>
      <c r="BR99" s="230">
        <v>-50854825</v>
      </c>
      <c r="BS99" s="229">
        <v>-0.15770000000000001</v>
      </c>
      <c r="BT99" s="230">
        <v>23917663</v>
      </c>
      <c r="BU99" s="230">
        <v>16747927</v>
      </c>
      <c r="BV99" s="230">
        <v>7169736</v>
      </c>
      <c r="BW99" s="229">
        <v>0.42809999999999998</v>
      </c>
      <c r="BX99" s="230">
        <v>379199100</v>
      </c>
      <c r="BY99" s="230">
        <v>389067700</v>
      </c>
      <c r="BZ99" s="230">
        <v>-9868600</v>
      </c>
      <c r="CA99" s="229">
        <v>-2.5399999999999999E-2</v>
      </c>
      <c r="CB99" s="230">
        <v>14237125</v>
      </c>
      <c r="CC99" s="230">
        <v>57505000</v>
      </c>
      <c r="CD99" s="230">
        <v>-43267875</v>
      </c>
      <c r="CE99" s="229">
        <v>-0.75239999999999996</v>
      </c>
      <c r="CF99" s="230">
        <v>364841400</v>
      </c>
      <c r="CG99" s="230">
        <v>318707550</v>
      </c>
      <c r="CH99" s="230">
        <v>46133850</v>
      </c>
      <c r="CI99" s="229">
        <v>0.14480000000000001</v>
      </c>
      <c r="CJ99" s="230">
        <v>14357700</v>
      </c>
      <c r="CK99" s="230">
        <v>12855150</v>
      </c>
      <c r="CL99" s="230">
        <v>1502550</v>
      </c>
      <c r="CM99" s="229">
        <v>0.1169</v>
      </c>
      <c r="CN99" s="230">
        <v>60176200</v>
      </c>
      <c r="CO99" s="230">
        <v>162739150</v>
      </c>
      <c r="CP99" s="230">
        <v>-102562950</v>
      </c>
      <c r="CQ99" s="229">
        <v>-0.63019999999999998</v>
      </c>
      <c r="CR99" s="230">
        <v>44566375</v>
      </c>
      <c r="CS99" s="230">
        <v>91590625</v>
      </c>
      <c r="CT99" s="230">
        <v>-47024250</v>
      </c>
      <c r="CU99" s="229">
        <v>-0.51339999999999997</v>
      </c>
      <c r="CV99" s="230">
        <v>483941675</v>
      </c>
      <c r="CW99" s="230">
        <v>643397475</v>
      </c>
      <c r="CX99" s="230">
        <v>-159455800</v>
      </c>
      <c r="CY99" s="229">
        <v>-0.24779999999999999</v>
      </c>
      <c r="CZ99" s="228">
        <v>26.64</v>
      </c>
      <c r="DA99" s="228">
        <v>27.67</v>
      </c>
      <c r="DB99" s="228">
        <v>-1.03</v>
      </c>
      <c r="DC99" s="228">
        <v>-1.03</v>
      </c>
      <c r="DD99" s="228">
        <v>36.229999999999997</v>
      </c>
      <c r="DE99" s="228">
        <v>36.299999999999997</v>
      </c>
      <c r="DF99" s="228">
        <v>-9.59</v>
      </c>
      <c r="DG99" s="228">
        <v>-7.0000000000000007E-2</v>
      </c>
      <c r="DH99" s="228">
        <v>27.07</v>
      </c>
      <c r="DI99" s="228">
        <v>28.34</v>
      </c>
      <c r="DJ99" s="228">
        <v>-1.27</v>
      </c>
      <c r="DK99" s="228">
        <v>-1.27</v>
      </c>
      <c r="DL99" s="228">
        <v>26.07</v>
      </c>
      <c r="DM99" s="228">
        <v>26.76</v>
      </c>
      <c r="DN99" s="228">
        <v>-0.69</v>
      </c>
      <c r="DO99" s="228">
        <v>-0.69</v>
      </c>
      <c r="DP99" s="228">
        <v>0.74</v>
      </c>
      <c r="DQ99" s="228">
        <v>0.56000000000000005</v>
      </c>
      <c r="DR99" s="228">
        <v>0.18</v>
      </c>
      <c r="DS99" s="229">
        <v>0.32140000000000002</v>
      </c>
      <c r="DT99" s="228">
        <v>80</v>
      </c>
      <c r="DU99" s="228">
        <v>70</v>
      </c>
      <c r="DV99" s="228">
        <v>1.05</v>
      </c>
      <c r="DW99" s="228">
        <v>1.03</v>
      </c>
      <c r="DX99" s="228">
        <v>0.02</v>
      </c>
      <c r="DY99" s="229">
        <v>1.9400000000000001E-2</v>
      </c>
      <c r="DZ99" s="229">
        <v>0.96379999999999999</v>
      </c>
      <c r="EA99" s="230">
        <v>331562700</v>
      </c>
      <c r="EB99" s="229">
        <v>4.8999999999999998E-3</v>
      </c>
      <c r="EC99" s="229">
        <v>0.96379999999999999</v>
      </c>
      <c r="ED99" s="228">
        <v>0.31</v>
      </c>
      <c r="EE99" s="229">
        <v>4.4999999999999997E-3</v>
      </c>
      <c r="EF99" s="230">
        <v>10834742</v>
      </c>
      <c r="EG99" s="230">
        <v>6806660</v>
      </c>
      <c r="EH99" s="229">
        <v>0.59179999999999999</v>
      </c>
      <c r="EI99" s="229">
        <v>0.45300000000000001</v>
      </c>
      <c r="EJ99" s="231">
        <v>40694.14</v>
      </c>
      <c r="EK99" s="231">
        <v>42453.49</v>
      </c>
      <c r="EL99" s="231">
        <v>108997.38</v>
      </c>
      <c r="EM99" s="228">
        <v>0</v>
      </c>
      <c r="EN99" s="231">
        <v>192145.01</v>
      </c>
      <c r="EO99" s="231">
        <v>229991.4</v>
      </c>
      <c r="EP99" s="231">
        <v>-37846.39</v>
      </c>
      <c r="EQ99" s="229">
        <v>-0.1646</v>
      </c>
      <c r="ER99" s="231">
        <v>45113</v>
      </c>
      <c r="ES99" s="231">
        <v>31200</v>
      </c>
      <c r="ET99" s="231">
        <v>262278</v>
      </c>
      <c r="EU99" s="231">
        <v>1464421396</v>
      </c>
      <c r="EV99" s="231">
        <v>338591</v>
      </c>
      <c r="EW99" s="231">
        <v>459982</v>
      </c>
      <c r="EX99" s="231">
        <v>-121391</v>
      </c>
      <c r="EY99" s="229">
        <v>-0.26390000000000002</v>
      </c>
      <c r="EZ99" s="229">
        <v>0.33050000000000002</v>
      </c>
      <c r="FA99" s="227" t="s">
        <v>568</v>
      </c>
      <c r="FB99" s="161">
        <f t="shared" si="1"/>
        <v>364961975</v>
      </c>
    </row>
    <row r="100" spans="1:158" ht="17.25" thickBot="1" x14ac:dyDescent="0.3">
      <c r="A100" s="226">
        <v>45869</v>
      </c>
      <c r="B100" s="227" t="s">
        <v>161</v>
      </c>
      <c r="C100" s="227" t="s">
        <v>514</v>
      </c>
      <c r="D100" s="228">
        <v>3750</v>
      </c>
      <c r="E100" s="228">
        <v>136.07</v>
      </c>
      <c r="F100" s="228">
        <v>136.59</v>
      </c>
      <c r="G100" s="228">
        <v>-0.52</v>
      </c>
      <c r="H100" s="229">
        <v>-3.8E-3</v>
      </c>
      <c r="I100" s="228">
        <v>135.30000000000001</v>
      </c>
      <c r="J100" s="228">
        <v>136.05000000000001</v>
      </c>
      <c r="K100" s="228">
        <v>-0.75</v>
      </c>
      <c r="L100" s="229">
        <v>-5.4999999999999997E-3</v>
      </c>
      <c r="M100" s="228">
        <v>135.33000000000001</v>
      </c>
      <c r="N100" s="228">
        <v>135.88999999999999</v>
      </c>
      <c r="O100" s="228">
        <v>-0.56000000000000005</v>
      </c>
      <c r="P100" s="229">
        <v>-4.1000000000000003E-3</v>
      </c>
      <c r="Q100" s="228">
        <v>136.07</v>
      </c>
      <c r="R100" s="228">
        <v>136.59</v>
      </c>
      <c r="S100" s="228">
        <v>-0.52</v>
      </c>
      <c r="T100" s="229">
        <v>-3.8E-3</v>
      </c>
      <c r="U100" s="228">
        <v>136.66999999999999</v>
      </c>
      <c r="V100" s="228">
        <v>137.05000000000001</v>
      </c>
      <c r="W100" s="228">
        <v>-0.38</v>
      </c>
      <c r="X100" s="229">
        <v>-2.8E-3</v>
      </c>
      <c r="Y100" s="228">
        <v>0.77</v>
      </c>
      <c r="Z100" s="228">
        <v>-0.16</v>
      </c>
      <c r="AA100" s="228">
        <v>0.93</v>
      </c>
      <c r="AB100" s="229">
        <v>5.7000000000000002E-3</v>
      </c>
      <c r="AC100" s="228">
        <v>0.03</v>
      </c>
      <c r="AD100" s="228">
        <v>-0.16</v>
      </c>
      <c r="AE100" s="228">
        <v>0.19</v>
      </c>
      <c r="AF100" s="229">
        <v>2.0000000000000001E-4</v>
      </c>
      <c r="AG100" s="228">
        <v>0.77</v>
      </c>
      <c r="AH100" s="228">
        <v>0.54</v>
      </c>
      <c r="AI100" s="228">
        <v>0.23</v>
      </c>
      <c r="AJ100" s="229">
        <v>5.7000000000000002E-3</v>
      </c>
      <c r="AK100" s="228">
        <v>1.37</v>
      </c>
      <c r="AL100" s="228">
        <v>1</v>
      </c>
      <c r="AM100" s="228">
        <v>0.37</v>
      </c>
      <c r="AN100" s="229">
        <v>1.01E-2</v>
      </c>
      <c r="AO100" s="228">
        <v>137.24</v>
      </c>
      <c r="AP100" s="228">
        <v>137.93</v>
      </c>
      <c r="AQ100" s="228">
        <v>0</v>
      </c>
      <c r="AR100" s="230">
        <v>46155000</v>
      </c>
      <c r="AS100" s="230">
        <v>38441250</v>
      </c>
      <c r="AT100" s="230">
        <v>7713750</v>
      </c>
      <c r="AU100" s="229">
        <v>0.20069999999999999</v>
      </c>
      <c r="AV100" s="230">
        <v>18873750</v>
      </c>
      <c r="AW100" s="230">
        <v>16893750</v>
      </c>
      <c r="AX100" s="230">
        <v>1980000</v>
      </c>
      <c r="AY100" s="229">
        <v>0.1172</v>
      </c>
      <c r="AZ100" s="230">
        <v>26201250</v>
      </c>
      <c r="BA100" s="230">
        <v>20722500</v>
      </c>
      <c r="BB100" s="230">
        <v>5478750</v>
      </c>
      <c r="BC100" s="229">
        <v>0.26440000000000002</v>
      </c>
      <c r="BD100" s="230">
        <v>1080000</v>
      </c>
      <c r="BE100" s="230">
        <v>825000</v>
      </c>
      <c r="BF100" s="230">
        <v>255000</v>
      </c>
      <c r="BG100" s="229">
        <v>0.30909999999999999</v>
      </c>
      <c r="BH100" s="230">
        <v>56313750</v>
      </c>
      <c r="BI100" s="230">
        <v>66993750</v>
      </c>
      <c r="BJ100" s="230">
        <v>-10680000</v>
      </c>
      <c r="BK100" s="229">
        <v>-0.15939999999999999</v>
      </c>
      <c r="BL100" s="230">
        <v>30585000</v>
      </c>
      <c r="BM100" s="230">
        <v>40166250</v>
      </c>
      <c r="BN100" s="230">
        <v>-9581250</v>
      </c>
      <c r="BO100" s="229">
        <v>-0.23849999999999999</v>
      </c>
      <c r="BP100" s="230">
        <v>133053750</v>
      </c>
      <c r="BQ100" s="230">
        <v>145601250</v>
      </c>
      <c r="BR100" s="230">
        <v>-12547500</v>
      </c>
      <c r="BS100" s="229">
        <v>-8.6199999999999999E-2</v>
      </c>
      <c r="BT100" s="230">
        <v>29966669</v>
      </c>
      <c r="BU100" s="230">
        <v>41613821</v>
      </c>
      <c r="BV100" s="230">
        <v>-11647152</v>
      </c>
      <c r="BW100" s="229">
        <v>-0.27989999999999998</v>
      </c>
      <c r="BX100" s="230">
        <v>34335000</v>
      </c>
      <c r="BY100" s="230">
        <v>41670000</v>
      </c>
      <c r="BZ100" s="230">
        <v>-7335000</v>
      </c>
      <c r="CA100" s="229">
        <v>-0.17599999999999999</v>
      </c>
      <c r="CB100" s="230">
        <v>10173750</v>
      </c>
      <c r="CC100" s="230">
        <v>16931250</v>
      </c>
      <c r="CD100" s="230">
        <v>-6757500</v>
      </c>
      <c r="CE100" s="229">
        <v>-0.39910000000000001</v>
      </c>
      <c r="CF100" s="230">
        <v>32141250</v>
      </c>
      <c r="CG100" s="230">
        <v>22833750</v>
      </c>
      <c r="CH100" s="230">
        <v>9307500</v>
      </c>
      <c r="CI100" s="229">
        <v>0.40760000000000002</v>
      </c>
      <c r="CJ100" s="230">
        <v>2193750</v>
      </c>
      <c r="CK100" s="230">
        <v>1905000</v>
      </c>
      <c r="CL100" s="230">
        <v>288750</v>
      </c>
      <c r="CM100" s="229">
        <v>0.15160000000000001</v>
      </c>
      <c r="CN100" s="230">
        <v>24776250</v>
      </c>
      <c r="CO100" s="230">
        <v>56752500</v>
      </c>
      <c r="CP100" s="230">
        <v>-31976250</v>
      </c>
      <c r="CQ100" s="229">
        <v>-0.56340000000000001</v>
      </c>
      <c r="CR100" s="230">
        <v>20096250</v>
      </c>
      <c r="CS100" s="230">
        <v>67245000</v>
      </c>
      <c r="CT100" s="230">
        <v>-47148750</v>
      </c>
      <c r="CU100" s="229">
        <v>-0.70109999999999995</v>
      </c>
      <c r="CV100" s="230">
        <v>79207500</v>
      </c>
      <c r="CW100" s="230">
        <v>165667500</v>
      </c>
      <c r="CX100" s="230">
        <v>-86460000</v>
      </c>
      <c r="CY100" s="229">
        <v>-0.52190000000000003</v>
      </c>
      <c r="CZ100" s="228">
        <v>51.18</v>
      </c>
      <c r="DA100" s="228">
        <v>50.61</v>
      </c>
      <c r="DB100" s="228">
        <v>0.56999999999999995</v>
      </c>
      <c r="DC100" s="228">
        <v>0.56999999999999995</v>
      </c>
      <c r="DD100" s="228">
        <v>63.88</v>
      </c>
      <c r="DE100" s="228">
        <v>64.03</v>
      </c>
      <c r="DF100" s="228">
        <v>-12.7</v>
      </c>
      <c r="DG100" s="228">
        <v>-0.15</v>
      </c>
      <c r="DH100" s="228">
        <v>51.64</v>
      </c>
      <c r="DI100" s="228">
        <v>50.55</v>
      </c>
      <c r="DJ100" s="228">
        <v>1.0900000000000001</v>
      </c>
      <c r="DK100" s="228">
        <v>1.0900000000000001</v>
      </c>
      <c r="DL100" s="228">
        <v>50.17</v>
      </c>
      <c r="DM100" s="228">
        <v>50.73</v>
      </c>
      <c r="DN100" s="228">
        <v>-0.56000000000000005</v>
      </c>
      <c r="DO100" s="228">
        <v>-0.56000000000000005</v>
      </c>
      <c r="DP100" s="228">
        <v>0.81</v>
      </c>
      <c r="DQ100" s="228">
        <v>1.18</v>
      </c>
      <c r="DR100" s="228">
        <v>-0.37</v>
      </c>
      <c r="DS100" s="229">
        <v>-0.31359999999999999</v>
      </c>
      <c r="DT100" s="228">
        <v>210</v>
      </c>
      <c r="DU100" s="228">
        <v>177.5</v>
      </c>
      <c r="DV100" s="228">
        <v>0.54</v>
      </c>
      <c r="DW100" s="228">
        <v>0.6</v>
      </c>
      <c r="DX100" s="228">
        <v>-0.06</v>
      </c>
      <c r="DY100" s="229">
        <v>-0.1</v>
      </c>
      <c r="DZ100" s="229">
        <v>0.77139999999999997</v>
      </c>
      <c r="EA100" s="230">
        <v>24738750</v>
      </c>
      <c r="EB100" s="229">
        <v>5.4999999999999997E-3</v>
      </c>
      <c r="EC100" s="229">
        <v>0.77139999999999997</v>
      </c>
      <c r="ED100" s="228">
        <v>0.69</v>
      </c>
      <c r="EE100" s="229">
        <v>5.0000000000000001E-3</v>
      </c>
      <c r="EF100" s="230">
        <v>10469073</v>
      </c>
      <c r="EG100" s="230">
        <v>14393561</v>
      </c>
      <c r="EH100" s="229">
        <v>-0.2727</v>
      </c>
      <c r="EI100" s="229">
        <v>0.34939999999999999</v>
      </c>
      <c r="EJ100" s="231">
        <v>85368.63</v>
      </c>
      <c r="EK100" s="231">
        <v>48400.09</v>
      </c>
      <c r="EL100" s="231">
        <v>63537.64</v>
      </c>
      <c r="EM100" s="228">
        <v>0</v>
      </c>
      <c r="EN100" s="231">
        <v>197306.36</v>
      </c>
      <c r="EO100" s="231">
        <v>211708.54</v>
      </c>
      <c r="EP100" s="231">
        <v>-14402.18</v>
      </c>
      <c r="EQ100" s="229">
        <v>-6.8000000000000005E-2</v>
      </c>
      <c r="ER100" s="231">
        <v>39739</v>
      </c>
      <c r="ES100" s="231">
        <v>28977</v>
      </c>
      <c r="ET100" s="231">
        <v>46733</v>
      </c>
      <c r="EU100" s="231">
        <v>177849950</v>
      </c>
      <c r="EV100" s="231">
        <v>115449</v>
      </c>
      <c r="EW100" s="231">
        <v>270366</v>
      </c>
      <c r="EX100" s="231">
        <v>-154917</v>
      </c>
      <c r="EY100" s="229">
        <v>-0.57299999999999995</v>
      </c>
      <c r="EZ100" s="229">
        <v>0.44540000000000002</v>
      </c>
      <c r="FA100" s="227" t="s">
        <v>568</v>
      </c>
      <c r="FB100" s="161">
        <f t="shared" si="1"/>
        <v>24161250</v>
      </c>
    </row>
    <row r="101" spans="1:158" ht="17.25" thickBot="1" x14ac:dyDescent="0.3">
      <c r="A101" s="226">
        <v>45869</v>
      </c>
      <c r="B101" s="227" t="s">
        <v>193</v>
      </c>
      <c r="C101" s="227" t="s">
        <v>236</v>
      </c>
      <c r="D101" s="228">
        <v>2750</v>
      </c>
      <c r="E101" s="228">
        <v>203.9</v>
      </c>
      <c r="F101" s="228">
        <v>203.05</v>
      </c>
      <c r="G101" s="228">
        <v>0.85</v>
      </c>
      <c r="H101" s="229">
        <v>4.1999999999999997E-3</v>
      </c>
      <c r="I101" s="228">
        <v>205.05</v>
      </c>
      <c r="J101" s="228">
        <v>203.17</v>
      </c>
      <c r="K101" s="228">
        <v>1.88</v>
      </c>
      <c r="L101" s="229">
        <v>9.2999999999999992E-3</v>
      </c>
      <c r="M101" s="228">
        <v>204.73</v>
      </c>
      <c r="N101" s="228">
        <v>203.09</v>
      </c>
      <c r="O101" s="228">
        <v>1.64</v>
      </c>
      <c r="P101" s="229">
        <v>8.0999999999999996E-3</v>
      </c>
      <c r="Q101" s="228">
        <v>203.9</v>
      </c>
      <c r="R101" s="228">
        <v>203.05</v>
      </c>
      <c r="S101" s="228">
        <v>0.85</v>
      </c>
      <c r="T101" s="229">
        <v>4.1999999999999997E-3</v>
      </c>
      <c r="U101" s="228">
        <v>203.94</v>
      </c>
      <c r="V101" s="228">
        <v>202.88</v>
      </c>
      <c r="W101" s="228">
        <v>1.06</v>
      </c>
      <c r="X101" s="229">
        <v>5.1999999999999998E-3</v>
      </c>
      <c r="Y101" s="228">
        <v>-1.1499999999999999</v>
      </c>
      <c r="Z101" s="228">
        <v>-0.08</v>
      </c>
      <c r="AA101" s="228">
        <v>-1.07</v>
      </c>
      <c r="AB101" s="229">
        <v>-5.5999999999999999E-3</v>
      </c>
      <c r="AC101" s="228">
        <v>-0.32</v>
      </c>
      <c r="AD101" s="228">
        <v>-0.08</v>
      </c>
      <c r="AE101" s="228">
        <v>-0.24</v>
      </c>
      <c r="AF101" s="229">
        <v>-1.6000000000000001E-3</v>
      </c>
      <c r="AG101" s="228">
        <v>-1.1499999999999999</v>
      </c>
      <c r="AH101" s="228">
        <v>-0.12</v>
      </c>
      <c r="AI101" s="228">
        <v>-1.03</v>
      </c>
      <c r="AJ101" s="229">
        <v>-5.5999999999999999E-3</v>
      </c>
      <c r="AK101" s="228">
        <v>-1.1100000000000001</v>
      </c>
      <c r="AL101" s="228">
        <v>-0.28999999999999998</v>
      </c>
      <c r="AM101" s="228">
        <v>-0.82</v>
      </c>
      <c r="AN101" s="229">
        <v>-5.4000000000000003E-3</v>
      </c>
      <c r="AO101" s="228">
        <v>205.29</v>
      </c>
      <c r="AP101" s="228">
        <v>204.99</v>
      </c>
      <c r="AQ101" s="228">
        <v>0</v>
      </c>
      <c r="AR101" s="230">
        <v>25154250</v>
      </c>
      <c r="AS101" s="230">
        <v>16002250</v>
      </c>
      <c r="AT101" s="230">
        <v>9152000</v>
      </c>
      <c r="AU101" s="229">
        <v>0.57189999999999996</v>
      </c>
      <c r="AV101" s="230">
        <v>9787250</v>
      </c>
      <c r="AW101" s="230">
        <v>7590000</v>
      </c>
      <c r="AX101" s="230">
        <v>2197250</v>
      </c>
      <c r="AY101" s="229">
        <v>0.28949999999999998</v>
      </c>
      <c r="AZ101" s="230">
        <v>14539250</v>
      </c>
      <c r="BA101" s="230">
        <v>8200500</v>
      </c>
      <c r="BB101" s="230">
        <v>6338750</v>
      </c>
      <c r="BC101" s="229">
        <v>0.77300000000000002</v>
      </c>
      <c r="BD101" s="230">
        <v>827750</v>
      </c>
      <c r="BE101" s="230">
        <v>211750</v>
      </c>
      <c r="BF101" s="230">
        <v>616000</v>
      </c>
      <c r="BG101" s="229">
        <v>2.9091</v>
      </c>
      <c r="BH101" s="230">
        <v>26413750</v>
      </c>
      <c r="BI101" s="230">
        <v>17718250</v>
      </c>
      <c r="BJ101" s="230">
        <v>8695500</v>
      </c>
      <c r="BK101" s="229">
        <v>0.49080000000000001</v>
      </c>
      <c r="BL101" s="230">
        <v>13593250</v>
      </c>
      <c r="BM101" s="230">
        <v>12622500</v>
      </c>
      <c r="BN101" s="230">
        <v>970750</v>
      </c>
      <c r="BO101" s="229">
        <v>7.6899999999999996E-2</v>
      </c>
      <c r="BP101" s="230">
        <v>65161250</v>
      </c>
      <c r="BQ101" s="230">
        <v>46343000</v>
      </c>
      <c r="BR101" s="230">
        <v>18818250</v>
      </c>
      <c r="BS101" s="229">
        <v>0.40610000000000002</v>
      </c>
      <c r="BT101" s="230">
        <v>8402414</v>
      </c>
      <c r="BU101" s="230">
        <v>2773826</v>
      </c>
      <c r="BV101" s="230">
        <v>5628588</v>
      </c>
      <c r="BW101" s="229">
        <v>2.0291999999999999</v>
      </c>
      <c r="BX101" s="230">
        <v>14976500</v>
      </c>
      <c r="BY101" s="230">
        <v>20594750</v>
      </c>
      <c r="BZ101" s="230">
        <v>-5618250</v>
      </c>
      <c r="CA101" s="229">
        <v>-0.27279999999999999</v>
      </c>
      <c r="CB101" s="230">
        <v>1190750</v>
      </c>
      <c r="CC101" s="230">
        <v>5469750</v>
      </c>
      <c r="CD101" s="230">
        <v>-4279000</v>
      </c>
      <c r="CE101" s="229">
        <v>-0.7823</v>
      </c>
      <c r="CF101" s="230">
        <v>13596000</v>
      </c>
      <c r="CG101" s="230">
        <v>14212000</v>
      </c>
      <c r="CH101" s="230">
        <v>-616000</v>
      </c>
      <c r="CI101" s="229">
        <v>-4.3299999999999998E-2</v>
      </c>
      <c r="CJ101" s="230">
        <v>1380500</v>
      </c>
      <c r="CK101" s="230">
        <v>913000</v>
      </c>
      <c r="CL101" s="230">
        <v>467500</v>
      </c>
      <c r="CM101" s="229">
        <v>0.51200000000000001</v>
      </c>
      <c r="CN101" s="230">
        <v>6943750</v>
      </c>
      <c r="CO101" s="230">
        <v>16414750</v>
      </c>
      <c r="CP101" s="230">
        <v>-9471000</v>
      </c>
      <c r="CQ101" s="229">
        <v>-0.57699999999999996</v>
      </c>
      <c r="CR101" s="230">
        <v>4303750</v>
      </c>
      <c r="CS101" s="230">
        <v>9534250</v>
      </c>
      <c r="CT101" s="230">
        <v>-5230500</v>
      </c>
      <c r="CU101" s="229">
        <v>-0.54859999999999998</v>
      </c>
      <c r="CV101" s="230">
        <v>26224000</v>
      </c>
      <c r="CW101" s="230">
        <v>46543750</v>
      </c>
      <c r="CX101" s="230">
        <v>-20319750</v>
      </c>
      <c r="CY101" s="229">
        <v>-0.43659999999999999</v>
      </c>
      <c r="CZ101" s="228">
        <v>32.72</v>
      </c>
      <c r="DA101" s="228">
        <v>35.51</v>
      </c>
      <c r="DB101" s="228">
        <v>-2.79</v>
      </c>
      <c r="DC101" s="228">
        <v>-2.79</v>
      </c>
      <c r="DD101" s="228">
        <v>45.41</v>
      </c>
      <c r="DE101" s="228">
        <v>45.51</v>
      </c>
      <c r="DF101" s="228">
        <v>-12.69</v>
      </c>
      <c r="DG101" s="228">
        <v>-0.1</v>
      </c>
      <c r="DH101" s="228">
        <v>32.630000000000003</v>
      </c>
      <c r="DI101" s="228">
        <v>35.15</v>
      </c>
      <c r="DJ101" s="228">
        <v>-2.52</v>
      </c>
      <c r="DK101" s="228">
        <v>-2.52</v>
      </c>
      <c r="DL101" s="228">
        <v>32.93</v>
      </c>
      <c r="DM101" s="228">
        <v>36.07</v>
      </c>
      <c r="DN101" s="228">
        <v>-3.14</v>
      </c>
      <c r="DO101" s="228">
        <v>-3.14</v>
      </c>
      <c r="DP101" s="228">
        <v>0.62</v>
      </c>
      <c r="DQ101" s="228">
        <v>0.57999999999999996</v>
      </c>
      <c r="DR101" s="228">
        <v>0.04</v>
      </c>
      <c r="DS101" s="229">
        <v>6.9000000000000006E-2</v>
      </c>
      <c r="DT101" s="228">
        <v>220</v>
      </c>
      <c r="DU101" s="228">
        <v>200</v>
      </c>
      <c r="DV101" s="228">
        <v>0.51</v>
      </c>
      <c r="DW101" s="228">
        <v>0.71</v>
      </c>
      <c r="DX101" s="228">
        <v>-0.2</v>
      </c>
      <c r="DY101" s="229">
        <v>-0.28170000000000001</v>
      </c>
      <c r="DZ101" s="229">
        <v>0.92630000000000001</v>
      </c>
      <c r="EA101" s="230">
        <v>15125000</v>
      </c>
      <c r="EB101" s="229">
        <v>-4.1000000000000003E-3</v>
      </c>
      <c r="EC101" s="229">
        <v>0.92630000000000001</v>
      </c>
      <c r="ED101" s="228">
        <v>-0.3</v>
      </c>
      <c r="EE101" s="229">
        <v>-1.5E-3</v>
      </c>
      <c r="EF101" s="230">
        <v>2191346</v>
      </c>
      <c r="EG101" s="230">
        <v>910900</v>
      </c>
      <c r="EH101" s="229">
        <v>1.4056999999999999</v>
      </c>
      <c r="EI101" s="229">
        <v>0.26079999999999998</v>
      </c>
      <c r="EJ101" s="231">
        <v>57057.39</v>
      </c>
      <c r="EK101" s="231">
        <v>27987.040000000001</v>
      </c>
      <c r="EL101" s="231">
        <v>51586.87</v>
      </c>
      <c r="EM101" s="228">
        <v>0</v>
      </c>
      <c r="EN101" s="231">
        <v>136631.29999999999</v>
      </c>
      <c r="EO101" s="231">
        <v>96467.82</v>
      </c>
      <c r="EP101" s="231">
        <v>40163.480000000003</v>
      </c>
      <c r="EQ101" s="229">
        <v>0.4163</v>
      </c>
      <c r="ER101" s="231">
        <v>15169</v>
      </c>
      <c r="ES101" s="231">
        <v>8613</v>
      </c>
      <c r="ET101" s="231">
        <v>30538</v>
      </c>
      <c r="EU101" s="231">
        <v>154000160</v>
      </c>
      <c r="EV101" s="231">
        <v>54319</v>
      </c>
      <c r="EW101" s="231">
        <v>97562</v>
      </c>
      <c r="EX101" s="231">
        <v>-43243</v>
      </c>
      <c r="EY101" s="229">
        <v>-0.44319999999999998</v>
      </c>
      <c r="EZ101" s="229">
        <v>0.17030000000000001</v>
      </c>
      <c r="FA101" s="227" t="s">
        <v>556</v>
      </c>
      <c r="FB101" s="161">
        <f t="shared" si="1"/>
        <v>13785750</v>
      </c>
    </row>
    <row r="102" spans="1:158" ht="17.25" thickBot="1" x14ac:dyDescent="0.3">
      <c r="A102" s="226">
        <v>45869</v>
      </c>
      <c r="B102" s="227" t="s">
        <v>175</v>
      </c>
      <c r="C102" s="227" t="s">
        <v>668</v>
      </c>
      <c r="D102" s="228">
        <v>1650</v>
      </c>
      <c r="E102" s="228">
        <v>478.7</v>
      </c>
      <c r="F102" s="228">
        <v>506.25</v>
      </c>
      <c r="G102" s="228">
        <v>-27.55</v>
      </c>
      <c r="H102" s="229">
        <v>-5.4399999999999997E-2</v>
      </c>
      <c r="I102" s="228">
        <v>477.95</v>
      </c>
      <c r="J102" s="228">
        <v>503.85</v>
      </c>
      <c r="K102" s="228">
        <v>-25.9</v>
      </c>
      <c r="L102" s="229">
        <v>-5.1400000000000001E-2</v>
      </c>
      <c r="M102" s="228">
        <v>477.85</v>
      </c>
      <c r="N102" s="228">
        <v>503.7</v>
      </c>
      <c r="O102" s="228">
        <v>-25.85</v>
      </c>
      <c r="P102" s="229">
        <v>-5.1299999999999998E-2</v>
      </c>
      <c r="Q102" s="228">
        <v>478.7</v>
      </c>
      <c r="R102" s="228">
        <v>506.25</v>
      </c>
      <c r="S102" s="228">
        <v>-27.55</v>
      </c>
      <c r="T102" s="229">
        <v>-5.4399999999999997E-2</v>
      </c>
      <c r="U102" s="228">
        <v>482.75</v>
      </c>
      <c r="V102" s="228">
        <v>508</v>
      </c>
      <c r="W102" s="228">
        <v>-25.25</v>
      </c>
      <c r="X102" s="229">
        <v>-4.9700000000000001E-2</v>
      </c>
      <c r="Y102" s="228">
        <v>0.75</v>
      </c>
      <c r="Z102" s="228">
        <v>-0.15</v>
      </c>
      <c r="AA102" s="228">
        <v>0.9</v>
      </c>
      <c r="AB102" s="229">
        <v>1.6000000000000001E-3</v>
      </c>
      <c r="AC102" s="228">
        <v>-0.1</v>
      </c>
      <c r="AD102" s="228">
        <v>-0.15</v>
      </c>
      <c r="AE102" s="228">
        <v>0.05</v>
      </c>
      <c r="AF102" s="229">
        <v>-2.0000000000000001E-4</v>
      </c>
      <c r="AG102" s="228">
        <v>0.75</v>
      </c>
      <c r="AH102" s="228">
        <v>2.4</v>
      </c>
      <c r="AI102" s="228">
        <v>-1.65</v>
      </c>
      <c r="AJ102" s="229">
        <v>1.6000000000000001E-3</v>
      </c>
      <c r="AK102" s="228">
        <v>4.8</v>
      </c>
      <c r="AL102" s="228">
        <v>4.1500000000000004</v>
      </c>
      <c r="AM102" s="228">
        <v>0.65</v>
      </c>
      <c r="AN102" s="229">
        <v>0.01</v>
      </c>
      <c r="AO102" s="228">
        <v>486.01</v>
      </c>
      <c r="AP102" s="228">
        <v>487.54</v>
      </c>
      <c r="AQ102" s="228">
        <v>0</v>
      </c>
      <c r="AR102" s="230">
        <v>14318700</v>
      </c>
      <c r="AS102" s="230">
        <v>10127700</v>
      </c>
      <c r="AT102" s="230">
        <v>4191000</v>
      </c>
      <c r="AU102" s="229">
        <v>0.4138</v>
      </c>
      <c r="AV102" s="230">
        <v>5093550</v>
      </c>
      <c r="AW102" s="230">
        <v>4308150</v>
      </c>
      <c r="AX102" s="230">
        <v>785400</v>
      </c>
      <c r="AY102" s="229">
        <v>0.18229999999999999</v>
      </c>
      <c r="AZ102" s="230">
        <v>9167400</v>
      </c>
      <c r="BA102" s="230">
        <v>5806350</v>
      </c>
      <c r="BB102" s="230">
        <v>3361050</v>
      </c>
      <c r="BC102" s="229">
        <v>0.57889999999999997</v>
      </c>
      <c r="BD102" s="230">
        <v>57750</v>
      </c>
      <c r="BE102" s="230">
        <v>13200</v>
      </c>
      <c r="BF102" s="230">
        <v>44550</v>
      </c>
      <c r="BG102" s="229">
        <v>3.375</v>
      </c>
      <c r="BH102" s="230">
        <v>8367150</v>
      </c>
      <c r="BI102" s="230">
        <v>4811400</v>
      </c>
      <c r="BJ102" s="230">
        <v>3555750</v>
      </c>
      <c r="BK102" s="229">
        <v>0.73899999999999999</v>
      </c>
      <c r="BL102" s="230">
        <v>7425000</v>
      </c>
      <c r="BM102" s="230">
        <v>3448500</v>
      </c>
      <c r="BN102" s="230">
        <v>3976500</v>
      </c>
      <c r="BO102" s="229">
        <v>1.1531</v>
      </c>
      <c r="BP102" s="230">
        <v>30110850</v>
      </c>
      <c r="BQ102" s="230">
        <v>18387600</v>
      </c>
      <c r="BR102" s="230">
        <v>11723250</v>
      </c>
      <c r="BS102" s="229">
        <v>0.63759999999999994</v>
      </c>
      <c r="BT102" s="230">
        <v>3201592</v>
      </c>
      <c r="BU102" s="230">
        <v>963463</v>
      </c>
      <c r="BV102" s="230">
        <v>2238129</v>
      </c>
      <c r="BW102" s="229">
        <v>2.323</v>
      </c>
      <c r="BX102" s="230">
        <v>13313850</v>
      </c>
      <c r="BY102" s="230">
        <v>14835150</v>
      </c>
      <c r="BZ102" s="230">
        <v>-1521300</v>
      </c>
      <c r="CA102" s="229">
        <v>-0.10249999999999999</v>
      </c>
      <c r="CB102" s="230">
        <v>556050</v>
      </c>
      <c r="CC102" s="230">
        <v>3153150</v>
      </c>
      <c r="CD102" s="230">
        <v>-2597100</v>
      </c>
      <c r="CE102" s="229">
        <v>-0.82369999999999999</v>
      </c>
      <c r="CF102" s="230">
        <v>13239600</v>
      </c>
      <c r="CG102" s="230">
        <v>11629200</v>
      </c>
      <c r="CH102" s="230">
        <v>1610400</v>
      </c>
      <c r="CI102" s="229">
        <v>0.13850000000000001</v>
      </c>
      <c r="CJ102" s="230">
        <v>74250</v>
      </c>
      <c r="CK102" s="230">
        <v>52800</v>
      </c>
      <c r="CL102" s="230">
        <v>21450</v>
      </c>
      <c r="CM102" s="229">
        <v>0.40629999999999999</v>
      </c>
      <c r="CN102" s="230">
        <v>2149950</v>
      </c>
      <c r="CO102" s="230">
        <v>3969900</v>
      </c>
      <c r="CP102" s="230">
        <v>-1819950</v>
      </c>
      <c r="CQ102" s="229">
        <v>-0.45839999999999997</v>
      </c>
      <c r="CR102" s="230">
        <v>1306800</v>
      </c>
      <c r="CS102" s="230">
        <v>3314850</v>
      </c>
      <c r="CT102" s="230">
        <v>-2008050</v>
      </c>
      <c r="CU102" s="229">
        <v>-0.60580000000000001</v>
      </c>
      <c r="CV102" s="230">
        <v>16770600</v>
      </c>
      <c r="CW102" s="230">
        <v>22119900</v>
      </c>
      <c r="CX102" s="230">
        <v>-5349300</v>
      </c>
      <c r="CY102" s="229">
        <v>-0.24179999999999999</v>
      </c>
      <c r="CZ102" s="228">
        <v>33.83</v>
      </c>
      <c r="DA102" s="228">
        <v>38.119999999999997</v>
      </c>
      <c r="DB102" s="228">
        <v>-4.29</v>
      </c>
      <c r="DC102" s="228">
        <v>-4.29</v>
      </c>
      <c r="DD102" s="228">
        <v>53.52</v>
      </c>
      <c r="DE102" s="228">
        <v>53.11</v>
      </c>
      <c r="DF102" s="228">
        <v>-19.690000000000001</v>
      </c>
      <c r="DG102" s="228">
        <v>0.41</v>
      </c>
      <c r="DH102" s="228">
        <v>33.31</v>
      </c>
      <c r="DI102" s="228">
        <v>38</v>
      </c>
      <c r="DJ102" s="228">
        <v>-4.6900000000000004</v>
      </c>
      <c r="DK102" s="228">
        <v>-4.6900000000000004</v>
      </c>
      <c r="DL102" s="228">
        <v>34.67</v>
      </c>
      <c r="DM102" s="228">
        <v>38.25</v>
      </c>
      <c r="DN102" s="228">
        <v>-3.58</v>
      </c>
      <c r="DO102" s="228">
        <v>-3.58</v>
      </c>
      <c r="DP102" s="228">
        <v>0.61</v>
      </c>
      <c r="DQ102" s="228">
        <v>0.83</v>
      </c>
      <c r="DR102" s="228">
        <v>-0.22</v>
      </c>
      <c r="DS102" s="229">
        <v>-0.2651</v>
      </c>
      <c r="DT102" s="228">
        <v>500</v>
      </c>
      <c r="DU102" s="228">
        <v>500</v>
      </c>
      <c r="DV102" s="228">
        <v>0.89</v>
      </c>
      <c r="DW102" s="228">
        <v>0.72</v>
      </c>
      <c r="DX102" s="228">
        <v>0.17</v>
      </c>
      <c r="DY102" s="229">
        <v>0.2361</v>
      </c>
      <c r="DZ102" s="229">
        <v>0.95989999999999998</v>
      </c>
      <c r="EA102" s="230">
        <v>11682000</v>
      </c>
      <c r="EB102" s="229">
        <v>1.8E-3</v>
      </c>
      <c r="EC102" s="229">
        <v>0.95989999999999998</v>
      </c>
      <c r="ED102" s="228">
        <v>1.53</v>
      </c>
      <c r="EE102" s="229">
        <v>3.0999999999999999E-3</v>
      </c>
      <c r="EF102" s="230">
        <v>1439662</v>
      </c>
      <c r="EG102" s="230">
        <v>230264</v>
      </c>
      <c r="EH102" s="229">
        <v>5.2522000000000002</v>
      </c>
      <c r="EI102" s="229">
        <v>0.44969999999999999</v>
      </c>
      <c r="EJ102" s="231">
        <v>43410.44</v>
      </c>
      <c r="EK102" s="231">
        <v>37430.65</v>
      </c>
      <c r="EL102" s="231">
        <v>69732.36</v>
      </c>
      <c r="EM102" s="228">
        <v>0</v>
      </c>
      <c r="EN102" s="231">
        <v>150573.45000000001</v>
      </c>
      <c r="EO102" s="231">
        <v>94333.11</v>
      </c>
      <c r="EP102" s="231">
        <v>56240.34</v>
      </c>
      <c r="EQ102" s="229">
        <v>0.59619999999999995</v>
      </c>
      <c r="ER102" s="231">
        <v>10992</v>
      </c>
      <c r="ES102" s="231">
        <v>6408</v>
      </c>
      <c r="ET102" s="231">
        <v>63736</v>
      </c>
      <c r="EU102" s="231">
        <v>63768380</v>
      </c>
      <c r="EV102" s="231">
        <v>81137</v>
      </c>
      <c r="EW102" s="231">
        <v>111698</v>
      </c>
      <c r="EX102" s="231">
        <v>-30561</v>
      </c>
      <c r="EY102" s="229">
        <v>-0.27360000000000001</v>
      </c>
      <c r="EZ102" s="229">
        <v>0.26300000000000001</v>
      </c>
      <c r="FA102" s="227" t="s">
        <v>568</v>
      </c>
      <c r="FB102" s="161">
        <f t="shared" si="1"/>
        <v>12757800</v>
      </c>
    </row>
    <row r="103" spans="1:158" ht="17.25" thickBot="1" x14ac:dyDescent="0.3">
      <c r="A103" s="226">
        <v>45869</v>
      </c>
      <c r="B103" s="227" t="s">
        <v>206</v>
      </c>
      <c r="C103" s="227" t="s">
        <v>501</v>
      </c>
      <c r="D103" s="228">
        <v>1000</v>
      </c>
      <c r="E103" s="228">
        <v>743.2</v>
      </c>
      <c r="F103" s="228">
        <v>748.05</v>
      </c>
      <c r="G103" s="228">
        <v>-4.8499999999999996</v>
      </c>
      <c r="H103" s="229">
        <v>-6.4999999999999997E-3</v>
      </c>
      <c r="I103" s="228">
        <v>740.75</v>
      </c>
      <c r="J103" s="228">
        <v>744.9</v>
      </c>
      <c r="K103" s="228">
        <v>-4.1500000000000004</v>
      </c>
      <c r="L103" s="229">
        <v>-5.5999999999999999E-3</v>
      </c>
      <c r="M103" s="228">
        <v>739.1</v>
      </c>
      <c r="N103" s="228">
        <v>744.05</v>
      </c>
      <c r="O103" s="228">
        <v>-4.95</v>
      </c>
      <c r="P103" s="229">
        <v>-6.7000000000000002E-3</v>
      </c>
      <c r="Q103" s="228">
        <v>743.2</v>
      </c>
      <c r="R103" s="228">
        <v>748.05</v>
      </c>
      <c r="S103" s="228">
        <v>-4.8499999999999996</v>
      </c>
      <c r="T103" s="229">
        <v>-6.4999999999999997E-3</v>
      </c>
      <c r="U103" s="228">
        <v>747.9</v>
      </c>
      <c r="V103" s="228">
        <v>752.95</v>
      </c>
      <c r="W103" s="228">
        <v>-5.05</v>
      </c>
      <c r="X103" s="229">
        <v>-6.7000000000000002E-3</v>
      </c>
      <c r="Y103" s="228">
        <v>2.4500000000000002</v>
      </c>
      <c r="Z103" s="228">
        <v>-0.85</v>
      </c>
      <c r="AA103" s="228">
        <v>3.3</v>
      </c>
      <c r="AB103" s="229">
        <v>3.3E-3</v>
      </c>
      <c r="AC103" s="228">
        <v>-1.65</v>
      </c>
      <c r="AD103" s="228">
        <v>-0.85</v>
      </c>
      <c r="AE103" s="228">
        <v>-0.8</v>
      </c>
      <c r="AF103" s="229">
        <v>-2.2000000000000001E-3</v>
      </c>
      <c r="AG103" s="228">
        <v>2.4500000000000002</v>
      </c>
      <c r="AH103" s="228">
        <v>3.15</v>
      </c>
      <c r="AI103" s="228">
        <v>-0.7</v>
      </c>
      <c r="AJ103" s="229">
        <v>3.3E-3</v>
      </c>
      <c r="AK103" s="228">
        <v>7.15</v>
      </c>
      <c r="AL103" s="228">
        <v>8.0500000000000007</v>
      </c>
      <c r="AM103" s="228">
        <v>-0.9</v>
      </c>
      <c r="AN103" s="229">
        <v>9.7000000000000003E-3</v>
      </c>
      <c r="AO103" s="228">
        <v>739.92</v>
      </c>
      <c r="AP103" s="228">
        <v>743.63</v>
      </c>
      <c r="AQ103" s="228">
        <v>0</v>
      </c>
      <c r="AR103" s="230">
        <v>14515000</v>
      </c>
      <c r="AS103" s="230">
        <v>12259000</v>
      </c>
      <c r="AT103" s="230">
        <v>2256000</v>
      </c>
      <c r="AU103" s="229">
        <v>0.184</v>
      </c>
      <c r="AV103" s="230">
        <v>6484000</v>
      </c>
      <c r="AW103" s="230">
        <v>6084000</v>
      </c>
      <c r="AX103" s="230">
        <v>400000</v>
      </c>
      <c r="AY103" s="229">
        <v>6.5699999999999995E-2</v>
      </c>
      <c r="AZ103" s="230">
        <v>7820000</v>
      </c>
      <c r="BA103" s="230">
        <v>6120000</v>
      </c>
      <c r="BB103" s="230">
        <v>1700000</v>
      </c>
      <c r="BC103" s="229">
        <v>0.27779999999999999</v>
      </c>
      <c r="BD103" s="230">
        <v>211000</v>
      </c>
      <c r="BE103" s="230">
        <v>55000</v>
      </c>
      <c r="BF103" s="230">
        <v>156000</v>
      </c>
      <c r="BG103" s="229">
        <v>2.8363999999999998</v>
      </c>
      <c r="BH103" s="230">
        <v>5708000</v>
      </c>
      <c r="BI103" s="230">
        <v>8233000</v>
      </c>
      <c r="BJ103" s="230">
        <v>-2525000</v>
      </c>
      <c r="BK103" s="229">
        <v>-0.30669999999999997</v>
      </c>
      <c r="BL103" s="230">
        <v>4270000</v>
      </c>
      <c r="BM103" s="230">
        <v>3139000</v>
      </c>
      <c r="BN103" s="230">
        <v>1131000</v>
      </c>
      <c r="BO103" s="229">
        <v>0.36030000000000001</v>
      </c>
      <c r="BP103" s="230">
        <v>24493000</v>
      </c>
      <c r="BQ103" s="230">
        <v>23631000</v>
      </c>
      <c r="BR103" s="230">
        <v>862000</v>
      </c>
      <c r="BS103" s="229">
        <v>3.6499999999999998E-2</v>
      </c>
      <c r="BT103" s="230">
        <v>2423645</v>
      </c>
      <c r="BU103" s="230">
        <v>1835881</v>
      </c>
      <c r="BV103" s="230">
        <v>587764</v>
      </c>
      <c r="BW103" s="229">
        <v>0.32019999999999998</v>
      </c>
      <c r="BX103" s="230">
        <v>27828000</v>
      </c>
      <c r="BY103" s="230">
        <v>28590000</v>
      </c>
      <c r="BZ103" s="230">
        <v>-762000</v>
      </c>
      <c r="CA103" s="229">
        <v>-2.6700000000000002E-2</v>
      </c>
      <c r="CB103" s="230">
        <v>824000</v>
      </c>
      <c r="CC103" s="230">
        <v>4350000</v>
      </c>
      <c r="CD103" s="230">
        <v>-3526000</v>
      </c>
      <c r="CE103" s="229">
        <v>-0.81059999999999999</v>
      </c>
      <c r="CF103" s="230">
        <v>27380000</v>
      </c>
      <c r="CG103" s="230">
        <v>23921000</v>
      </c>
      <c r="CH103" s="230">
        <v>3459000</v>
      </c>
      <c r="CI103" s="229">
        <v>0.14460000000000001</v>
      </c>
      <c r="CJ103" s="230">
        <v>448000</v>
      </c>
      <c r="CK103" s="230">
        <v>319000</v>
      </c>
      <c r="CL103" s="230">
        <v>129000</v>
      </c>
      <c r="CM103" s="229">
        <v>0.40439999999999998</v>
      </c>
      <c r="CN103" s="230">
        <v>3592000</v>
      </c>
      <c r="CO103" s="230">
        <v>8565000</v>
      </c>
      <c r="CP103" s="230">
        <v>-4973000</v>
      </c>
      <c r="CQ103" s="229">
        <v>-0.5806</v>
      </c>
      <c r="CR103" s="230">
        <v>2828000</v>
      </c>
      <c r="CS103" s="230">
        <v>6028000</v>
      </c>
      <c r="CT103" s="230">
        <v>-3200000</v>
      </c>
      <c r="CU103" s="229">
        <v>-0.53090000000000004</v>
      </c>
      <c r="CV103" s="230">
        <v>34248000</v>
      </c>
      <c r="CW103" s="230">
        <v>43183000</v>
      </c>
      <c r="CX103" s="230">
        <v>-8935000</v>
      </c>
      <c r="CY103" s="229">
        <v>-0.2069</v>
      </c>
      <c r="CZ103" s="228">
        <v>23.59</v>
      </c>
      <c r="DA103" s="228">
        <v>23.89</v>
      </c>
      <c r="DB103" s="228">
        <v>-0.3</v>
      </c>
      <c r="DC103" s="228">
        <v>-0.3</v>
      </c>
      <c r="DD103" s="228">
        <v>38.43</v>
      </c>
      <c r="DE103" s="228">
        <v>38.520000000000003</v>
      </c>
      <c r="DF103" s="228">
        <v>-14.84</v>
      </c>
      <c r="DG103" s="228">
        <v>-0.09</v>
      </c>
      <c r="DH103" s="228">
        <v>23.76</v>
      </c>
      <c r="DI103" s="228">
        <v>23.88</v>
      </c>
      <c r="DJ103" s="228">
        <v>-0.12</v>
      </c>
      <c r="DK103" s="228">
        <v>-0.12</v>
      </c>
      <c r="DL103" s="228">
        <v>23.29</v>
      </c>
      <c r="DM103" s="228">
        <v>23.91</v>
      </c>
      <c r="DN103" s="228">
        <v>-0.62</v>
      </c>
      <c r="DO103" s="228">
        <v>-0.62</v>
      </c>
      <c r="DP103" s="228">
        <v>0.79</v>
      </c>
      <c r="DQ103" s="228">
        <v>0.7</v>
      </c>
      <c r="DR103" s="228">
        <v>0.09</v>
      </c>
      <c r="DS103" s="229">
        <v>0.12859999999999999</v>
      </c>
      <c r="DT103" s="228">
        <v>800</v>
      </c>
      <c r="DU103" s="228">
        <v>750</v>
      </c>
      <c r="DV103" s="228">
        <v>0.75</v>
      </c>
      <c r="DW103" s="228">
        <v>0.38</v>
      </c>
      <c r="DX103" s="228">
        <v>0.37</v>
      </c>
      <c r="DY103" s="229">
        <v>0.97370000000000001</v>
      </c>
      <c r="DZ103" s="229">
        <v>0.97119999999999995</v>
      </c>
      <c r="EA103" s="230">
        <v>24240000</v>
      </c>
      <c r="EB103" s="229">
        <v>5.4999999999999997E-3</v>
      </c>
      <c r="EC103" s="229">
        <v>0.97119999999999995</v>
      </c>
      <c r="ED103" s="228">
        <v>3.71</v>
      </c>
      <c r="EE103" s="229">
        <v>5.0000000000000001E-3</v>
      </c>
      <c r="EF103" s="230">
        <v>1452291</v>
      </c>
      <c r="EG103" s="230">
        <v>1127278</v>
      </c>
      <c r="EH103" s="229">
        <v>0.2883</v>
      </c>
      <c r="EI103" s="229">
        <v>0.59919999999999995</v>
      </c>
      <c r="EJ103" s="231">
        <v>44247.96</v>
      </c>
      <c r="EK103" s="231">
        <v>32410.91</v>
      </c>
      <c r="EL103" s="231">
        <v>107707.02</v>
      </c>
      <c r="EM103" s="228">
        <v>0</v>
      </c>
      <c r="EN103" s="231">
        <v>184365.89</v>
      </c>
      <c r="EO103" s="231">
        <v>179565.26</v>
      </c>
      <c r="EP103" s="231">
        <v>4800.63</v>
      </c>
      <c r="EQ103" s="229">
        <v>2.6700000000000002E-2</v>
      </c>
      <c r="ER103" s="231">
        <v>27914</v>
      </c>
      <c r="ES103" s="231">
        <v>21060</v>
      </c>
      <c r="ET103" s="231">
        <v>206839</v>
      </c>
      <c r="EU103" s="231">
        <v>176174897</v>
      </c>
      <c r="EV103" s="231">
        <v>255812</v>
      </c>
      <c r="EW103" s="231">
        <v>325699</v>
      </c>
      <c r="EX103" s="231">
        <v>-69887</v>
      </c>
      <c r="EY103" s="229">
        <v>-0.21460000000000001</v>
      </c>
      <c r="EZ103" s="229">
        <v>0.19439999999999999</v>
      </c>
      <c r="FA103" s="227" t="s">
        <v>568</v>
      </c>
      <c r="FB103" s="161">
        <f t="shared" si="1"/>
        <v>27004000</v>
      </c>
    </row>
    <row r="104" spans="1:158" ht="17.25" thickBot="1" x14ac:dyDescent="0.3">
      <c r="A104" s="226">
        <v>45869</v>
      </c>
      <c r="B104" s="227" t="s">
        <v>172</v>
      </c>
      <c r="C104" s="227" t="s">
        <v>579</v>
      </c>
      <c r="D104" s="228">
        <v>1000</v>
      </c>
      <c r="E104" s="228">
        <v>622.6</v>
      </c>
      <c r="F104" s="228">
        <v>618.20000000000005</v>
      </c>
      <c r="G104" s="228">
        <v>4.4000000000000004</v>
      </c>
      <c r="H104" s="229">
        <v>7.1000000000000004E-3</v>
      </c>
      <c r="I104" s="228">
        <v>621.70000000000005</v>
      </c>
      <c r="J104" s="228">
        <v>614.6</v>
      </c>
      <c r="K104" s="228">
        <v>7.1</v>
      </c>
      <c r="L104" s="229">
        <v>1.1599999999999999E-2</v>
      </c>
      <c r="M104" s="228">
        <v>620.35</v>
      </c>
      <c r="N104" s="228">
        <v>615.35</v>
      </c>
      <c r="O104" s="228">
        <v>5</v>
      </c>
      <c r="P104" s="229">
        <v>8.0999999999999996E-3</v>
      </c>
      <c r="Q104" s="228">
        <v>622.6</v>
      </c>
      <c r="R104" s="228">
        <v>618.20000000000005</v>
      </c>
      <c r="S104" s="228">
        <v>4.4000000000000004</v>
      </c>
      <c r="T104" s="229">
        <v>7.1000000000000004E-3</v>
      </c>
      <c r="U104" s="228">
        <v>624.95000000000005</v>
      </c>
      <c r="V104" s="228">
        <v>620.85</v>
      </c>
      <c r="W104" s="228">
        <v>4.0999999999999996</v>
      </c>
      <c r="X104" s="229">
        <v>6.6E-3</v>
      </c>
      <c r="Y104" s="228">
        <v>0.9</v>
      </c>
      <c r="Z104" s="228">
        <v>0.75</v>
      </c>
      <c r="AA104" s="228">
        <v>0.15</v>
      </c>
      <c r="AB104" s="229">
        <v>1.4E-3</v>
      </c>
      <c r="AC104" s="228">
        <v>-1.35</v>
      </c>
      <c r="AD104" s="228">
        <v>0.75</v>
      </c>
      <c r="AE104" s="228">
        <v>-2.1</v>
      </c>
      <c r="AF104" s="229">
        <v>-2.2000000000000001E-3</v>
      </c>
      <c r="AG104" s="228">
        <v>0.9</v>
      </c>
      <c r="AH104" s="228">
        <v>3.6</v>
      </c>
      <c r="AI104" s="228">
        <v>-2.7</v>
      </c>
      <c r="AJ104" s="229">
        <v>1.4E-3</v>
      </c>
      <c r="AK104" s="228">
        <v>3.25</v>
      </c>
      <c r="AL104" s="228">
        <v>6.25</v>
      </c>
      <c r="AM104" s="228">
        <v>-3</v>
      </c>
      <c r="AN104" s="229">
        <v>5.1999999999999998E-3</v>
      </c>
      <c r="AO104" s="228">
        <v>616.89</v>
      </c>
      <c r="AP104" s="228">
        <v>619.92999999999995</v>
      </c>
      <c r="AQ104" s="228">
        <v>0</v>
      </c>
      <c r="AR104" s="230">
        <v>4267000</v>
      </c>
      <c r="AS104" s="230">
        <v>5483000</v>
      </c>
      <c r="AT104" s="230">
        <v>-1216000</v>
      </c>
      <c r="AU104" s="229">
        <v>-0.2218</v>
      </c>
      <c r="AV104" s="230">
        <v>1736000</v>
      </c>
      <c r="AW104" s="230">
        <v>2351000</v>
      </c>
      <c r="AX104" s="230">
        <v>-615000</v>
      </c>
      <c r="AY104" s="229">
        <v>-0.2616</v>
      </c>
      <c r="AZ104" s="230">
        <v>2482000</v>
      </c>
      <c r="BA104" s="230">
        <v>3110000</v>
      </c>
      <c r="BB104" s="230">
        <v>-628000</v>
      </c>
      <c r="BC104" s="229">
        <v>-0.2019</v>
      </c>
      <c r="BD104" s="230">
        <v>49000</v>
      </c>
      <c r="BE104" s="230">
        <v>22000</v>
      </c>
      <c r="BF104" s="230">
        <v>27000</v>
      </c>
      <c r="BG104" s="229">
        <v>1.2273000000000001</v>
      </c>
      <c r="BH104" s="230">
        <v>1891000</v>
      </c>
      <c r="BI104" s="230">
        <v>2936000</v>
      </c>
      <c r="BJ104" s="230">
        <v>-1045000</v>
      </c>
      <c r="BK104" s="229">
        <v>-0.35589999999999999</v>
      </c>
      <c r="BL104" s="230">
        <v>1218000</v>
      </c>
      <c r="BM104" s="230">
        <v>1406000</v>
      </c>
      <c r="BN104" s="230">
        <v>-188000</v>
      </c>
      <c r="BO104" s="229">
        <v>-0.13370000000000001</v>
      </c>
      <c r="BP104" s="230">
        <v>7376000</v>
      </c>
      <c r="BQ104" s="230">
        <v>9825000</v>
      </c>
      <c r="BR104" s="230">
        <v>-2449000</v>
      </c>
      <c r="BS104" s="229">
        <v>-0.24929999999999999</v>
      </c>
      <c r="BT104" s="230">
        <v>1838026</v>
      </c>
      <c r="BU104" s="230">
        <v>1019041</v>
      </c>
      <c r="BV104" s="230">
        <v>818985</v>
      </c>
      <c r="BW104" s="229">
        <v>0.80369999999999997</v>
      </c>
      <c r="BX104" s="230">
        <v>7237000</v>
      </c>
      <c r="BY104" s="230">
        <v>8113000</v>
      </c>
      <c r="BZ104" s="230">
        <v>-876000</v>
      </c>
      <c r="CA104" s="229">
        <v>-0.108</v>
      </c>
      <c r="CB104" s="230">
        <v>326000</v>
      </c>
      <c r="CC104" s="230">
        <v>1345000</v>
      </c>
      <c r="CD104" s="230">
        <v>-1019000</v>
      </c>
      <c r="CE104" s="229">
        <v>-0.75760000000000005</v>
      </c>
      <c r="CF104" s="230">
        <v>7132000</v>
      </c>
      <c r="CG104" s="230">
        <v>6689000</v>
      </c>
      <c r="CH104" s="230">
        <v>443000</v>
      </c>
      <c r="CI104" s="229">
        <v>6.6199999999999995E-2</v>
      </c>
      <c r="CJ104" s="230">
        <v>105000</v>
      </c>
      <c r="CK104" s="230">
        <v>79000</v>
      </c>
      <c r="CL104" s="230">
        <v>26000</v>
      </c>
      <c r="CM104" s="229">
        <v>0.3291</v>
      </c>
      <c r="CN104" s="230">
        <v>974000</v>
      </c>
      <c r="CO104" s="230">
        <v>2936000</v>
      </c>
      <c r="CP104" s="230">
        <v>-1962000</v>
      </c>
      <c r="CQ104" s="229">
        <v>-0.66830000000000001</v>
      </c>
      <c r="CR104" s="230">
        <v>741000</v>
      </c>
      <c r="CS104" s="230">
        <v>2034000</v>
      </c>
      <c r="CT104" s="230">
        <v>-1293000</v>
      </c>
      <c r="CU104" s="229">
        <v>-0.63570000000000004</v>
      </c>
      <c r="CV104" s="230">
        <v>8952000</v>
      </c>
      <c r="CW104" s="230">
        <v>13083000</v>
      </c>
      <c r="CX104" s="230">
        <v>-4131000</v>
      </c>
      <c r="CY104" s="229">
        <v>-0.31580000000000003</v>
      </c>
      <c r="CZ104" s="228">
        <v>28.36</v>
      </c>
      <c r="DA104" s="228">
        <v>29.81</v>
      </c>
      <c r="DB104" s="228">
        <v>-1.45</v>
      </c>
      <c r="DC104" s="228">
        <v>-1.45</v>
      </c>
      <c r="DD104" s="228">
        <v>41.18</v>
      </c>
      <c r="DE104" s="228">
        <v>41.27</v>
      </c>
      <c r="DF104" s="228">
        <v>-12.82</v>
      </c>
      <c r="DG104" s="228">
        <v>-0.09</v>
      </c>
      <c r="DH104" s="228">
        <v>28.55</v>
      </c>
      <c r="DI104" s="228">
        <v>30.22</v>
      </c>
      <c r="DJ104" s="228">
        <v>-1.67</v>
      </c>
      <c r="DK104" s="228">
        <v>-1.67</v>
      </c>
      <c r="DL104" s="228">
        <v>28.11</v>
      </c>
      <c r="DM104" s="228">
        <v>29.27</v>
      </c>
      <c r="DN104" s="228">
        <v>-1.1599999999999999</v>
      </c>
      <c r="DO104" s="228">
        <v>-1.1599999999999999</v>
      </c>
      <c r="DP104" s="228">
        <v>0.76</v>
      </c>
      <c r="DQ104" s="228">
        <v>0.69</v>
      </c>
      <c r="DR104" s="228">
        <v>7.0000000000000007E-2</v>
      </c>
      <c r="DS104" s="229">
        <v>0.1014</v>
      </c>
      <c r="DT104" s="228">
        <v>650</v>
      </c>
      <c r="DU104" s="228">
        <v>600</v>
      </c>
      <c r="DV104" s="228">
        <v>0.64</v>
      </c>
      <c r="DW104" s="228">
        <v>0.48</v>
      </c>
      <c r="DX104" s="228">
        <v>0.16</v>
      </c>
      <c r="DY104" s="229">
        <v>0.33329999999999999</v>
      </c>
      <c r="DZ104" s="229">
        <v>0.95689999999999997</v>
      </c>
      <c r="EA104" s="230">
        <v>6768000</v>
      </c>
      <c r="EB104" s="229">
        <v>3.5999999999999999E-3</v>
      </c>
      <c r="EC104" s="229">
        <v>0.95689999999999997</v>
      </c>
      <c r="ED104" s="228">
        <v>3.04</v>
      </c>
      <c r="EE104" s="229">
        <v>4.8999999999999998E-3</v>
      </c>
      <c r="EF104" s="230">
        <v>1275617</v>
      </c>
      <c r="EG104" s="230">
        <v>518996</v>
      </c>
      <c r="EH104" s="229">
        <v>1.4579</v>
      </c>
      <c r="EI104" s="229">
        <v>0.69399999999999995</v>
      </c>
      <c r="EJ104" s="231">
        <v>12289.01</v>
      </c>
      <c r="EK104" s="231">
        <v>7563.59</v>
      </c>
      <c r="EL104" s="231">
        <v>26400.15</v>
      </c>
      <c r="EM104" s="228">
        <v>0</v>
      </c>
      <c r="EN104" s="231">
        <v>46252.75</v>
      </c>
      <c r="EO104" s="231">
        <v>62047.46</v>
      </c>
      <c r="EP104" s="231">
        <v>-15794.71</v>
      </c>
      <c r="EQ104" s="229">
        <v>-0.25459999999999999</v>
      </c>
      <c r="ER104" s="231">
        <v>6416</v>
      </c>
      <c r="ES104" s="231">
        <v>4486</v>
      </c>
      <c r="ET104" s="231">
        <v>45060</v>
      </c>
      <c r="EU104" s="231">
        <v>70482876</v>
      </c>
      <c r="EV104" s="231">
        <v>55962</v>
      </c>
      <c r="EW104" s="231">
        <v>81996</v>
      </c>
      <c r="EX104" s="231">
        <v>-26034</v>
      </c>
      <c r="EY104" s="229">
        <v>-0.3175</v>
      </c>
      <c r="EZ104" s="229">
        <v>0.127</v>
      </c>
      <c r="FA104" s="227" t="s">
        <v>556</v>
      </c>
      <c r="FB104" s="161">
        <f t="shared" si="1"/>
        <v>6911000</v>
      </c>
    </row>
    <row r="105" spans="1:158" ht="17.25" thickBot="1" x14ac:dyDescent="0.3">
      <c r="A105" s="226">
        <v>45869</v>
      </c>
      <c r="B105" s="227" t="s">
        <v>181</v>
      </c>
      <c r="C105" s="227" t="s">
        <v>570</v>
      </c>
      <c r="D105" s="228">
        <v>1</v>
      </c>
      <c r="E105" s="228">
        <v>0</v>
      </c>
      <c r="F105" s="228">
        <v>0</v>
      </c>
      <c r="G105" s="228">
        <v>0</v>
      </c>
      <c r="H105" s="229">
        <v>0</v>
      </c>
      <c r="I105" s="228">
        <v>11.54</v>
      </c>
      <c r="J105" s="228">
        <v>11.21</v>
      </c>
      <c r="K105" s="228">
        <v>0.33</v>
      </c>
      <c r="L105" s="229">
        <v>2.9700000000000001E-2</v>
      </c>
      <c r="M105" s="228">
        <v>0</v>
      </c>
      <c r="N105" s="228">
        <v>0</v>
      </c>
      <c r="O105" s="228">
        <v>0</v>
      </c>
      <c r="P105" s="229">
        <v>0</v>
      </c>
      <c r="Q105" s="228">
        <v>0</v>
      </c>
      <c r="R105" s="228">
        <v>0</v>
      </c>
      <c r="S105" s="228">
        <v>0</v>
      </c>
      <c r="T105" s="229">
        <v>0</v>
      </c>
      <c r="U105" s="228">
        <v>0</v>
      </c>
      <c r="V105" s="228">
        <v>0</v>
      </c>
      <c r="W105" s="228">
        <v>0</v>
      </c>
      <c r="X105" s="229">
        <v>0</v>
      </c>
      <c r="Y105" s="228">
        <v>0</v>
      </c>
      <c r="Z105" s="228">
        <v>0</v>
      </c>
      <c r="AA105" s="228">
        <v>0</v>
      </c>
      <c r="AB105" s="229">
        <v>0</v>
      </c>
      <c r="AC105" s="228">
        <v>0</v>
      </c>
      <c r="AD105" s="228">
        <v>0</v>
      </c>
      <c r="AE105" s="228">
        <v>0</v>
      </c>
      <c r="AF105" s="229">
        <v>0</v>
      </c>
      <c r="AG105" s="228">
        <v>0</v>
      </c>
      <c r="AH105" s="228">
        <v>0</v>
      </c>
      <c r="AI105" s="228">
        <v>0</v>
      </c>
      <c r="AJ105" s="229">
        <v>0</v>
      </c>
      <c r="AK105" s="228">
        <v>0</v>
      </c>
      <c r="AL105" s="228">
        <v>0</v>
      </c>
      <c r="AM105" s="228">
        <v>0</v>
      </c>
      <c r="AN105" s="229">
        <v>0</v>
      </c>
      <c r="AO105" s="228">
        <v>0</v>
      </c>
      <c r="AP105" s="228">
        <v>0</v>
      </c>
      <c r="AQ105" s="228">
        <v>0</v>
      </c>
      <c r="AR105" s="228">
        <v>0</v>
      </c>
      <c r="AS105" s="228">
        <v>0</v>
      </c>
      <c r="AT105" s="228">
        <v>0</v>
      </c>
      <c r="AU105" s="229">
        <v>0</v>
      </c>
      <c r="AV105" s="228">
        <v>0</v>
      </c>
      <c r="AW105" s="228">
        <v>0</v>
      </c>
      <c r="AX105" s="228">
        <v>0</v>
      </c>
      <c r="AY105" s="229">
        <v>0</v>
      </c>
      <c r="AZ105" s="228">
        <v>0</v>
      </c>
      <c r="BA105" s="228">
        <v>0</v>
      </c>
      <c r="BB105" s="228">
        <v>0</v>
      </c>
      <c r="BC105" s="229">
        <v>0</v>
      </c>
      <c r="BD105" s="228">
        <v>0</v>
      </c>
      <c r="BE105" s="228">
        <v>0</v>
      </c>
      <c r="BF105" s="228">
        <v>0</v>
      </c>
      <c r="BG105" s="229">
        <v>0</v>
      </c>
      <c r="BH105" s="228">
        <v>0</v>
      </c>
      <c r="BI105" s="228">
        <v>0</v>
      </c>
      <c r="BJ105" s="228">
        <v>0</v>
      </c>
      <c r="BK105" s="229">
        <v>0</v>
      </c>
      <c r="BL105" s="228">
        <v>0</v>
      </c>
      <c r="BM105" s="228">
        <v>0</v>
      </c>
      <c r="BN105" s="228">
        <v>0</v>
      </c>
      <c r="BO105" s="229">
        <v>0</v>
      </c>
      <c r="BP105" s="228">
        <v>0</v>
      </c>
      <c r="BQ105" s="228">
        <v>0</v>
      </c>
      <c r="BR105" s="228">
        <v>0</v>
      </c>
      <c r="BS105" s="229">
        <v>0</v>
      </c>
      <c r="BT105" s="228">
        <v>0</v>
      </c>
      <c r="BU105" s="228">
        <v>0</v>
      </c>
      <c r="BV105" s="228">
        <v>0</v>
      </c>
      <c r="BW105" s="229">
        <v>0</v>
      </c>
      <c r="BX105" s="228">
        <v>0</v>
      </c>
      <c r="BY105" s="228">
        <v>0</v>
      </c>
      <c r="BZ105" s="228">
        <v>0</v>
      </c>
      <c r="CA105" s="229">
        <v>0</v>
      </c>
      <c r="CB105" s="228">
        <v>0</v>
      </c>
      <c r="CC105" s="228">
        <v>0</v>
      </c>
      <c r="CD105" s="228">
        <v>0</v>
      </c>
      <c r="CE105" s="229">
        <v>0</v>
      </c>
      <c r="CF105" s="228">
        <v>0</v>
      </c>
      <c r="CG105" s="228">
        <v>0</v>
      </c>
      <c r="CH105" s="228">
        <v>0</v>
      </c>
      <c r="CI105" s="229">
        <v>0</v>
      </c>
      <c r="CJ105" s="228">
        <v>0</v>
      </c>
      <c r="CK105" s="228">
        <v>0</v>
      </c>
      <c r="CL105" s="228">
        <v>0</v>
      </c>
      <c r="CM105" s="229">
        <v>0</v>
      </c>
      <c r="CN105" s="228">
        <v>0</v>
      </c>
      <c r="CO105" s="228">
        <v>0</v>
      </c>
      <c r="CP105" s="228">
        <v>0</v>
      </c>
      <c r="CQ105" s="229">
        <v>0</v>
      </c>
      <c r="CR105" s="228">
        <v>0</v>
      </c>
      <c r="CS105" s="228">
        <v>0</v>
      </c>
      <c r="CT105" s="228">
        <v>0</v>
      </c>
      <c r="CU105" s="229">
        <v>0</v>
      </c>
      <c r="CV105" s="228">
        <v>0</v>
      </c>
      <c r="CW105" s="228">
        <v>0</v>
      </c>
      <c r="CX105" s="228">
        <v>0</v>
      </c>
      <c r="CY105" s="229">
        <v>0</v>
      </c>
      <c r="CZ105" s="228">
        <v>0</v>
      </c>
      <c r="DA105" s="228">
        <v>0</v>
      </c>
      <c r="DB105" s="228">
        <v>0</v>
      </c>
      <c r="DC105" s="228">
        <v>0</v>
      </c>
      <c r="DD105" s="228">
        <v>0</v>
      </c>
      <c r="DE105" s="228">
        <v>0</v>
      </c>
      <c r="DF105" s="228">
        <v>0</v>
      </c>
      <c r="DG105" s="228">
        <v>0</v>
      </c>
      <c r="DH105" s="228">
        <v>0</v>
      </c>
      <c r="DI105" s="228">
        <v>0</v>
      </c>
      <c r="DJ105" s="228">
        <v>0</v>
      </c>
      <c r="DK105" s="228">
        <v>0</v>
      </c>
      <c r="DL105" s="228">
        <v>0</v>
      </c>
      <c r="DM105" s="228">
        <v>0</v>
      </c>
      <c r="DN105" s="228">
        <v>0</v>
      </c>
      <c r="DO105" s="228">
        <v>0</v>
      </c>
      <c r="DP105" s="228">
        <v>0</v>
      </c>
      <c r="DQ105" s="228">
        <v>0</v>
      </c>
      <c r="DR105" s="228">
        <v>0</v>
      </c>
      <c r="DS105" s="229">
        <v>0</v>
      </c>
      <c r="DT105" s="228">
        <v>0</v>
      </c>
      <c r="DU105" s="228">
        <v>0</v>
      </c>
      <c r="DV105" s="228">
        <v>0</v>
      </c>
      <c r="DW105" s="228">
        <v>0</v>
      </c>
      <c r="DX105" s="228">
        <v>0</v>
      </c>
      <c r="DY105" s="229">
        <v>0</v>
      </c>
      <c r="DZ105" s="229">
        <v>0</v>
      </c>
      <c r="EA105" s="228">
        <v>0</v>
      </c>
      <c r="EB105" s="229">
        <v>0</v>
      </c>
      <c r="EC105" s="229">
        <v>0</v>
      </c>
      <c r="ED105" s="228">
        <v>0</v>
      </c>
      <c r="EE105" s="229">
        <v>0</v>
      </c>
      <c r="EF105" s="228">
        <v>0</v>
      </c>
      <c r="EG105" s="228">
        <v>0</v>
      </c>
      <c r="EH105" s="229">
        <v>0</v>
      </c>
      <c r="EI105" s="229">
        <v>0</v>
      </c>
      <c r="EJ105" s="228">
        <v>0</v>
      </c>
      <c r="EK105" s="228">
        <v>0</v>
      </c>
      <c r="EL105" s="228">
        <v>0</v>
      </c>
      <c r="EM105" s="228">
        <v>0</v>
      </c>
      <c r="EN105" s="228">
        <v>0</v>
      </c>
      <c r="EO105" s="228">
        <v>0</v>
      </c>
      <c r="EP105" s="228">
        <v>0</v>
      </c>
      <c r="EQ105" s="229">
        <v>0</v>
      </c>
      <c r="ER105" s="228">
        <v>0</v>
      </c>
      <c r="ES105" s="228">
        <v>0</v>
      </c>
      <c r="ET105" s="228">
        <v>0</v>
      </c>
      <c r="EU105" s="228">
        <v>0</v>
      </c>
      <c r="EV105" s="228">
        <v>0</v>
      </c>
      <c r="EW105" s="228">
        <v>0</v>
      </c>
      <c r="EX105" s="228">
        <v>0</v>
      </c>
      <c r="EY105" s="229">
        <v>0</v>
      </c>
      <c r="EZ105" s="229">
        <v>0</v>
      </c>
      <c r="FA105" s="227" t="s">
        <v>237</v>
      </c>
      <c r="FB105" s="161">
        <f t="shared" si="1"/>
        <v>0</v>
      </c>
    </row>
    <row r="106" spans="1:158" ht="17.25" thickBot="1" x14ac:dyDescent="0.3">
      <c r="A106" s="226">
        <v>45869</v>
      </c>
      <c r="B106" s="227" t="s">
        <v>215</v>
      </c>
      <c r="C106" s="227" t="s">
        <v>238</v>
      </c>
      <c r="D106" s="228">
        <v>150</v>
      </c>
      <c r="E106" s="231">
        <v>5880.5</v>
      </c>
      <c r="F106" s="231">
        <v>5724.5</v>
      </c>
      <c r="G106" s="228">
        <v>156</v>
      </c>
      <c r="H106" s="229">
        <v>2.7300000000000001E-2</v>
      </c>
      <c r="I106" s="231">
        <v>5910.5</v>
      </c>
      <c r="J106" s="231">
        <v>5740</v>
      </c>
      <c r="K106" s="228">
        <v>170.5</v>
      </c>
      <c r="L106" s="229">
        <v>2.9700000000000001E-2</v>
      </c>
      <c r="M106" s="231">
        <v>5897</v>
      </c>
      <c r="N106" s="231">
        <v>5708</v>
      </c>
      <c r="O106" s="228">
        <v>189</v>
      </c>
      <c r="P106" s="229">
        <v>3.3099999999999997E-2</v>
      </c>
      <c r="Q106" s="231">
        <v>5880.5</v>
      </c>
      <c r="R106" s="231">
        <v>5724.5</v>
      </c>
      <c r="S106" s="228">
        <v>156</v>
      </c>
      <c r="T106" s="229">
        <v>2.7300000000000001E-2</v>
      </c>
      <c r="U106" s="231">
        <v>5893</v>
      </c>
      <c r="V106" s="231">
        <v>5752</v>
      </c>
      <c r="W106" s="228">
        <v>141</v>
      </c>
      <c r="X106" s="229">
        <v>2.4500000000000001E-2</v>
      </c>
      <c r="Y106" s="228">
        <v>-30</v>
      </c>
      <c r="Z106" s="228">
        <v>-32</v>
      </c>
      <c r="AA106" s="228">
        <v>2</v>
      </c>
      <c r="AB106" s="229">
        <v>-5.1000000000000004E-3</v>
      </c>
      <c r="AC106" s="228">
        <v>-13.5</v>
      </c>
      <c r="AD106" s="228">
        <v>-32</v>
      </c>
      <c r="AE106" s="228">
        <v>18.5</v>
      </c>
      <c r="AF106" s="229">
        <v>-2.3E-3</v>
      </c>
      <c r="AG106" s="228">
        <v>-30</v>
      </c>
      <c r="AH106" s="228">
        <v>-15.5</v>
      </c>
      <c r="AI106" s="228">
        <v>-14.5</v>
      </c>
      <c r="AJ106" s="229">
        <v>-5.1000000000000004E-3</v>
      </c>
      <c r="AK106" s="228">
        <v>-17.5</v>
      </c>
      <c r="AL106" s="228">
        <v>12</v>
      </c>
      <c r="AM106" s="228">
        <v>-29.5</v>
      </c>
      <c r="AN106" s="229">
        <v>-3.0000000000000001E-3</v>
      </c>
      <c r="AO106" s="231">
        <v>5812.81</v>
      </c>
      <c r="AP106" s="231">
        <v>5817.57</v>
      </c>
      <c r="AQ106" s="228">
        <v>0</v>
      </c>
      <c r="AR106" s="230">
        <v>6434250</v>
      </c>
      <c r="AS106" s="230">
        <v>5002200</v>
      </c>
      <c r="AT106" s="230">
        <v>1432050</v>
      </c>
      <c r="AU106" s="229">
        <v>0.2863</v>
      </c>
      <c r="AV106" s="230">
        <v>2537550</v>
      </c>
      <c r="AW106" s="230">
        <v>2420700</v>
      </c>
      <c r="AX106" s="230">
        <v>116850</v>
      </c>
      <c r="AY106" s="229">
        <v>4.8300000000000003E-2</v>
      </c>
      <c r="AZ106" s="230">
        <v>3822450</v>
      </c>
      <c r="BA106" s="230">
        <v>2550750</v>
      </c>
      <c r="BB106" s="230">
        <v>1271700</v>
      </c>
      <c r="BC106" s="229">
        <v>0.49859999999999999</v>
      </c>
      <c r="BD106" s="230">
        <v>74250</v>
      </c>
      <c r="BE106" s="230">
        <v>30750</v>
      </c>
      <c r="BF106" s="230">
        <v>43500</v>
      </c>
      <c r="BG106" s="229">
        <v>1.4146000000000001</v>
      </c>
      <c r="BH106" s="230">
        <v>10954500</v>
      </c>
      <c r="BI106" s="230">
        <v>7788750</v>
      </c>
      <c r="BJ106" s="230">
        <v>3165750</v>
      </c>
      <c r="BK106" s="229">
        <v>0.40649999999999997</v>
      </c>
      <c r="BL106" s="230">
        <v>11123700</v>
      </c>
      <c r="BM106" s="230">
        <v>6423900</v>
      </c>
      <c r="BN106" s="230">
        <v>4699800</v>
      </c>
      <c r="BO106" s="229">
        <v>0.73160000000000003</v>
      </c>
      <c r="BP106" s="230">
        <v>28512450</v>
      </c>
      <c r="BQ106" s="230">
        <v>19214850</v>
      </c>
      <c r="BR106" s="230">
        <v>9297600</v>
      </c>
      <c r="BS106" s="229">
        <v>0.4839</v>
      </c>
      <c r="BT106" s="230">
        <v>2648759</v>
      </c>
      <c r="BU106" s="230">
        <v>1260252</v>
      </c>
      <c r="BV106" s="230">
        <v>1388507</v>
      </c>
      <c r="BW106" s="229">
        <v>1.1017999999999999</v>
      </c>
      <c r="BX106" s="230">
        <v>7156500</v>
      </c>
      <c r="BY106" s="230">
        <v>8446350</v>
      </c>
      <c r="BZ106" s="230">
        <v>-1289850</v>
      </c>
      <c r="CA106" s="229">
        <v>-0.1527</v>
      </c>
      <c r="CB106" s="230">
        <v>556800</v>
      </c>
      <c r="CC106" s="230">
        <v>1745700</v>
      </c>
      <c r="CD106" s="230">
        <v>-1188900</v>
      </c>
      <c r="CE106" s="229">
        <v>-0.68100000000000005</v>
      </c>
      <c r="CF106" s="230">
        <v>7066050</v>
      </c>
      <c r="CG106" s="230">
        <v>6624300</v>
      </c>
      <c r="CH106" s="230">
        <v>441750</v>
      </c>
      <c r="CI106" s="229">
        <v>6.6699999999999995E-2</v>
      </c>
      <c r="CJ106" s="230">
        <v>90450</v>
      </c>
      <c r="CK106" s="230">
        <v>76350</v>
      </c>
      <c r="CL106" s="230">
        <v>14100</v>
      </c>
      <c r="CM106" s="229">
        <v>0.1847</v>
      </c>
      <c r="CN106" s="230">
        <v>937200</v>
      </c>
      <c r="CO106" s="230">
        <v>3028800</v>
      </c>
      <c r="CP106" s="230">
        <v>-2091600</v>
      </c>
      <c r="CQ106" s="229">
        <v>-0.69059999999999999</v>
      </c>
      <c r="CR106" s="230">
        <v>972600</v>
      </c>
      <c r="CS106" s="230">
        <v>3038850</v>
      </c>
      <c r="CT106" s="230">
        <v>-2066250</v>
      </c>
      <c r="CU106" s="229">
        <v>-0.67989999999999995</v>
      </c>
      <c r="CV106" s="230">
        <v>9066300</v>
      </c>
      <c r="CW106" s="230">
        <v>14514000</v>
      </c>
      <c r="CX106" s="230">
        <v>-5447700</v>
      </c>
      <c r="CY106" s="229">
        <v>-0.37530000000000002</v>
      </c>
      <c r="CZ106" s="228">
        <v>25.43</v>
      </c>
      <c r="DA106" s="228">
        <v>31.79</v>
      </c>
      <c r="DB106" s="228">
        <v>-6.36</v>
      </c>
      <c r="DC106" s="228">
        <v>-6.36</v>
      </c>
      <c r="DD106" s="228">
        <v>34.729999999999997</v>
      </c>
      <c r="DE106" s="228">
        <v>34.590000000000003</v>
      </c>
      <c r="DF106" s="228">
        <v>-9.3000000000000007</v>
      </c>
      <c r="DG106" s="228">
        <v>0.14000000000000001</v>
      </c>
      <c r="DH106" s="228">
        <v>24.13</v>
      </c>
      <c r="DI106" s="228">
        <v>30.49</v>
      </c>
      <c r="DJ106" s="228">
        <v>-6.36</v>
      </c>
      <c r="DK106" s="228">
        <v>-6.36</v>
      </c>
      <c r="DL106" s="228">
        <v>27.07</v>
      </c>
      <c r="DM106" s="228">
        <v>32.979999999999997</v>
      </c>
      <c r="DN106" s="228">
        <v>-5.91</v>
      </c>
      <c r="DO106" s="228">
        <v>-5.91</v>
      </c>
      <c r="DP106" s="228">
        <v>1.04</v>
      </c>
      <c r="DQ106" s="228">
        <v>1</v>
      </c>
      <c r="DR106" s="228">
        <v>0.04</v>
      </c>
      <c r="DS106" s="229">
        <v>0.04</v>
      </c>
      <c r="DT106" s="231">
        <v>6100</v>
      </c>
      <c r="DU106" s="231">
        <v>5700</v>
      </c>
      <c r="DV106" s="228">
        <v>1.02</v>
      </c>
      <c r="DW106" s="228">
        <v>0.82</v>
      </c>
      <c r="DX106" s="228">
        <v>0.2</v>
      </c>
      <c r="DY106" s="229">
        <v>0.24390000000000001</v>
      </c>
      <c r="DZ106" s="229">
        <v>0.92779999999999996</v>
      </c>
      <c r="EA106" s="230">
        <v>6700650</v>
      </c>
      <c r="EB106" s="229">
        <v>-2.8E-3</v>
      </c>
      <c r="EC106" s="229">
        <v>0.92779999999999996</v>
      </c>
      <c r="ED106" s="228">
        <v>4.76</v>
      </c>
      <c r="EE106" s="229">
        <v>8.0000000000000004E-4</v>
      </c>
      <c r="EF106" s="230">
        <v>1412442</v>
      </c>
      <c r="EG106" s="230">
        <v>786346</v>
      </c>
      <c r="EH106" s="229">
        <v>0.79620000000000002</v>
      </c>
      <c r="EI106" s="229">
        <v>0.53320000000000001</v>
      </c>
      <c r="EJ106" s="231">
        <v>659532.19999999995</v>
      </c>
      <c r="EK106" s="231">
        <v>631318.86</v>
      </c>
      <c r="EL106" s="231">
        <v>374228.6</v>
      </c>
      <c r="EM106" s="228">
        <v>0</v>
      </c>
      <c r="EN106" s="231">
        <v>1665079.66</v>
      </c>
      <c r="EO106" s="231">
        <v>1115947.98</v>
      </c>
      <c r="EP106" s="231">
        <v>549131.68000000005</v>
      </c>
      <c r="EQ106" s="229">
        <v>0.49209999999999998</v>
      </c>
      <c r="ER106" s="231">
        <v>56729</v>
      </c>
      <c r="ES106" s="231">
        <v>54349</v>
      </c>
      <c r="ET106" s="231">
        <v>420849</v>
      </c>
      <c r="EU106" s="231">
        <v>39206614</v>
      </c>
      <c r="EV106" s="231">
        <v>531927</v>
      </c>
      <c r="EW106" s="231">
        <v>833665</v>
      </c>
      <c r="EX106" s="231">
        <v>-301738</v>
      </c>
      <c r="EY106" s="229">
        <v>-0.3619</v>
      </c>
      <c r="EZ106" s="229">
        <v>0.23119999999999999</v>
      </c>
      <c r="FA106" s="227" t="s">
        <v>556</v>
      </c>
      <c r="FB106" s="161">
        <f t="shared" si="1"/>
        <v>6599700</v>
      </c>
    </row>
    <row r="107" spans="1:158" ht="17.25" thickBot="1" x14ac:dyDescent="0.3">
      <c r="A107" s="226">
        <v>45869</v>
      </c>
      <c r="B107" s="227" t="s">
        <v>172</v>
      </c>
      <c r="C107" s="227" t="s">
        <v>239</v>
      </c>
      <c r="D107" s="228">
        <v>700</v>
      </c>
      <c r="E107" s="228">
        <v>803.7</v>
      </c>
      <c r="F107" s="228">
        <v>806.75</v>
      </c>
      <c r="G107" s="228">
        <v>-3.05</v>
      </c>
      <c r="H107" s="229">
        <v>-3.8E-3</v>
      </c>
      <c r="I107" s="228">
        <v>798.9</v>
      </c>
      <c r="J107" s="228">
        <v>801.9</v>
      </c>
      <c r="K107" s="228">
        <v>-3</v>
      </c>
      <c r="L107" s="229">
        <v>-3.7000000000000002E-3</v>
      </c>
      <c r="M107" s="228">
        <v>798.7</v>
      </c>
      <c r="N107" s="228">
        <v>802.55</v>
      </c>
      <c r="O107" s="228">
        <v>-3.85</v>
      </c>
      <c r="P107" s="229">
        <v>-4.7999999999999996E-3</v>
      </c>
      <c r="Q107" s="228">
        <v>803.7</v>
      </c>
      <c r="R107" s="228">
        <v>806.75</v>
      </c>
      <c r="S107" s="228">
        <v>-3.05</v>
      </c>
      <c r="T107" s="229">
        <v>-3.8E-3</v>
      </c>
      <c r="U107" s="228">
        <v>808.2</v>
      </c>
      <c r="V107" s="228">
        <v>811.3</v>
      </c>
      <c r="W107" s="228">
        <v>-3.1</v>
      </c>
      <c r="X107" s="229">
        <v>-3.8E-3</v>
      </c>
      <c r="Y107" s="228">
        <v>4.8</v>
      </c>
      <c r="Z107" s="228">
        <v>0.65</v>
      </c>
      <c r="AA107" s="228">
        <v>4.1500000000000004</v>
      </c>
      <c r="AB107" s="229">
        <v>6.0000000000000001E-3</v>
      </c>
      <c r="AC107" s="228">
        <v>-0.2</v>
      </c>
      <c r="AD107" s="228">
        <v>0.65</v>
      </c>
      <c r="AE107" s="228">
        <v>-0.85</v>
      </c>
      <c r="AF107" s="229">
        <v>-2.9999999999999997E-4</v>
      </c>
      <c r="AG107" s="228">
        <v>4.8</v>
      </c>
      <c r="AH107" s="228">
        <v>4.8499999999999996</v>
      </c>
      <c r="AI107" s="228">
        <v>-0.05</v>
      </c>
      <c r="AJ107" s="229">
        <v>6.0000000000000001E-3</v>
      </c>
      <c r="AK107" s="228">
        <v>9.3000000000000007</v>
      </c>
      <c r="AL107" s="228">
        <v>9.4</v>
      </c>
      <c r="AM107" s="228">
        <v>-0.1</v>
      </c>
      <c r="AN107" s="229">
        <v>1.1599999999999999E-2</v>
      </c>
      <c r="AO107" s="228">
        <v>798.26</v>
      </c>
      <c r="AP107" s="228">
        <v>803.09</v>
      </c>
      <c r="AQ107" s="228">
        <v>0</v>
      </c>
      <c r="AR107" s="230">
        <v>26588800</v>
      </c>
      <c r="AS107" s="230">
        <v>20580000</v>
      </c>
      <c r="AT107" s="230">
        <v>6008800</v>
      </c>
      <c r="AU107" s="229">
        <v>0.29199999999999998</v>
      </c>
      <c r="AV107" s="230">
        <v>11053000</v>
      </c>
      <c r="AW107" s="230">
        <v>9291800</v>
      </c>
      <c r="AX107" s="230">
        <v>1761200</v>
      </c>
      <c r="AY107" s="229">
        <v>0.1895</v>
      </c>
      <c r="AZ107" s="230">
        <v>15269800</v>
      </c>
      <c r="BA107" s="230">
        <v>11103400</v>
      </c>
      <c r="BB107" s="230">
        <v>4166400</v>
      </c>
      <c r="BC107" s="229">
        <v>0.37519999999999998</v>
      </c>
      <c r="BD107" s="230">
        <v>266000</v>
      </c>
      <c r="BE107" s="230">
        <v>184800</v>
      </c>
      <c r="BF107" s="230">
        <v>81200</v>
      </c>
      <c r="BG107" s="229">
        <v>0.43940000000000001</v>
      </c>
      <c r="BH107" s="230">
        <v>15161300</v>
      </c>
      <c r="BI107" s="230">
        <v>22911700</v>
      </c>
      <c r="BJ107" s="230">
        <v>-7750400</v>
      </c>
      <c r="BK107" s="229">
        <v>-0.33829999999999999</v>
      </c>
      <c r="BL107" s="230">
        <v>11771200</v>
      </c>
      <c r="BM107" s="230">
        <v>18298700</v>
      </c>
      <c r="BN107" s="230">
        <v>-6527500</v>
      </c>
      <c r="BO107" s="229">
        <v>-0.35670000000000002</v>
      </c>
      <c r="BP107" s="230">
        <v>53521300</v>
      </c>
      <c r="BQ107" s="230">
        <v>61790400</v>
      </c>
      <c r="BR107" s="230">
        <v>-8269100</v>
      </c>
      <c r="BS107" s="229">
        <v>-0.1338</v>
      </c>
      <c r="BT107" s="230">
        <v>4546754</v>
      </c>
      <c r="BU107" s="230">
        <v>3398386</v>
      </c>
      <c r="BV107" s="230">
        <v>1148368</v>
      </c>
      <c r="BW107" s="229">
        <v>0.33789999999999998</v>
      </c>
      <c r="BX107" s="230">
        <v>48841100</v>
      </c>
      <c r="BY107" s="230">
        <v>49076300</v>
      </c>
      <c r="BZ107" s="230">
        <v>-235200</v>
      </c>
      <c r="CA107" s="229">
        <v>-4.7999999999999996E-3</v>
      </c>
      <c r="CB107" s="230">
        <v>2640400</v>
      </c>
      <c r="CC107" s="230">
        <v>9389800</v>
      </c>
      <c r="CD107" s="230">
        <v>-6749400</v>
      </c>
      <c r="CE107" s="229">
        <v>-0.71879999999999999</v>
      </c>
      <c r="CF107" s="230">
        <v>48033300</v>
      </c>
      <c r="CG107" s="230">
        <v>38997700</v>
      </c>
      <c r="CH107" s="230">
        <v>9035600</v>
      </c>
      <c r="CI107" s="229">
        <v>0.23169999999999999</v>
      </c>
      <c r="CJ107" s="230">
        <v>807800</v>
      </c>
      <c r="CK107" s="230">
        <v>688800</v>
      </c>
      <c r="CL107" s="230">
        <v>119000</v>
      </c>
      <c r="CM107" s="229">
        <v>0.17280000000000001</v>
      </c>
      <c r="CN107" s="230">
        <v>7520800</v>
      </c>
      <c r="CO107" s="230">
        <v>22636600</v>
      </c>
      <c r="CP107" s="230">
        <v>-15115800</v>
      </c>
      <c r="CQ107" s="229">
        <v>-0.66779999999999995</v>
      </c>
      <c r="CR107" s="230">
        <v>6482700</v>
      </c>
      <c r="CS107" s="230">
        <v>12148500</v>
      </c>
      <c r="CT107" s="230">
        <v>-5665800</v>
      </c>
      <c r="CU107" s="229">
        <v>-0.46639999999999998</v>
      </c>
      <c r="CV107" s="230">
        <v>62844600</v>
      </c>
      <c r="CW107" s="230">
        <v>83861400</v>
      </c>
      <c r="CX107" s="230">
        <v>-21016800</v>
      </c>
      <c r="CY107" s="229">
        <v>-0.25059999999999999</v>
      </c>
      <c r="CZ107" s="228">
        <v>30.98</v>
      </c>
      <c r="DA107" s="228">
        <v>32.630000000000003</v>
      </c>
      <c r="DB107" s="228">
        <v>-1.65</v>
      </c>
      <c r="DC107" s="228">
        <v>-1.65</v>
      </c>
      <c r="DD107" s="228">
        <v>51.6</v>
      </c>
      <c r="DE107" s="228">
        <v>51.72</v>
      </c>
      <c r="DF107" s="228">
        <v>-20.62</v>
      </c>
      <c r="DG107" s="228">
        <v>-0.12</v>
      </c>
      <c r="DH107" s="228">
        <v>30.91</v>
      </c>
      <c r="DI107" s="228">
        <v>32.5</v>
      </c>
      <c r="DJ107" s="228">
        <v>-1.59</v>
      </c>
      <c r="DK107" s="228">
        <v>-1.59</v>
      </c>
      <c r="DL107" s="228">
        <v>31.07</v>
      </c>
      <c r="DM107" s="228">
        <v>32.81</v>
      </c>
      <c r="DN107" s="228">
        <v>-1.74</v>
      </c>
      <c r="DO107" s="228">
        <v>-1.74</v>
      </c>
      <c r="DP107" s="228">
        <v>0.86</v>
      </c>
      <c r="DQ107" s="228">
        <v>0.54</v>
      </c>
      <c r="DR107" s="228">
        <v>0.32</v>
      </c>
      <c r="DS107" s="229">
        <v>0.59260000000000002</v>
      </c>
      <c r="DT107" s="228">
        <v>900</v>
      </c>
      <c r="DU107" s="228">
        <v>800</v>
      </c>
      <c r="DV107" s="228">
        <v>0.78</v>
      </c>
      <c r="DW107" s="228">
        <v>0.8</v>
      </c>
      <c r="DX107" s="228">
        <v>-0.02</v>
      </c>
      <c r="DY107" s="229">
        <v>-2.5000000000000001E-2</v>
      </c>
      <c r="DZ107" s="229">
        <v>0.94869999999999999</v>
      </c>
      <c r="EA107" s="230">
        <v>39686500</v>
      </c>
      <c r="EB107" s="229">
        <v>6.3E-3</v>
      </c>
      <c r="EC107" s="229">
        <v>0.94869999999999999</v>
      </c>
      <c r="ED107" s="228">
        <v>4.83</v>
      </c>
      <c r="EE107" s="229">
        <v>6.1000000000000004E-3</v>
      </c>
      <c r="EF107" s="230">
        <v>2408125</v>
      </c>
      <c r="EG107" s="230">
        <v>1276443</v>
      </c>
      <c r="EH107" s="229">
        <v>0.88660000000000005</v>
      </c>
      <c r="EI107" s="229">
        <v>0.52959999999999996</v>
      </c>
      <c r="EJ107" s="231">
        <v>128395.61</v>
      </c>
      <c r="EK107" s="231">
        <v>95464.92</v>
      </c>
      <c r="EL107" s="231">
        <v>213012.8</v>
      </c>
      <c r="EM107" s="228">
        <v>0</v>
      </c>
      <c r="EN107" s="231">
        <v>436873.33</v>
      </c>
      <c r="EO107" s="231">
        <v>509545.85</v>
      </c>
      <c r="EP107" s="231">
        <v>-72672.52</v>
      </c>
      <c r="EQ107" s="229">
        <v>-0.1426</v>
      </c>
      <c r="ER107" s="231">
        <v>64973</v>
      </c>
      <c r="ES107" s="231">
        <v>51993</v>
      </c>
      <c r="ET107" s="231">
        <v>392572</v>
      </c>
      <c r="EU107" s="231">
        <v>125014099</v>
      </c>
      <c r="EV107" s="231">
        <v>509539</v>
      </c>
      <c r="EW107" s="231">
        <v>693104</v>
      </c>
      <c r="EX107" s="231">
        <v>-183565</v>
      </c>
      <c r="EY107" s="229">
        <v>-0.26479999999999998</v>
      </c>
      <c r="EZ107" s="229">
        <v>0.50270000000000004</v>
      </c>
      <c r="FA107" s="227" t="s">
        <v>568</v>
      </c>
      <c r="FB107" s="161">
        <f t="shared" si="1"/>
        <v>46200700</v>
      </c>
    </row>
    <row r="108" spans="1:158" ht="17.25" thickBot="1" x14ac:dyDescent="0.3">
      <c r="A108" s="226">
        <v>45869</v>
      </c>
      <c r="B108" s="227" t="s">
        <v>188</v>
      </c>
      <c r="C108" s="227" t="s">
        <v>473</v>
      </c>
      <c r="D108" s="228">
        <v>1700</v>
      </c>
      <c r="E108" s="228">
        <v>364.2</v>
      </c>
      <c r="F108" s="228">
        <v>386.15</v>
      </c>
      <c r="G108" s="228">
        <v>-21.95</v>
      </c>
      <c r="H108" s="229">
        <v>-5.6800000000000003E-2</v>
      </c>
      <c r="I108" s="228">
        <v>363</v>
      </c>
      <c r="J108" s="228">
        <v>383.8</v>
      </c>
      <c r="K108" s="228">
        <v>-20.8</v>
      </c>
      <c r="L108" s="229">
        <v>-5.4199999999999998E-2</v>
      </c>
      <c r="M108" s="228">
        <v>362.75</v>
      </c>
      <c r="N108" s="228">
        <v>384.4</v>
      </c>
      <c r="O108" s="228">
        <v>-21.65</v>
      </c>
      <c r="P108" s="229">
        <v>-5.6300000000000003E-2</v>
      </c>
      <c r="Q108" s="228">
        <v>364.2</v>
      </c>
      <c r="R108" s="228">
        <v>386.15</v>
      </c>
      <c r="S108" s="228">
        <v>-21.95</v>
      </c>
      <c r="T108" s="229">
        <v>-5.6800000000000003E-2</v>
      </c>
      <c r="U108" s="228">
        <v>366.4</v>
      </c>
      <c r="V108" s="228">
        <v>388.1</v>
      </c>
      <c r="W108" s="228">
        <v>-21.7</v>
      </c>
      <c r="X108" s="229">
        <v>-5.5899999999999998E-2</v>
      </c>
      <c r="Y108" s="228">
        <v>1.2</v>
      </c>
      <c r="Z108" s="228">
        <v>0.6</v>
      </c>
      <c r="AA108" s="228">
        <v>0.6</v>
      </c>
      <c r="AB108" s="229">
        <v>3.3E-3</v>
      </c>
      <c r="AC108" s="228">
        <v>-0.25</v>
      </c>
      <c r="AD108" s="228">
        <v>0.6</v>
      </c>
      <c r="AE108" s="228">
        <v>-0.85</v>
      </c>
      <c r="AF108" s="229">
        <v>-6.9999999999999999E-4</v>
      </c>
      <c r="AG108" s="228">
        <v>1.2</v>
      </c>
      <c r="AH108" s="228">
        <v>2.35</v>
      </c>
      <c r="AI108" s="228">
        <v>-1.1499999999999999</v>
      </c>
      <c r="AJ108" s="229">
        <v>3.3E-3</v>
      </c>
      <c r="AK108" s="228">
        <v>3.4</v>
      </c>
      <c r="AL108" s="228">
        <v>4.3</v>
      </c>
      <c r="AM108" s="228">
        <v>-0.9</v>
      </c>
      <c r="AN108" s="229">
        <v>9.4000000000000004E-3</v>
      </c>
      <c r="AO108" s="228">
        <v>367.07</v>
      </c>
      <c r="AP108" s="228">
        <v>368.53</v>
      </c>
      <c r="AQ108" s="228">
        <v>0</v>
      </c>
      <c r="AR108" s="230">
        <v>48698200</v>
      </c>
      <c r="AS108" s="230">
        <v>24551400</v>
      </c>
      <c r="AT108" s="230">
        <v>24146800</v>
      </c>
      <c r="AU108" s="229">
        <v>0.98350000000000004</v>
      </c>
      <c r="AV108" s="230">
        <v>18499400</v>
      </c>
      <c r="AW108" s="230">
        <v>12076800</v>
      </c>
      <c r="AX108" s="230">
        <v>6422600</v>
      </c>
      <c r="AY108" s="229">
        <v>0.53180000000000005</v>
      </c>
      <c r="AZ108" s="230">
        <v>29663300</v>
      </c>
      <c r="BA108" s="230">
        <v>12331800</v>
      </c>
      <c r="BB108" s="230">
        <v>17331500</v>
      </c>
      <c r="BC108" s="229">
        <v>1.4054</v>
      </c>
      <c r="BD108" s="230">
        <v>535500</v>
      </c>
      <c r="BE108" s="230">
        <v>142800</v>
      </c>
      <c r="BF108" s="230">
        <v>392700</v>
      </c>
      <c r="BG108" s="229">
        <v>2.75</v>
      </c>
      <c r="BH108" s="230">
        <v>39499500</v>
      </c>
      <c r="BI108" s="230">
        <v>16202700</v>
      </c>
      <c r="BJ108" s="230">
        <v>23296800</v>
      </c>
      <c r="BK108" s="229">
        <v>1.4378</v>
      </c>
      <c r="BL108" s="230">
        <v>32364600</v>
      </c>
      <c r="BM108" s="230">
        <v>10147300</v>
      </c>
      <c r="BN108" s="230">
        <v>22217300</v>
      </c>
      <c r="BO108" s="229">
        <v>2.1894999999999998</v>
      </c>
      <c r="BP108" s="230">
        <v>120562300</v>
      </c>
      <c r="BQ108" s="230">
        <v>50901400</v>
      </c>
      <c r="BR108" s="230">
        <v>69660900</v>
      </c>
      <c r="BS108" s="229">
        <v>1.3685</v>
      </c>
      <c r="BT108" s="230">
        <v>12821496</v>
      </c>
      <c r="BU108" s="230">
        <v>2475266</v>
      </c>
      <c r="BV108" s="230">
        <v>10346230</v>
      </c>
      <c r="BW108" s="229">
        <v>4.1798000000000002</v>
      </c>
      <c r="BX108" s="230">
        <v>63243400</v>
      </c>
      <c r="BY108" s="230">
        <v>62794600</v>
      </c>
      <c r="BZ108" s="230">
        <v>448800</v>
      </c>
      <c r="CA108" s="229">
        <v>7.1000000000000004E-3</v>
      </c>
      <c r="CB108" s="230">
        <v>3978000</v>
      </c>
      <c r="CC108" s="230">
        <v>14671000</v>
      </c>
      <c r="CD108" s="230">
        <v>-10693000</v>
      </c>
      <c r="CE108" s="229">
        <v>-0.72889999999999999</v>
      </c>
      <c r="CF108" s="230">
        <v>62588900</v>
      </c>
      <c r="CG108" s="230">
        <v>47737700</v>
      </c>
      <c r="CH108" s="230">
        <v>14851200</v>
      </c>
      <c r="CI108" s="229">
        <v>0.31109999999999999</v>
      </c>
      <c r="CJ108" s="230">
        <v>654500</v>
      </c>
      <c r="CK108" s="230">
        <v>385900</v>
      </c>
      <c r="CL108" s="230">
        <v>268600</v>
      </c>
      <c r="CM108" s="229">
        <v>0.69599999999999995</v>
      </c>
      <c r="CN108" s="230">
        <v>10494100</v>
      </c>
      <c r="CO108" s="230">
        <v>16272400</v>
      </c>
      <c r="CP108" s="230">
        <v>-5778300</v>
      </c>
      <c r="CQ108" s="229">
        <v>-0.35510000000000003</v>
      </c>
      <c r="CR108" s="230">
        <v>7718000</v>
      </c>
      <c r="CS108" s="230">
        <v>10958200</v>
      </c>
      <c r="CT108" s="230">
        <v>-3240200</v>
      </c>
      <c r="CU108" s="229">
        <v>-0.29570000000000002</v>
      </c>
      <c r="CV108" s="230">
        <v>81455500</v>
      </c>
      <c r="CW108" s="230">
        <v>90025200</v>
      </c>
      <c r="CX108" s="230">
        <v>-8569700</v>
      </c>
      <c r="CY108" s="229">
        <v>-9.5200000000000007E-2</v>
      </c>
      <c r="CZ108" s="228">
        <v>29.69</v>
      </c>
      <c r="DA108" s="228">
        <v>28.87</v>
      </c>
      <c r="DB108" s="228">
        <v>0.82</v>
      </c>
      <c r="DC108" s="228">
        <v>0.82</v>
      </c>
      <c r="DD108" s="228">
        <v>42.01</v>
      </c>
      <c r="DE108" s="228">
        <v>41.44</v>
      </c>
      <c r="DF108" s="228">
        <v>-12.32</v>
      </c>
      <c r="DG108" s="228">
        <v>0.56999999999999995</v>
      </c>
      <c r="DH108" s="228">
        <v>30.25</v>
      </c>
      <c r="DI108" s="228">
        <v>28.46</v>
      </c>
      <c r="DJ108" s="228">
        <v>1.79</v>
      </c>
      <c r="DK108" s="228">
        <v>1.79</v>
      </c>
      <c r="DL108" s="228">
        <v>28.87</v>
      </c>
      <c r="DM108" s="228">
        <v>29.63</v>
      </c>
      <c r="DN108" s="228">
        <v>-0.76</v>
      </c>
      <c r="DO108" s="228">
        <v>-0.76</v>
      </c>
      <c r="DP108" s="228">
        <v>0.74</v>
      </c>
      <c r="DQ108" s="228">
        <v>0.67</v>
      </c>
      <c r="DR108" s="228">
        <v>7.0000000000000007E-2</v>
      </c>
      <c r="DS108" s="229">
        <v>0.1045</v>
      </c>
      <c r="DT108" s="228">
        <v>400</v>
      </c>
      <c r="DU108" s="228">
        <v>400</v>
      </c>
      <c r="DV108" s="228">
        <v>0.82</v>
      </c>
      <c r="DW108" s="228">
        <v>0.63</v>
      </c>
      <c r="DX108" s="228">
        <v>0.19</v>
      </c>
      <c r="DY108" s="229">
        <v>0.30159999999999998</v>
      </c>
      <c r="DZ108" s="229">
        <v>0.94079999999999997</v>
      </c>
      <c r="EA108" s="230">
        <v>48123600</v>
      </c>
      <c r="EB108" s="229">
        <v>4.0000000000000001E-3</v>
      </c>
      <c r="EC108" s="229">
        <v>0.94079999999999997</v>
      </c>
      <c r="ED108" s="228">
        <v>1.46</v>
      </c>
      <c r="EE108" s="229">
        <v>4.0000000000000001E-3</v>
      </c>
      <c r="EF108" s="230">
        <v>5140853</v>
      </c>
      <c r="EG108" s="230">
        <v>1581885</v>
      </c>
      <c r="EH108" s="229">
        <v>2.2498</v>
      </c>
      <c r="EI108" s="229">
        <v>0.40100000000000002</v>
      </c>
      <c r="EJ108" s="231">
        <v>156040.03</v>
      </c>
      <c r="EK108" s="231">
        <v>121916.18</v>
      </c>
      <c r="EL108" s="231">
        <v>179205.38</v>
      </c>
      <c r="EM108" s="228">
        <v>0</v>
      </c>
      <c r="EN108" s="231">
        <v>457161.59</v>
      </c>
      <c r="EO108" s="231">
        <v>200923.67</v>
      </c>
      <c r="EP108" s="231">
        <v>256237.92</v>
      </c>
      <c r="EQ108" s="229">
        <v>1.2753000000000001</v>
      </c>
      <c r="ER108" s="231">
        <v>41781</v>
      </c>
      <c r="ES108" s="231">
        <v>28617</v>
      </c>
      <c r="ET108" s="231">
        <v>230347</v>
      </c>
      <c r="EU108" s="231">
        <v>263606423</v>
      </c>
      <c r="EV108" s="231">
        <v>300745</v>
      </c>
      <c r="EW108" s="231">
        <v>352266</v>
      </c>
      <c r="EX108" s="231">
        <v>-51521</v>
      </c>
      <c r="EY108" s="229">
        <v>-0.14630000000000001</v>
      </c>
      <c r="EZ108" s="229">
        <v>0.309</v>
      </c>
      <c r="FA108" s="227" t="s">
        <v>567</v>
      </c>
      <c r="FB108" s="161">
        <f t="shared" si="1"/>
        <v>59265400</v>
      </c>
    </row>
    <row r="109" spans="1:158" ht="17.25" thickBot="1" x14ac:dyDescent="0.3">
      <c r="A109" s="226">
        <v>45869</v>
      </c>
      <c r="B109" s="227" t="s">
        <v>221</v>
      </c>
      <c r="C109" s="227" t="s">
        <v>240</v>
      </c>
      <c r="D109" s="228">
        <v>400</v>
      </c>
      <c r="E109" s="231">
        <v>1515</v>
      </c>
      <c r="F109" s="231">
        <v>1525</v>
      </c>
      <c r="G109" s="228">
        <v>-10</v>
      </c>
      <c r="H109" s="229">
        <v>-6.6E-3</v>
      </c>
      <c r="I109" s="231">
        <v>1509</v>
      </c>
      <c r="J109" s="231">
        <v>1519</v>
      </c>
      <c r="K109" s="228">
        <v>-10</v>
      </c>
      <c r="L109" s="229">
        <v>-6.6E-3</v>
      </c>
      <c r="M109" s="231">
        <v>1510</v>
      </c>
      <c r="N109" s="231">
        <v>1520.2</v>
      </c>
      <c r="O109" s="228">
        <v>-10.199999999999999</v>
      </c>
      <c r="P109" s="229">
        <v>-6.7000000000000002E-3</v>
      </c>
      <c r="Q109" s="231">
        <v>1515</v>
      </c>
      <c r="R109" s="231">
        <v>1525</v>
      </c>
      <c r="S109" s="228">
        <v>-10</v>
      </c>
      <c r="T109" s="229">
        <v>-6.6E-3</v>
      </c>
      <c r="U109" s="231">
        <v>1523.4</v>
      </c>
      <c r="V109" s="231">
        <v>1533.4</v>
      </c>
      <c r="W109" s="228">
        <v>-10</v>
      </c>
      <c r="X109" s="229">
        <v>-6.4999999999999997E-3</v>
      </c>
      <c r="Y109" s="228">
        <v>6</v>
      </c>
      <c r="Z109" s="228">
        <v>1.2</v>
      </c>
      <c r="AA109" s="228">
        <v>4.8</v>
      </c>
      <c r="AB109" s="229">
        <v>4.0000000000000001E-3</v>
      </c>
      <c r="AC109" s="228">
        <v>1</v>
      </c>
      <c r="AD109" s="228">
        <v>1.2</v>
      </c>
      <c r="AE109" s="228">
        <v>-0.2</v>
      </c>
      <c r="AF109" s="229">
        <v>6.9999999999999999E-4</v>
      </c>
      <c r="AG109" s="228">
        <v>6</v>
      </c>
      <c r="AH109" s="228">
        <v>6</v>
      </c>
      <c r="AI109" s="228">
        <v>0</v>
      </c>
      <c r="AJ109" s="229">
        <v>4.0000000000000001E-3</v>
      </c>
      <c r="AK109" s="228">
        <v>14.4</v>
      </c>
      <c r="AL109" s="228">
        <v>14.4</v>
      </c>
      <c r="AM109" s="228">
        <v>0</v>
      </c>
      <c r="AN109" s="229">
        <v>9.4999999999999998E-3</v>
      </c>
      <c r="AO109" s="231">
        <v>1508.1</v>
      </c>
      <c r="AP109" s="231">
        <v>1516.39</v>
      </c>
      <c r="AQ109" s="228">
        <v>0</v>
      </c>
      <c r="AR109" s="230">
        <v>34474800</v>
      </c>
      <c r="AS109" s="230">
        <v>29752800</v>
      </c>
      <c r="AT109" s="230">
        <v>4722000</v>
      </c>
      <c r="AU109" s="229">
        <v>0.15870000000000001</v>
      </c>
      <c r="AV109" s="230">
        <v>12594000</v>
      </c>
      <c r="AW109" s="230">
        <v>14559200</v>
      </c>
      <c r="AX109" s="230">
        <v>-1965200</v>
      </c>
      <c r="AY109" s="229">
        <v>-0.13500000000000001</v>
      </c>
      <c r="AZ109" s="230">
        <v>21201200</v>
      </c>
      <c r="BA109" s="230">
        <v>14935200</v>
      </c>
      <c r="BB109" s="230">
        <v>6266000</v>
      </c>
      <c r="BC109" s="229">
        <v>0.41949999999999998</v>
      </c>
      <c r="BD109" s="230">
        <v>679600</v>
      </c>
      <c r="BE109" s="230">
        <v>258400</v>
      </c>
      <c r="BF109" s="230">
        <v>421200</v>
      </c>
      <c r="BG109" s="229">
        <v>1.63</v>
      </c>
      <c r="BH109" s="230">
        <v>23319200</v>
      </c>
      <c r="BI109" s="230">
        <v>21421600</v>
      </c>
      <c r="BJ109" s="230">
        <v>1897600</v>
      </c>
      <c r="BK109" s="229">
        <v>8.8599999999999998E-2</v>
      </c>
      <c r="BL109" s="230">
        <v>13177600</v>
      </c>
      <c r="BM109" s="230">
        <v>10973600</v>
      </c>
      <c r="BN109" s="230">
        <v>2204000</v>
      </c>
      <c r="BO109" s="229">
        <v>0.20080000000000001</v>
      </c>
      <c r="BP109" s="230">
        <v>70971600</v>
      </c>
      <c r="BQ109" s="230">
        <v>62148000</v>
      </c>
      <c r="BR109" s="230">
        <v>8823600</v>
      </c>
      <c r="BS109" s="229">
        <v>0.14199999999999999</v>
      </c>
      <c r="BT109" s="230">
        <v>7679028</v>
      </c>
      <c r="BU109" s="230">
        <v>5878968</v>
      </c>
      <c r="BV109" s="230">
        <v>1800060</v>
      </c>
      <c r="BW109" s="229">
        <v>0.30620000000000003</v>
      </c>
      <c r="BX109" s="230">
        <v>68042800</v>
      </c>
      <c r="BY109" s="230">
        <v>74082800</v>
      </c>
      <c r="BZ109" s="230">
        <v>-6040000</v>
      </c>
      <c r="CA109" s="229">
        <v>-8.1500000000000003E-2</v>
      </c>
      <c r="CB109" s="230">
        <v>7051200</v>
      </c>
      <c r="CC109" s="230">
        <v>15438000</v>
      </c>
      <c r="CD109" s="230">
        <v>-8386800</v>
      </c>
      <c r="CE109" s="229">
        <v>-0.54330000000000001</v>
      </c>
      <c r="CF109" s="230">
        <v>64422000</v>
      </c>
      <c r="CG109" s="230">
        <v>54961600</v>
      </c>
      <c r="CH109" s="230">
        <v>9460400</v>
      </c>
      <c r="CI109" s="229">
        <v>0.1721</v>
      </c>
      <c r="CJ109" s="230">
        <v>3620800</v>
      </c>
      <c r="CK109" s="230">
        <v>3683200</v>
      </c>
      <c r="CL109" s="230">
        <v>-62400</v>
      </c>
      <c r="CM109" s="229">
        <v>-1.6899999999999998E-2</v>
      </c>
      <c r="CN109" s="230">
        <v>10949600</v>
      </c>
      <c r="CO109" s="230">
        <v>28765200</v>
      </c>
      <c r="CP109" s="230">
        <v>-17815600</v>
      </c>
      <c r="CQ109" s="229">
        <v>-0.61929999999999996</v>
      </c>
      <c r="CR109" s="230">
        <v>6822400</v>
      </c>
      <c r="CS109" s="230">
        <v>14200000</v>
      </c>
      <c r="CT109" s="230">
        <v>-7377600</v>
      </c>
      <c r="CU109" s="229">
        <v>-0.51949999999999996</v>
      </c>
      <c r="CV109" s="230">
        <v>85814800</v>
      </c>
      <c r="CW109" s="230">
        <v>117048000</v>
      </c>
      <c r="CX109" s="230">
        <v>-31233200</v>
      </c>
      <c r="CY109" s="229">
        <v>-0.26679999999999998</v>
      </c>
      <c r="CZ109" s="228">
        <v>22.7</v>
      </c>
      <c r="DA109" s="228">
        <v>23.02</v>
      </c>
      <c r="DB109" s="228">
        <v>-0.32</v>
      </c>
      <c r="DC109" s="228">
        <v>-0.32</v>
      </c>
      <c r="DD109" s="228">
        <v>29.38</v>
      </c>
      <c r="DE109" s="228">
        <v>29.44</v>
      </c>
      <c r="DF109" s="228">
        <v>-6.68</v>
      </c>
      <c r="DG109" s="228">
        <v>-0.06</v>
      </c>
      <c r="DH109" s="228">
        <v>22.56</v>
      </c>
      <c r="DI109" s="228">
        <v>23.03</v>
      </c>
      <c r="DJ109" s="228">
        <v>-0.47</v>
      </c>
      <c r="DK109" s="228">
        <v>-0.47</v>
      </c>
      <c r="DL109" s="228">
        <v>22.97</v>
      </c>
      <c r="DM109" s="228">
        <v>23</v>
      </c>
      <c r="DN109" s="228">
        <v>-0.03</v>
      </c>
      <c r="DO109" s="228">
        <v>-0.03</v>
      </c>
      <c r="DP109" s="228">
        <v>0.62</v>
      </c>
      <c r="DQ109" s="228">
        <v>0.49</v>
      </c>
      <c r="DR109" s="228">
        <v>0.13</v>
      </c>
      <c r="DS109" s="229">
        <v>0.26529999999999998</v>
      </c>
      <c r="DT109" s="231">
        <v>1700</v>
      </c>
      <c r="DU109" s="231">
        <v>1500</v>
      </c>
      <c r="DV109" s="228">
        <v>0.56999999999999995</v>
      </c>
      <c r="DW109" s="228">
        <v>0.51</v>
      </c>
      <c r="DX109" s="228">
        <v>0.06</v>
      </c>
      <c r="DY109" s="229">
        <v>0.1176</v>
      </c>
      <c r="DZ109" s="229">
        <v>0.90610000000000002</v>
      </c>
      <c r="EA109" s="230">
        <v>58644800</v>
      </c>
      <c r="EB109" s="229">
        <v>3.3E-3</v>
      </c>
      <c r="EC109" s="229">
        <v>0.90610000000000002</v>
      </c>
      <c r="ED109" s="228">
        <v>8.2899999999999991</v>
      </c>
      <c r="EE109" s="229">
        <v>5.4999999999999997E-3</v>
      </c>
      <c r="EF109" s="230">
        <v>4601616</v>
      </c>
      <c r="EG109" s="230">
        <v>4342489</v>
      </c>
      <c r="EH109" s="229">
        <v>5.9700000000000003E-2</v>
      </c>
      <c r="EI109" s="229">
        <v>0.59919999999999995</v>
      </c>
      <c r="EJ109" s="231">
        <v>369574.86</v>
      </c>
      <c r="EK109" s="231">
        <v>199265.32</v>
      </c>
      <c r="EL109" s="231">
        <v>521773.36</v>
      </c>
      <c r="EM109" s="228">
        <v>0</v>
      </c>
      <c r="EN109" s="231">
        <v>1090613.54</v>
      </c>
      <c r="EO109" s="231">
        <v>956060.02</v>
      </c>
      <c r="EP109" s="231">
        <v>134553.51999999999</v>
      </c>
      <c r="EQ109" s="229">
        <v>0.14069999999999999</v>
      </c>
      <c r="ER109" s="231">
        <v>176687</v>
      </c>
      <c r="ES109" s="231">
        <v>102510</v>
      </c>
      <c r="ET109" s="231">
        <v>1031153</v>
      </c>
      <c r="EU109" s="231">
        <v>632343512</v>
      </c>
      <c r="EV109" s="231">
        <v>1310350</v>
      </c>
      <c r="EW109" s="231">
        <v>1816857</v>
      </c>
      <c r="EX109" s="231">
        <v>-506507</v>
      </c>
      <c r="EY109" s="229">
        <v>-0.27879999999999999</v>
      </c>
      <c r="EZ109" s="229">
        <v>0.13569999999999999</v>
      </c>
      <c r="FA109" s="227" t="s">
        <v>568</v>
      </c>
      <c r="FB109" s="161">
        <f t="shared" si="1"/>
        <v>60991600</v>
      </c>
    </row>
    <row r="110" spans="1:158" ht="17.25" thickBot="1" x14ac:dyDescent="0.3">
      <c r="A110" s="226">
        <v>45869</v>
      </c>
      <c r="B110" s="227" t="s">
        <v>161</v>
      </c>
      <c r="C110" s="227" t="s">
        <v>671</v>
      </c>
      <c r="D110" s="228">
        <v>3272</v>
      </c>
      <c r="E110" s="228">
        <v>151.53</v>
      </c>
      <c r="F110" s="228">
        <v>156.83000000000001</v>
      </c>
      <c r="G110" s="228">
        <v>-5.3</v>
      </c>
      <c r="H110" s="229">
        <v>-3.3799999999999997E-2</v>
      </c>
      <c r="I110" s="228">
        <v>150.74</v>
      </c>
      <c r="J110" s="228">
        <v>156.15</v>
      </c>
      <c r="K110" s="228">
        <v>-5.41</v>
      </c>
      <c r="L110" s="229">
        <v>-3.4599999999999999E-2</v>
      </c>
      <c r="M110" s="228">
        <v>150.66</v>
      </c>
      <c r="N110" s="228">
        <v>156.07</v>
      </c>
      <c r="O110" s="228">
        <v>-5.41</v>
      </c>
      <c r="P110" s="229">
        <v>-3.4700000000000002E-2</v>
      </c>
      <c r="Q110" s="228">
        <v>151.53</v>
      </c>
      <c r="R110" s="228">
        <v>156.83000000000001</v>
      </c>
      <c r="S110" s="228">
        <v>-5.3</v>
      </c>
      <c r="T110" s="229">
        <v>-3.3799999999999997E-2</v>
      </c>
      <c r="U110" s="228">
        <v>152.08000000000001</v>
      </c>
      <c r="V110" s="228">
        <v>157.83000000000001</v>
      </c>
      <c r="W110" s="228">
        <v>-5.75</v>
      </c>
      <c r="X110" s="229">
        <v>-3.6400000000000002E-2</v>
      </c>
      <c r="Y110" s="228">
        <v>0.79</v>
      </c>
      <c r="Z110" s="228">
        <v>-0.08</v>
      </c>
      <c r="AA110" s="228">
        <v>0.87</v>
      </c>
      <c r="AB110" s="229">
        <v>5.1999999999999998E-3</v>
      </c>
      <c r="AC110" s="228">
        <v>-0.08</v>
      </c>
      <c r="AD110" s="228">
        <v>-0.08</v>
      </c>
      <c r="AE110" s="228">
        <v>0</v>
      </c>
      <c r="AF110" s="229">
        <v>-5.0000000000000001E-4</v>
      </c>
      <c r="AG110" s="228">
        <v>0.79</v>
      </c>
      <c r="AH110" s="228">
        <v>0.68</v>
      </c>
      <c r="AI110" s="228">
        <v>0.11</v>
      </c>
      <c r="AJ110" s="229">
        <v>5.1999999999999998E-3</v>
      </c>
      <c r="AK110" s="228">
        <v>1.34</v>
      </c>
      <c r="AL110" s="228">
        <v>1.68</v>
      </c>
      <c r="AM110" s="228">
        <v>-0.34</v>
      </c>
      <c r="AN110" s="229">
        <v>8.8999999999999999E-3</v>
      </c>
      <c r="AO110" s="228">
        <v>152.44</v>
      </c>
      <c r="AP110" s="228">
        <v>153.19</v>
      </c>
      <c r="AQ110" s="228">
        <v>0</v>
      </c>
      <c r="AR110" s="230">
        <v>32448424</v>
      </c>
      <c r="AS110" s="230">
        <v>18031992</v>
      </c>
      <c r="AT110" s="230">
        <v>14416432</v>
      </c>
      <c r="AU110" s="229">
        <v>0.79949999999999999</v>
      </c>
      <c r="AV110" s="230">
        <v>15669608</v>
      </c>
      <c r="AW110" s="230">
        <v>8490840</v>
      </c>
      <c r="AX110" s="230">
        <v>7178768</v>
      </c>
      <c r="AY110" s="229">
        <v>0.84550000000000003</v>
      </c>
      <c r="AZ110" s="230">
        <v>16405808</v>
      </c>
      <c r="BA110" s="230">
        <v>9420088</v>
      </c>
      <c r="BB110" s="230">
        <v>6985720</v>
      </c>
      <c r="BC110" s="229">
        <v>0.74160000000000004</v>
      </c>
      <c r="BD110" s="230">
        <v>373008</v>
      </c>
      <c r="BE110" s="230">
        <v>121064</v>
      </c>
      <c r="BF110" s="230">
        <v>251944</v>
      </c>
      <c r="BG110" s="229">
        <v>2.0811000000000002</v>
      </c>
      <c r="BH110" s="230">
        <v>4656056</v>
      </c>
      <c r="BI110" s="230">
        <v>2836824</v>
      </c>
      <c r="BJ110" s="230">
        <v>1819232</v>
      </c>
      <c r="BK110" s="229">
        <v>0.64129999999999998</v>
      </c>
      <c r="BL110" s="230">
        <v>4430288</v>
      </c>
      <c r="BM110" s="230">
        <v>2597968</v>
      </c>
      <c r="BN110" s="230">
        <v>1832320</v>
      </c>
      <c r="BO110" s="229">
        <v>0.70530000000000004</v>
      </c>
      <c r="BP110" s="230">
        <v>41534768</v>
      </c>
      <c r="BQ110" s="230">
        <v>23466784</v>
      </c>
      <c r="BR110" s="230">
        <v>18067984</v>
      </c>
      <c r="BS110" s="229">
        <v>0.76990000000000003</v>
      </c>
      <c r="BT110" s="230">
        <v>5800422</v>
      </c>
      <c r="BU110" s="230">
        <v>5529073</v>
      </c>
      <c r="BV110" s="230">
        <v>271349</v>
      </c>
      <c r="BW110" s="229">
        <v>4.9099999999999998E-2</v>
      </c>
      <c r="BX110" s="230">
        <v>27861080</v>
      </c>
      <c r="BY110" s="230">
        <v>39453776</v>
      </c>
      <c r="BZ110" s="230">
        <v>-11592696</v>
      </c>
      <c r="CA110" s="229">
        <v>-0.29380000000000001</v>
      </c>
      <c r="CB110" s="230">
        <v>9102704</v>
      </c>
      <c r="CC110" s="230">
        <v>17917472</v>
      </c>
      <c r="CD110" s="230">
        <v>-8814768</v>
      </c>
      <c r="CE110" s="229">
        <v>-0.49199999999999999</v>
      </c>
      <c r="CF110" s="230">
        <v>27013632</v>
      </c>
      <c r="CG110" s="230">
        <v>20872088</v>
      </c>
      <c r="CH110" s="230">
        <v>6141544</v>
      </c>
      <c r="CI110" s="229">
        <v>0.29420000000000002</v>
      </c>
      <c r="CJ110" s="230">
        <v>847448</v>
      </c>
      <c r="CK110" s="230">
        <v>664216</v>
      </c>
      <c r="CL110" s="230">
        <v>183232</v>
      </c>
      <c r="CM110" s="229">
        <v>0.27589999999999998</v>
      </c>
      <c r="CN110" s="230">
        <v>4440104</v>
      </c>
      <c r="CO110" s="230">
        <v>17181272</v>
      </c>
      <c r="CP110" s="230">
        <v>-12741168</v>
      </c>
      <c r="CQ110" s="229">
        <v>-0.74160000000000004</v>
      </c>
      <c r="CR110" s="230">
        <v>2548888</v>
      </c>
      <c r="CS110" s="230">
        <v>8150552</v>
      </c>
      <c r="CT110" s="230">
        <v>-5601664</v>
      </c>
      <c r="CU110" s="229">
        <v>-0.68730000000000002</v>
      </c>
      <c r="CV110" s="230">
        <v>34850072</v>
      </c>
      <c r="CW110" s="230">
        <v>64785600</v>
      </c>
      <c r="CX110" s="230">
        <v>-29935528</v>
      </c>
      <c r="CY110" s="229">
        <v>-0.46210000000000001</v>
      </c>
      <c r="CZ110" s="228">
        <v>38.15</v>
      </c>
      <c r="DA110" s="228">
        <v>41.08</v>
      </c>
      <c r="DB110" s="228">
        <v>-2.93</v>
      </c>
      <c r="DC110" s="228">
        <v>-2.93</v>
      </c>
      <c r="DD110" s="228">
        <v>62.18</v>
      </c>
      <c r="DE110" s="228">
        <v>62.15</v>
      </c>
      <c r="DF110" s="228">
        <v>-24.03</v>
      </c>
      <c r="DG110" s="228">
        <v>0.03</v>
      </c>
      <c r="DH110" s="228">
        <v>37.54</v>
      </c>
      <c r="DI110" s="228">
        <v>37.18</v>
      </c>
      <c r="DJ110" s="228">
        <v>0.36</v>
      </c>
      <c r="DK110" s="228">
        <v>0.36</v>
      </c>
      <c r="DL110" s="228">
        <v>39.24</v>
      </c>
      <c r="DM110" s="228">
        <v>45.6</v>
      </c>
      <c r="DN110" s="228">
        <v>-6.36</v>
      </c>
      <c r="DO110" s="228">
        <v>-6.36</v>
      </c>
      <c r="DP110" s="228">
        <v>0.56999999999999995</v>
      </c>
      <c r="DQ110" s="228">
        <v>0.47</v>
      </c>
      <c r="DR110" s="228">
        <v>0.1</v>
      </c>
      <c r="DS110" s="229">
        <v>0.21279999999999999</v>
      </c>
      <c r="DT110" s="228">
        <v>177.45</v>
      </c>
      <c r="DU110" s="228">
        <v>172.5</v>
      </c>
      <c r="DV110" s="228">
        <v>0.95</v>
      </c>
      <c r="DW110" s="228">
        <v>0.92</v>
      </c>
      <c r="DX110" s="228">
        <v>0.03</v>
      </c>
      <c r="DY110" s="229">
        <v>3.2599999999999997E-2</v>
      </c>
      <c r="DZ110" s="229">
        <v>0.75370000000000004</v>
      </c>
      <c r="EA110" s="230">
        <v>21536304</v>
      </c>
      <c r="EB110" s="229">
        <v>5.7999999999999996E-3</v>
      </c>
      <c r="EC110" s="229">
        <v>0.75370000000000004</v>
      </c>
      <c r="ED110" s="228">
        <v>0.75</v>
      </c>
      <c r="EE110" s="229">
        <v>4.8999999999999998E-3</v>
      </c>
      <c r="EF110" s="230">
        <v>2238394</v>
      </c>
      <c r="EG110" s="230">
        <v>1967000</v>
      </c>
      <c r="EH110" s="229">
        <v>0.13800000000000001</v>
      </c>
      <c r="EI110" s="229">
        <v>0.38590000000000002</v>
      </c>
      <c r="EJ110" s="231">
        <v>7658.84</v>
      </c>
      <c r="EK110" s="231">
        <v>7429.87</v>
      </c>
      <c r="EL110" s="231">
        <v>49592.31</v>
      </c>
      <c r="EM110" s="228">
        <v>0</v>
      </c>
      <c r="EN110" s="231">
        <v>64681.02</v>
      </c>
      <c r="EO110" s="231">
        <v>37647.82</v>
      </c>
      <c r="EP110" s="231">
        <v>27033.200000000001</v>
      </c>
      <c r="EQ110" s="229">
        <v>0.71809999999999996</v>
      </c>
      <c r="ER110" s="231">
        <v>7676</v>
      </c>
      <c r="ES110" s="231">
        <v>4045</v>
      </c>
      <c r="ET110" s="231">
        <v>42223</v>
      </c>
      <c r="EU110" s="231">
        <v>136849838</v>
      </c>
      <c r="EV110" s="231">
        <v>53943</v>
      </c>
      <c r="EW110" s="231">
        <v>105951</v>
      </c>
      <c r="EX110" s="231">
        <v>-52008</v>
      </c>
      <c r="EY110" s="229">
        <v>-0.4909</v>
      </c>
      <c r="EZ110" s="229">
        <v>0.25469999999999998</v>
      </c>
      <c r="FA110" s="227" t="s">
        <v>568</v>
      </c>
      <c r="FB110" s="161">
        <f t="shared" si="1"/>
        <v>18758376</v>
      </c>
    </row>
    <row r="111" spans="1:158" ht="17.25" thickBot="1" x14ac:dyDescent="0.3">
      <c r="A111" s="226">
        <v>45869</v>
      </c>
      <c r="B111" s="227" t="s">
        <v>193</v>
      </c>
      <c r="C111" s="227" t="s">
        <v>241</v>
      </c>
      <c r="D111" s="228">
        <v>4875</v>
      </c>
      <c r="E111" s="228">
        <v>146.04</v>
      </c>
      <c r="F111" s="228">
        <v>149.51</v>
      </c>
      <c r="G111" s="228">
        <v>-3.47</v>
      </c>
      <c r="H111" s="229">
        <v>-2.3199999999999998E-2</v>
      </c>
      <c r="I111" s="228">
        <v>145.62</v>
      </c>
      <c r="J111" s="228">
        <v>149.04</v>
      </c>
      <c r="K111" s="228">
        <v>-3.42</v>
      </c>
      <c r="L111" s="229">
        <v>-2.29E-2</v>
      </c>
      <c r="M111" s="228">
        <v>145.56</v>
      </c>
      <c r="N111" s="228">
        <v>149.1</v>
      </c>
      <c r="O111" s="228">
        <v>-3.54</v>
      </c>
      <c r="P111" s="229">
        <v>-2.3699999999999999E-2</v>
      </c>
      <c r="Q111" s="228">
        <v>146.04</v>
      </c>
      <c r="R111" s="228">
        <v>149.51</v>
      </c>
      <c r="S111" s="228">
        <v>-3.47</v>
      </c>
      <c r="T111" s="229">
        <v>-2.3199999999999998E-2</v>
      </c>
      <c r="U111" s="228">
        <v>146.78</v>
      </c>
      <c r="V111" s="228">
        <v>150.41</v>
      </c>
      <c r="W111" s="228">
        <v>-3.63</v>
      </c>
      <c r="X111" s="229">
        <v>-2.41E-2</v>
      </c>
      <c r="Y111" s="228">
        <v>0.42</v>
      </c>
      <c r="Z111" s="228">
        <v>0.06</v>
      </c>
      <c r="AA111" s="228">
        <v>0.36</v>
      </c>
      <c r="AB111" s="229">
        <v>2.8999999999999998E-3</v>
      </c>
      <c r="AC111" s="228">
        <v>-0.06</v>
      </c>
      <c r="AD111" s="228">
        <v>0.06</v>
      </c>
      <c r="AE111" s="228">
        <v>-0.12</v>
      </c>
      <c r="AF111" s="229">
        <v>-4.0000000000000002E-4</v>
      </c>
      <c r="AG111" s="228">
        <v>0.42</v>
      </c>
      <c r="AH111" s="228">
        <v>0.47</v>
      </c>
      <c r="AI111" s="228">
        <v>-0.05</v>
      </c>
      <c r="AJ111" s="229">
        <v>2.8999999999999998E-3</v>
      </c>
      <c r="AK111" s="228">
        <v>1.1599999999999999</v>
      </c>
      <c r="AL111" s="228">
        <v>1.37</v>
      </c>
      <c r="AM111" s="228">
        <v>-0.21</v>
      </c>
      <c r="AN111" s="229">
        <v>8.0000000000000002E-3</v>
      </c>
      <c r="AO111" s="228">
        <v>145.6</v>
      </c>
      <c r="AP111" s="228">
        <v>145.87</v>
      </c>
      <c r="AQ111" s="228">
        <v>0</v>
      </c>
      <c r="AR111" s="230">
        <v>61405500</v>
      </c>
      <c r="AS111" s="230">
        <v>64949625</v>
      </c>
      <c r="AT111" s="230">
        <v>-3544125</v>
      </c>
      <c r="AU111" s="229">
        <v>-5.4600000000000003E-2</v>
      </c>
      <c r="AV111" s="230">
        <v>26573625</v>
      </c>
      <c r="AW111" s="230">
        <v>32355375</v>
      </c>
      <c r="AX111" s="230">
        <v>-5781750</v>
      </c>
      <c r="AY111" s="229">
        <v>-0.1787</v>
      </c>
      <c r="AZ111" s="230">
        <v>32959875</v>
      </c>
      <c r="BA111" s="230">
        <v>31463250</v>
      </c>
      <c r="BB111" s="230">
        <v>1496625</v>
      </c>
      <c r="BC111" s="229">
        <v>4.7600000000000003E-2</v>
      </c>
      <c r="BD111" s="230">
        <v>1872000</v>
      </c>
      <c r="BE111" s="230">
        <v>1131000</v>
      </c>
      <c r="BF111" s="230">
        <v>741000</v>
      </c>
      <c r="BG111" s="229">
        <v>0.6552</v>
      </c>
      <c r="BH111" s="230">
        <v>64286625</v>
      </c>
      <c r="BI111" s="230">
        <v>120705000</v>
      </c>
      <c r="BJ111" s="230">
        <v>-56418375</v>
      </c>
      <c r="BK111" s="229">
        <v>-0.46739999999999998</v>
      </c>
      <c r="BL111" s="230">
        <v>76873875</v>
      </c>
      <c r="BM111" s="230">
        <v>38775750</v>
      </c>
      <c r="BN111" s="230">
        <v>38098125</v>
      </c>
      <c r="BO111" s="229">
        <v>0.98250000000000004</v>
      </c>
      <c r="BP111" s="230">
        <v>202566000</v>
      </c>
      <c r="BQ111" s="230">
        <v>224430375</v>
      </c>
      <c r="BR111" s="230">
        <v>-21864375</v>
      </c>
      <c r="BS111" s="229">
        <v>-9.74E-2</v>
      </c>
      <c r="BT111" s="230">
        <v>12837427</v>
      </c>
      <c r="BU111" s="230">
        <v>9674723</v>
      </c>
      <c r="BV111" s="230">
        <v>3162704</v>
      </c>
      <c r="BW111" s="229">
        <v>0.32690000000000002</v>
      </c>
      <c r="BX111" s="230">
        <v>69161625</v>
      </c>
      <c r="BY111" s="230">
        <v>97875375</v>
      </c>
      <c r="BZ111" s="230">
        <v>-28713750</v>
      </c>
      <c r="CA111" s="229">
        <v>-0.29339999999999999</v>
      </c>
      <c r="CB111" s="230">
        <v>27719250</v>
      </c>
      <c r="CC111" s="230">
        <v>34168875</v>
      </c>
      <c r="CD111" s="230">
        <v>-6449625</v>
      </c>
      <c r="CE111" s="229">
        <v>-0.1888</v>
      </c>
      <c r="CF111" s="230">
        <v>67099500</v>
      </c>
      <c r="CG111" s="230">
        <v>61858875</v>
      </c>
      <c r="CH111" s="230">
        <v>5240625</v>
      </c>
      <c r="CI111" s="229">
        <v>8.4699999999999998E-2</v>
      </c>
      <c r="CJ111" s="230">
        <v>2062125</v>
      </c>
      <c r="CK111" s="230">
        <v>1847625</v>
      </c>
      <c r="CL111" s="230">
        <v>214500</v>
      </c>
      <c r="CM111" s="229">
        <v>0.11609999999999999</v>
      </c>
      <c r="CN111" s="230">
        <v>33062250</v>
      </c>
      <c r="CO111" s="230">
        <v>70429125</v>
      </c>
      <c r="CP111" s="230">
        <v>-37366875</v>
      </c>
      <c r="CQ111" s="229">
        <v>-0.53059999999999996</v>
      </c>
      <c r="CR111" s="230">
        <v>25569375</v>
      </c>
      <c r="CS111" s="230">
        <v>45205875</v>
      </c>
      <c r="CT111" s="230">
        <v>-19636500</v>
      </c>
      <c r="CU111" s="229">
        <v>-0.43440000000000001</v>
      </c>
      <c r="CV111" s="230">
        <v>127793250</v>
      </c>
      <c r="CW111" s="230">
        <v>213510375</v>
      </c>
      <c r="CX111" s="230">
        <v>-85717125</v>
      </c>
      <c r="CY111" s="229">
        <v>-0.40150000000000002</v>
      </c>
      <c r="CZ111" s="228">
        <v>27</v>
      </c>
      <c r="DA111" s="228">
        <v>26.95</v>
      </c>
      <c r="DB111" s="228">
        <v>0.05</v>
      </c>
      <c r="DC111" s="228">
        <v>0.05</v>
      </c>
      <c r="DD111" s="228">
        <v>34.6</v>
      </c>
      <c r="DE111" s="228">
        <v>34.54</v>
      </c>
      <c r="DF111" s="228">
        <v>-7.6</v>
      </c>
      <c r="DG111" s="228">
        <v>0.06</v>
      </c>
      <c r="DH111" s="228">
        <v>27.44</v>
      </c>
      <c r="DI111" s="228">
        <v>27.48</v>
      </c>
      <c r="DJ111" s="228">
        <v>-0.04</v>
      </c>
      <c r="DK111" s="228">
        <v>-0.04</v>
      </c>
      <c r="DL111" s="228">
        <v>26.67</v>
      </c>
      <c r="DM111" s="228">
        <v>25.67</v>
      </c>
      <c r="DN111" s="228">
        <v>1</v>
      </c>
      <c r="DO111" s="228">
        <v>1</v>
      </c>
      <c r="DP111" s="228">
        <v>0.77</v>
      </c>
      <c r="DQ111" s="228">
        <v>0.64</v>
      </c>
      <c r="DR111" s="228">
        <v>0.13</v>
      </c>
      <c r="DS111" s="229">
        <v>0.2031</v>
      </c>
      <c r="DT111" s="228">
        <v>150</v>
      </c>
      <c r="DU111" s="228">
        <v>140</v>
      </c>
      <c r="DV111" s="228">
        <v>1.2</v>
      </c>
      <c r="DW111" s="228">
        <v>0.32</v>
      </c>
      <c r="DX111" s="228">
        <v>0.88</v>
      </c>
      <c r="DY111" s="229">
        <v>2.75</v>
      </c>
      <c r="DZ111" s="229">
        <v>0.71389999999999998</v>
      </c>
      <c r="EA111" s="230">
        <v>63706500</v>
      </c>
      <c r="EB111" s="229">
        <v>3.3E-3</v>
      </c>
      <c r="EC111" s="229">
        <v>0.71389999999999998</v>
      </c>
      <c r="ED111" s="228">
        <v>0.27</v>
      </c>
      <c r="EE111" s="229">
        <v>1.9E-3</v>
      </c>
      <c r="EF111" s="230">
        <v>3928199</v>
      </c>
      <c r="EG111" s="230">
        <v>3907902</v>
      </c>
      <c r="EH111" s="229">
        <v>5.1999999999999998E-3</v>
      </c>
      <c r="EI111" s="229">
        <v>0.30599999999999999</v>
      </c>
      <c r="EJ111" s="231">
        <v>98823.62</v>
      </c>
      <c r="EK111" s="231">
        <v>112578.93</v>
      </c>
      <c r="EL111" s="231">
        <v>89508.83</v>
      </c>
      <c r="EM111" s="228">
        <v>0</v>
      </c>
      <c r="EN111" s="231">
        <v>300911.38</v>
      </c>
      <c r="EO111" s="231">
        <v>340598.8</v>
      </c>
      <c r="EP111" s="231">
        <v>-39687.42</v>
      </c>
      <c r="EQ111" s="229">
        <v>-0.11650000000000001</v>
      </c>
      <c r="ER111" s="231">
        <v>51776</v>
      </c>
      <c r="ES111" s="231">
        <v>37126</v>
      </c>
      <c r="ET111" s="231">
        <v>101019</v>
      </c>
      <c r="EU111" s="231">
        <v>1369807723</v>
      </c>
      <c r="EV111" s="231">
        <v>189920</v>
      </c>
      <c r="EW111" s="231">
        <v>321032</v>
      </c>
      <c r="EX111" s="231">
        <v>-131112</v>
      </c>
      <c r="EY111" s="229">
        <v>-0.40839999999999999</v>
      </c>
      <c r="EZ111" s="229">
        <v>9.3299999999999994E-2</v>
      </c>
      <c r="FA111" s="227" t="s">
        <v>568</v>
      </c>
      <c r="FB111" s="161">
        <f t="shared" si="1"/>
        <v>41442375</v>
      </c>
    </row>
    <row r="112" spans="1:158" ht="17.25" thickBot="1" x14ac:dyDescent="0.3">
      <c r="A112" s="226">
        <v>45869</v>
      </c>
      <c r="B112" s="227" t="s">
        <v>215</v>
      </c>
      <c r="C112" s="227" t="s">
        <v>595</v>
      </c>
      <c r="D112" s="228">
        <v>11675</v>
      </c>
      <c r="E112" s="228">
        <v>45.27</v>
      </c>
      <c r="F112" s="228">
        <v>46.22</v>
      </c>
      <c r="G112" s="228">
        <v>-0.95</v>
      </c>
      <c r="H112" s="229">
        <v>-2.06E-2</v>
      </c>
      <c r="I112" s="228">
        <v>45.07</v>
      </c>
      <c r="J112" s="228">
        <v>46.04</v>
      </c>
      <c r="K112" s="228">
        <v>-0.97</v>
      </c>
      <c r="L112" s="229">
        <v>-2.1100000000000001E-2</v>
      </c>
      <c r="M112" s="228">
        <v>45.03</v>
      </c>
      <c r="N112" s="228">
        <v>45.99</v>
      </c>
      <c r="O112" s="228">
        <v>-0.96</v>
      </c>
      <c r="P112" s="229">
        <v>-2.0899999999999998E-2</v>
      </c>
      <c r="Q112" s="228">
        <v>45.27</v>
      </c>
      <c r="R112" s="228">
        <v>46.22</v>
      </c>
      <c r="S112" s="228">
        <v>-0.95</v>
      </c>
      <c r="T112" s="229">
        <v>-2.06E-2</v>
      </c>
      <c r="U112" s="228">
        <v>0</v>
      </c>
      <c r="V112" s="228">
        <v>0</v>
      </c>
      <c r="W112" s="228">
        <v>0</v>
      </c>
      <c r="X112" s="229">
        <v>0</v>
      </c>
      <c r="Y112" s="228">
        <v>0.2</v>
      </c>
      <c r="Z112" s="228">
        <v>-0.05</v>
      </c>
      <c r="AA112" s="228">
        <v>0.25</v>
      </c>
      <c r="AB112" s="229">
        <v>4.4000000000000003E-3</v>
      </c>
      <c r="AC112" s="228">
        <v>-0.04</v>
      </c>
      <c r="AD112" s="228">
        <v>-0.05</v>
      </c>
      <c r="AE112" s="228">
        <v>0.01</v>
      </c>
      <c r="AF112" s="229">
        <v>-8.9999999999999998E-4</v>
      </c>
      <c r="AG112" s="228">
        <v>0.2</v>
      </c>
      <c r="AH112" s="228">
        <v>0.18</v>
      </c>
      <c r="AI112" s="228">
        <v>0.02</v>
      </c>
      <c r="AJ112" s="229">
        <v>4.4000000000000003E-3</v>
      </c>
      <c r="AK112" s="228">
        <v>0</v>
      </c>
      <c r="AL112" s="228">
        <v>0</v>
      </c>
      <c r="AM112" s="228">
        <v>0</v>
      </c>
      <c r="AN112" s="229">
        <v>0</v>
      </c>
      <c r="AO112" s="228">
        <v>45.3</v>
      </c>
      <c r="AP112" s="228">
        <v>45.53</v>
      </c>
      <c r="AQ112" s="228">
        <v>0</v>
      </c>
      <c r="AR112" s="230">
        <v>65286600</v>
      </c>
      <c r="AS112" s="230">
        <v>45474125</v>
      </c>
      <c r="AT112" s="230">
        <v>19812475</v>
      </c>
      <c r="AU112" s="229">
        <v>0.43569999999999998</v>
      </c>
      <c r="AV112" s="230">
        <v>31732650</v>
      </c>
      <c r="AW112" s="230">
        <v>22077425</v>
      </c>
      <c r="AX112" s="230">
        <v>9655225</v>
      </c>
      <c r="AY112" s="229">
        <v>0.43730000000000002</v>
      </c>
      <c r="AZ112" s="230">
        <v>33553950</v>
      </c>
      <c r="BA112" s="230">
        <v>23396700</v>
      </c>
      <c r="BB112" s="230">
        <v>10157250</v>
      </c>
      <c r="BC112" s="229">
        <v>0.43409999999999999</v>
      </c>
      <c r="BD112" s="228">
        <v>0</v>
      </c>
      <c r="BE112" s="228">
        <v>0</v>
      </c>
      <c r="BF112" s="228">
        <v>0</v>
      </c>
      <c r="BG112" s="229">
        <v>0</v>
      </c>
      <c r="BH112" s="230">
        <v>12784125</v>
      </c>
      <c r="BI112" s="230">
        <v>7261850</v>
      </c>
      <c r="BJ112" s="230">
        <v>5522275</v>
      </c>
      <c r="BK112" s="229">
        <v>0.76049999999999995</v>
      </c>
      <c r="BL112" s="230">
        <v>9246600</v>
      </c>
      <c r="BM112" s="230">
        <v>2918750</v>
      </c>
      <c r="BN112" s="230">
        <v>6327850</v>
      </c>
      <c r="BO112" s="229">
        <v>2.1680000000000001</v>
      </c>
      <c r="BP112" s="230">
        <v>87317325</v>
      </c>
      <c r="BQ112" s="230">
        <v>55654725</v>
      </c>
      <c r="BR112" s="230">
        <v>31662600</v>
      </c>
      <c r="BS112" s="229">
        <v>0.56889999999999996</v>
      </c>
      <c r="BT112" s="230">
        <v>8125502</v>
      </c>
      <c r="BU112" s="230">
        <v>6282345</v>
      </c>
      <c r="BV112" s="230">
        <v>1843157</v>
      </c>
      <c r="BW112" s="229">
        <v>0.29339999999999999</v>
      </c>
      <c r="BX112" s="230">
        <v>82425500</v>
      </c>
      <c r="BY112" s="230">
        <v>91240125</v>
      </c>
      <c r="BZ112" s="230">
        <v>-8814625</v>
      </c>
      <c r="CA112" s="229">
        <v>-9.6600000000000005E-2</v>
      </c>
      <c r="CB112" s="230">
        <v>5639025</v>
      </c>
      <c r="CC112" s="230">
        <v>24926125</v>
      </c>
      <c r="CD112" s="230">
        <v>-19287100</v>
      </c>
      <c r="CE112" s="229">
        <v>-0.77380000000000004</v>
      </c>
      <c r="CF112" s="230">
        <v>82425500</v>
      </c>
      <c r="CG112" s="230">
        <v>66314000</v>
      </c>
      <c r="CH112" s="230">
        <v>16111500</v>
      </c>
      <c r="CI112" s="229">
        <v>0.24299999999999999</v>
      </c>
      <c r="CJ112" s="228">
        <v>0</v>
      </c>
      <c r="CK112" s="228">
        <v>0</v>
      </c>
      <c r="CL112" s="228">
        <v>0</v>
      </c>
      <c r="CM112" s="229">
        <v>0</v>
      </c>
      <c r="CN112" s="230">
        <v>11266375</v>
      </c>
      <c r="CO112" s="230">
        <v>41166050</v>
      </c>
      <c r="CP112" s="230">
        <v>-29899675</v>
      </c>
      <c r="CQ112" s="229">
        <v>-0.72629999999999995</v>
      </c>
      <c r="CR112" s="230">
        <v>6362875</v>
      </c>
      <c r="CS112" s="230">
        <v>14815575</v>
      </c>
      <c r="CT112" s="230">
        <v>-8452700</v>
      </c>
      <c r="CU112" s="229">
        <v>-0.57050000000000001</v>
      </c>
      <c r="CV112" s="230">
        <v>100054750</v>
      </c>
      <c r="CW112" s="230">
        <v>147221750</v>
      </c>
      <c r="CX112" s="230">
        <v>-47167000</v>
      </c>
      <c r="CY112" s="229">
        <v>-0.32040000000000002</v>
      </c>
      <c r="CZ112" s="228">
        <v>35.520000000000003</v>
      </c>
      <c r="DA112" s="228">
        <v>35.67</v>
      </c>
      <c r="DB112" s="228">
        <v>-0.15</v>
      </c>
      <c r="DC112" s="228">
        <v>-0.15</v>
      </c>
      <c r="DD112" s="228">
        <v>49.66</v>
      </c>
      <c r="DE112" s="228">
        <v>49.7</v>
      </c>
      <c r="DF112" s="228">
        <v>-14.14</v>
      </c>
      <c r="DG112" s="228">
        <v>-0.04</v>
      </c>
      <c r="DH112" s="228">
        <v>36.99</v>
      </c>
      <c r="DI112" s="228">
        <v>36.24</v>
      </c>
      <c r="DJ112" s="228">
        <v>0.75</v>
      </c>
      <c r="DK112" s="228">
        <v>0.75</v>
      </c>
      <c r="DL112" s="228">
        <v>33.21</v>
      </c>
      <c r="DM112" s="228">
        <v>33.380000000000003</v>
      </c>
      <c r="DN112" s="228">
        <v>-0.17</v>
      </c>
      <c r="DO112" s="228">
        <v>-0.17</v>
      </c>
      <c r="DP112" s="228">
        <v>0.56000000000000005</v>
      </c>
      <c r="DQ112" s="228">
        <v>0.36</v>
      </c>
      <c r="DR112" s="228">
        <v>0.2</v>
      </c>
      <c r="DS112" s="229">
        <v>0.55559999999999998</v>
      </c>
      <c r="DT112" s="228">
        <v>50</v>
      </c>
      <c r="DU112" s="228">
        <v>50</v>
      </c>
      <c r="DV112" s="228">
        <v>0.72</v>
      </c>
      <c r="DW112" s="228">
        <v>0.4</v>
      </c>
      <c r="DX112" s="228">
        <v>0.32</v>
      </c>
      <c r="DY112" s="229">
        <v>0.8</v>
      </c>
      <c r="DZ112" s="229">
        <v>0.93600000000000005</v>
      </c>
      <c r="EA112" s="230">
        <v>66314000</v>
      </c>
      <c r="EB112" s="229">
        <v>5.3E-3</v>
      </c>
      <c r="EC112" s="229">
        <v>0.93600000000000005</v>
      </c>
      <c r="ED112" s="228">
        <v>0.23</v>
      </c>
      <c r="EE112" s="229">
        <v>5.1000000000000004E-3</v>
      </c>
      <c r="EF112" s="230">
        <v>3477174</v>
      </c>
      <c r="EG112" s="230">
        <v>2539953</v>
      </c>
      <c r="EH112" s="229">
        <v>0.36899999999999999</v>
      </c>
      <c r="EI112" s="229">
        <v>0.4279</v>
      </c>
      <c r="EJ112" s="231">
        <v>6308.19</v>
      </c>
      <c r="EK112" s="231">
        <v>4576.5200000000004</v>
      </c>
      <c r="EL112" s="231">
        <v>29653.65</v>
      </c>
      <c r="EM112" s="228">
        <v>0</v>
      </c>
      <c r="EN112" s="231">
        <v>40538.36</v>
      </c>
      <c r="EO112" s="231">
        <v>26056.51</v>
      </c>
      <c r="EP112" s="231">
        <v>14481.85</v>
      </c>
      <c r="EQ112" s="229">
        <v>0.55579999999999996</v>
      </c>
      <c r="ER112" s="231">
        <v>5598</v>
      </c>
      <c r="ES112" s="231">
        <v>2926</v>
      </c>
      <c r="ET112" s="231">
        <v>37314</v>
      </c>
      <c r="EU112" s="231">
        <v>840388804</v>
      </c>
      <c r="EV112" s="231">
        <v>45838</v>
      </c>
      <c r="EW112" s="231">
        <v>70321</v>
      </c>
      <c r="EX112" s="231">
        <v>-24483</v>
      </c>
      <c r="EY112" s="229">
        <v>-0.34820000000000001</v>
      </c>
      <c r="EZ112" s="229">
        <v>0.1191</v>
      </c>
      <c r="FA112" s="227" t="s">
        <v>568</v>
      </c>
      <c r="FB112" s="161">
        <f t="shared" si="1"/>
        <v>76786475</v>
      </c>
    </row>
    <row r="113" spans="1:158" ht="17.25" thickBot="1" x14ac:dyDescent="0.3">
      <c r="A113" s="226">
        <v>45869</v>
      </c>
      <c r="B113" s="227" t="s">
        <v>215</v>
      </c>
      <c r="C113" s="227" t="s">
        <v>490</v>
      </c>
      <c r="D113" s="228">
        <v>875</v>
      </c>
      <c r="E113" s="228">
        <v>728.3</v>
      </c>
      <c r="F113" s="228">
        <v>739.4</v>
      </c>
      <c r="G113" s="228">
        <v>-11.1</v>
      </c>
      <c r="H113" s="229">
        <v>-1.4999999999999999E-2</v>
      </c>
      <c r="I113" s="228">
        <v>726.05</v>
      </c>
      <c r="J113" s="228">
        <v>736.15</v>
      </c>
      <c r="K113" s="228">
        <v>-10.1</v>
      </c>
      <c r="L113" s="229">
        <v>-1.37E-2</v>
      </c>
      <c r="M113" s="228">
        <v>724.65</v>
      </c>
      <c r="N113" s="228">
        <v>736.35</v>
      </c>
      <c r="O113" s="228">
        <v>-11.7</v>
      </c>
      <c r="P113" s="229">
        <v>-1.5900000000000001E-2</v>
      </c>
      <c r="Q113" s="228">
        <v>728.3</v>
      </c>
      <c r="R113" s="228">
        <v>739.4</v>
      </c>
      <c r="S113" s="228">
        <v>-11.1</v>
      </c>
      <c r="T113" s="229">
        <v>-1.4999999999999999E-2</v>
      </c>
      <c r="U113" s="228">
        <v>731.65</v>
      </c>
      <c r="V113" s="228">
        <v>743.55</v>
      </c>
      <c r="W113" s="228">
        <v>-11.9</v>
      </c>
      <c r="X113" s="229">
        <v>-1.6E-2</v>
      </c>
      <c r="Y113" s="228">
        <v>2.25</v>
      </c>
      <c r="Z113" s="228">
        <v>0.2</v>
      </c>
      <c r="AA113" s="228">
        <v>2.0499999999999998</v>
      </c>
      <c r="AB113" s="229">
        <v>3.0999999999999999E-3</v>
      </c>
      <c r="AC113" s="228">
        <v>-1.4</v>
      </c>
      <c r="AD113" s="228">
        <v>0.2</v>
      </c>
      <c r="AE113" s="228">
        <v>-1.6</v>
      </c>
      <c r="AF113" s="229">
        <v>-1.9E-3</v>
      </c>
      <c r="AG113" s="228">
        <v>2.25</v>
      </c>
      <c r="AH113" s="228">
        <v>3.25</v>
      </c>
      <c r="AI113" s="228">
        <v>-1</v>
      </c>
      <c r="AJ113" s="229">
        <v>3.0999999999999999E-3</v>
      </c>
      <c r="AK113" s="228">
        <v>5.6</v>
      </c>
      <c r="AL113" s="228">
        <v>7.4</v>
      </c>
      <c r="AM113" s="228">
        <v>-1.8</v>
      </c>
      <c r="AN113" s="229">
        <v>7.7000000000000002E-3</v>
      </c>
      <c r="AO113" s="228">
        <v>727.36</v>
      </c>
      <c r="AP113" s="228">
        <v>730.61</v>
      </c>
      <c r="AQ113" s="228">
        <v>0</v>
      </c>
      <c r="AR113" s="230">
        <v>9586500</v>
      </c>
      <c r="AS113" s="230">
        <v>8689625</v>
      </c>
      <c r="AT113" s="230">
        <v>896875</v>
      </c>
      <c r="AU113" s="229">
        <v>0.1032</v>
      </c>
      <c r="AV113" s="230">
        <v>4392500</v>
      </c>
      <c r="AW113" s="230">
        <v>4397750</v>
      </c>
      <c r="AX113" s="230">
        <v>-5250</v>
      </c>
      <c r="AY113" s="229">
        <v>-1.1999999999999999E-3</v>
      </c>
      <c r="AZ113" s="230">
        <v>4840500</v>
      </c>
      <c r="BA113" s="230">
        <v>4008375</v>
      </c>
      <c r="BB113" s="230">
        <v>832125</v>
      </c>
      <c r="BC113" s="229">
        <v>0.20760000000000001</v>
      </c>
      <c r="BD113" s="230">
        <v>353500</v>
      </c>
      <c r="BE113" s="230">
        <v>283500</v>
      </c>
      <c r="BF113" s="230">
        <v>70000</v>
      </c>
      <c r="BG113" s="229">
        <v>0.24690000000000001</v>
      </c>
      <c r="BH113" s="230">
        <v>6216875</v>
      </c>
      <c r="BI113" s="230">
        <v>6004250</v>
      </c>
      <c r="BJ113" s="230">
        <v>212625</v>
      </c>
      <c r="BK113" s="229">
        <v>3.5400000000000001E-2</v>
      </c>
      <c r="BL113" s="230">
        <v>4228875</v>
      </c>
      <c r="BM113" s="230">
        <v>2646000</v>
      </c>
      <c r="BN113" s="230">
        <v>1582875</v>
      </c>
      <c r="BO113" s="229">
        <v>0.59819999999999995</v>
      </c>
      <c r="BP113" s="230">
        <v>20032250</v>
      </c>
      <c r="BQ113" s="230">
        <v>17339875</v>
      </c>
      <c r="BR113" s="230">
        <v>2692375</v>
      </c>
      <c r="BS113" s="229">
        <v>0.15529999999999999</v>
      </c>
      <c r="BT113" s="230">
        <v>795995</v>
      </c>
      <c r="BU113" s="230">
        <v>856327</v>
      </c>
      <c r="BV113" s="230">
        <v>-60332</v>
      </c>
      <c r="BW113" s="229">
        <v>-7.0499999999999993E-2</v>
      </c>
      <c r="BX113" s="230">
        <v>14169750</v>
      </c>
      <c r="BY113" s="230">
        <v>15286250</v>
      </c>
      <c r="BZ113" s="230">
        <v>-1116500</v>
      </c>
      <c r="CA113" s="229">
        <v>-7.2999999999999995E-2</v>
      </c>
      <c r="CB113" s="230">
        <v>1187375</v>
      </c>
      <c r="CC113" s="230">
        <v>3771250</v>
      </c>
      <c r="CD113" s="230">
        <v>-2583875</v>
      </c>
      <c r="CE113" s="229">
        <v>-0.68520000000000003</v>
      </c>
      <c r="CF113" s="230">
        <v>13428625</v>
      </c>
      <c r="CG113" s="230">
        <v>10952375</v>
      </c>
      <c r="CH113" s="230">
        <v>2476250</v>
      </c>
      <c r="CI113" s="229">
        <v>0.2261</v>
      </c>
      <c r="CJ113" s="230">
        <v>741125</v>
      </c>
      <c r="CK113" s="230">
        <v>562625</v>
      </c>
      <c r="CL113" s="230">
        <v>178500</v>
      </c>
      <c r="CM113" s="229">
        <v>0.31730000000000003</v>
      </c>
      <c r="CN113" s="230">
        <v>3983000</v>
      </c>
      <c r="CO113" s="230">
        <v>9020375</v>
      </c>
      <c r="CP113" s="230">
        <v>-5037375</v>
      </c>
      <c r="CQ113" s="229">
        <v>-0.55840000000000001</v>
      </c>
      <c r="CR113" s="230">
        <v>3414250</v>
      </c>
      <c r="CS113" s="230">
        <v>5656875</v>
      </c>
      <c r="CT113" s="230">
        <v>-2242625</v>
      </c>
      <c r="CU113" s="229">
        <v>-0.39639999999999997</v>
      </c>
      <c r="CV113" s="230">
        <v>21567000</v>
      </c>
      <c r="CW113" s="230">
        <v>29963500</v>
      </c>
      <c r="CX113" s="230">
        <v>-8396500</v>
      </c>
      <c r="CY113" s="229">
        <v>-0.2802</v>
      </c>
      <c r="CZ113" s="228">
        <v>25.79</v>
      </c>
      <c r="DA113" s="228">
        <v>24.62</v>
      </c>
      <c r="DB113" s="228">
        <v>1.17</v>
      </c>
      <c r="DC113" s="228">
        <v>1.17</v>
      </c>
      <c r="DD113" s="228">
        <v>34.17</v>
      </c>
      <c r="DE113" s="228">
        <v>34.19</v>
      </c>
      <c r="DF113" s="228">
        <v>-8.3800000000000008</v>
      </c>
      <c r="DG113" s="228">
        <v>-0.02</v>
      </c>
      <c r="DH113" s="228">
        <v>25.89</v>
      </c>
      <c r="DI113" s="228">
        <v>24.59</v>
      </c>
      <c r="DJ113" s="228">
        <v>1.3</v>
      </c>
      <c r="DK113" s="228">
        <v>1.3</v>
      </c>
      <c r="DL113" s="228">
        <v>25.63</v>
      </c>
      <c r="DM113" s="228">
        <v>24.67</v>
      </c>
      <c r="DN113" s="228">
        <v>0.96</v>
      </c>
      <c r="DO113" s="228">
        <v>0.96</v>
      </c>
      <c r="DP113" s="228">
        <v>0.86</v>
      </c>
      <c r="DQ113" s="228">
        <v>0.63</v>
      </c>
      <c r="DR113" s="228">
        <v>0.23</v>
      </c>
      <c r="DS113" s="229">
        <v>0.36509999999999998</v>
      </c>
      <c r="DT113" s="228">
        <v>800</v>
      </c>
      <c r="DU113" s="228">
        <v>800</v>
      </c>
      <c r="DV113" s="228">
        <v>0.68</v>
      </c>
      <c r="DW113" s="228">
        <v>0.44</v>
      </c>
      <c r="DX113" s="228">
        <v>0.24</v>
      </c>
      <c r="DY113" s="229">
        <v>0.54549999999999998</v>
      </c>
      <c r="DZ113" s="229">
        <v>0.92269999999999996</v>
      </c>
      <c r="EA113" s="230">
        <v>11515000</v>
      </c>
      <c r="EB113" s="229">
        <v>5.0000000000000001E-3</v>
      </c>
      <c r="EC113" s="229">
        <v>0.92269999999999996</v>
      </c>
      <c r="ED113" s="228">
        <v>3.25</v>
      </c>
      <c r="EE113" s="229">
        <v>4.4999999999999997E-3</v>
      </c>
      <c r="EF113" s="230">
        <v>309087</v>
      </c>
      <c r="EG113" s="230">
        <v>391269</v>
      </c>
      <c r="EH113" s="229">
        <v>-0.21</v>
      </c>
      <c r="EI113" s="229">
        <v>0.38829999999999998</v>
      </c>
      <c r="EJ113" s="231">
        <v>47980.81</v>
      </c>
      <c r="EK113" s="231">
        <v>31959.88</v>
      </c>
      <c r="EL113" s="231">
        <v>69908.02</v>
      </c>
      <c r="EM113" s="228">
        <v>0</v>
      </c>
      <c r="EN113" s="231">
        <v>149848.71</v>
      </c>
      <c r="EO113" s="231">
        <v>131141.14000000001</v>
      </c>
      <c r="EP113" s="231">
        <v>18707.57</v>
      </c>
      <c r="EQ113" s="229">
        <v>0.14269999999999999</v>
      </c>
      <c r="ER113" s="231">
        <v>31732</v>
      </c>
      <c r="ES113" s="231">
        <v>25374</v>
      </c>
      <c r="ET113" s="231">
        <v>103223</v>
      </c>
      <c r="EU113" s="231">
        <v>60165566</v>
      </c>
      <c r="EV113" s="231">
        <v>160328</v>
      </c>
      <c r="EW113" s="231">
        <v>227428</v>
      </c>
      <c r="EX113" s="231">
        <v>-67100</v>
      </c>
      <c r="EY113" s="229">
        <v>-0.29499999999999998</v>
      </c>
      <c r="EZ113" s="229">
        <v>0.35849999999999999</v>
      </c>
      <c r="FA113" s="227" t="s">
        <v>568</v>
      </c>
      <c r="FB113" s="161">
        <f t="shared" si="1"/>
        <v>12982375</v>
      </c>
    </row>
    <row r="114" spans="1:158" ht="17.25" thickBot="1" x14ac:dyDescent="0.3">
      <c r="A114" s="226">
        <v>45869</v>
      </c>
      <c r="B114" s="227" t="s">
        <v>175</v>
      </c>
      <c r="C114" s="227" t="s">
        <v>666</v>
      </c>
      <c r="D114" s="228">
        <v>3450</v>
      </c>
      <c r="E114" s="228">
        <v>147.66999999999999</v>
      </c>
      <c r="F114" s="228">
        <v>148.47999999999999</v>
      </c>
      <c r="G114" s="228">
        <v>-0.81</v>
      </c>
      <c r="H114" s="229">
        <v>-5.4999999999999997E-3</v>
      </c>
      <c r="I114" s="228">
        <v>147.38</v>
      </c>
      <c r="J114" s="228">
        <v>150.22</v>
      </c>
      <c r="K114" s="228">
        <v>-2.84</v>
      </c>
      <c r="L114" s="229">
        <v>-1.89E-2</v>
      </c>
      <c r="M114" s="228">
        <v>147.16</v>
      </c>
      <c r="N114" s="228">
        <v>150.57</v>
      </c>
      <c r="O114" s="228">
        <v>-3.41</v>
      </c>
      <c r="P114" s="229">
        <v>-2.2599999999999999E-2</v>
      </c>
      <c r="Q114" s="228">
        <v>147.66999999999999</v>
      </c>
      <c r="R114" s="228">
        <v>148.47999999999999</v>
      </c>
      <c r="S114" s="228">
        <v>-0.81</v>
      </c>
      <c r="T114" s="229">
        <v>-5.4999999999999997E-3</v>
      </c>
      <c r="U114" s="228">
        <v>147.25</v>
      </c>
      <c r="V114" s="228">
        <v>148.01</v>
      </c>
      <c r="W114" s="228">
        <v>-0.76</v>
      </c>
      <c r="X114" s="229">
        <v>-5.1000000000000004E-3</v>
      </c>
      <c r="Y114" s="228">
        <v>0.28999999999999998</v>
      </c>
      <c r="Z114" s="228">
        <v>0.35</v>
      </c>
      <c r="AA114" s="228">
        <v>-0.06</v>
      </c>
      <c r="AB114" s="229">
        <v>2E-3</v>
      </c>
      <c r="AC114" s="228">
        <v>-0.22</v>
      </c>
      <c r="AD114" s="228">
        <v>0.35</v>
      </c>
      <c r="AE114" s="228">
        <v>-0.56999999999999995</v>
      </c>
      <c r="AF114" s="229">
        <v>-1.5E-3</v>
      </c>
      <c r="AG114" s="228">
        <v>0.28999999999999998</v>
      </c>
      <c r="AH114" s="228">
        <v>-1.74</v>
      </c>
      <c r="AI114" s="228">
        <v>2.0299999999999998</v>
      </c>
      <c r="AJ114" s="229">
        <v>2E-3</v>
      </c>
      <c r="AK114" s="228">
        <v>-0.13</v>
      </c>
      <c r="AL114" s="228">
        <v>-2.21</v>
      </c>
      <c r="AM114" s="228">
        <v>2.08</v>
      </c>
      <c r="AN114" s="229">
        <v>-8.9999999999999998E-4</v>
      </c>
      <c r="AO114" s="228">
        <v>148.84</v>
      </c>
      <c r="AP114" s="228">
        <v>147.72999999999999</v>
      </c>
      <c r="AQ114" s="228">
        <v>0</v>
      </c>
      <c r="AR114" s="230">
        <v>30042600</v>
      </c>
      <c r="AS114" s="230">
        <v>32136750</v>
      </c>
      <c r="AT114" s="230">
        <v>-2094150</v>
      </c>
      <c r="AU114" s="229">
        <v>-6.5199999999999994E-2</v>
      </c>
      <c r="AV114" s="230">
        <v>14189850</v>
      </c>
      <c r="AW114" s="230">
        <v>14065650</v>
      </c>
      <c r="AX114" s="230">
        <v>124200</v>
      </c>
      <c r="AY114" s="229">
        <v>8.8000000000000005E-3</v>
      </c>
      <c r="AZ114" s="230">
        <v>14835000</v>
      </c>
      <c r="BA114" s="230">
        <v>16687650</v>
      </c>
      <c r="BB114" s="230">
        <v>-1852650</v>
      </c>
      <c r="BC114" s="229">
        <v>-0.111</v>
      </c>
      <c r="BD114" s="230">
        <v>1017750</v>
      </c>
      <c r="BE114" s="230">
        <v>1383450</v>
      </c>
      <c r="BF114" s="230">
        <v>-365700</v>
      </c>
      <c r="BG114" s="229">
        <v>-0.26429999999999998</v>
      </c>
      <c r="BH114" s="230">
        <v>25178100</v>
      </c>
      <c r="BI114" s="230">
        <v>18171150</v>
      </c>
      <c r="BJ114" s="230">
        <v>7006950</v>
      </c>
      <c r="BK114" s="229">
        <v>0.3856</v>
      </c>
      <c r="BL114" s="230">
        <v>9311550</v>
      </c>
      <c r="BM114" s="230">
        <v>6851700</v>
      </c>
      <c r="BN114" s="230">
        <v>2459850</v>
      </c>
      <c r="BO114" s="229">
        <v>0.35899999999999999</v>
      </c>
      <c r="BP114" s="230">
        <v>64532250</v>
      </c>
      <c r="BQ114" s="230">
        <v>57159600</v>
      </c>
      <c r="BR114" s="230">
        <v>7372650</v>
      </c>
      <c r="BS114" s="229">
        <v>0.129</v>
      </c>
      <c r="BT114" s="230">
        <v>7619533</v>
      </c>
      <c r="BU114" s="230">
        <v>5836700</v>
      </c>
      <c r="BV114" s="230">
        <v>1782833</v>
      </c>
      <c r="BW114" s="229">
        <v>0.30549999999999999</v>
      </c>
      <c r="BX114" s="230">
        <v>37087500</v>
      </c>
      <c r="BY114" s="230">
        <v>44736150</v>
      </c>
      <c r="BZ114" s="230">
        <v>-7648650</v>
      </c>
      <c r="CA114" s="229">
        <v>-0.17100000000000001</v>
      </c>
      <c r="CB114" s="230">
        <v>3301650</v>
      </c>
      <c r="CC114" s="230">
        <v>9501300</v>
      </c>
      <c r="CD114" s="230">
        <v>-6199650</v>
      </c>
      <c r="CE114" s="229">
        <v>-0.65249999999999997</v>
      </c>
      <c r="CF114" s="230">
        <v>34058400</v>
      </c>
      <c r="CG114" s="230">
        <v>32533500</v>
      </c>
      <c r="CH114" s="230">
        <v>1524900</v>
      </c>
      <c r="CI114" s="229">
        <v>4.6899999999999997E-2</v>
      </c>
      <c r="CJ114" s="230">
        <v>3029100</v>
      </c>
      <c r="CK114" s="230">
        <v>2701350</v>
      </c>
      <c r="CL114" s="230">
        <v>327750</v>
      </c>
      <c r="CM114" s="229">
        <v>0.12130000000000001</v>
      </c>
      <c r="CN114" s="230">
        <v>13368750</v>
      </c>
      <c r="CO114" s="230">
        <v>32609400</v>
      </c>
      <c r="CP114" s="230">
        <v>-19240650</v>
      </c>
      <c r="CQ114" s="229">
        <v>-0.59</v>
      </c>
      <c r="CR114" s="230">
        <v>9511650</v>
      </c>
      <c r="CS114" s="230">
        <v>15383550</v>
      </c>
      <c r="CT114" s="230">
        <v>-5871900</v>
      </c>
      <c r="CU114" s="229">
        <v>-0.38169999999999998</v>
      </c>
      <c r="CV114" s="230">
        <v>59967900</v>
      </c>
      <c r="CW114" s="230">
        <v>92729100</v>
      </c>
      <c r="CX114" s="230">
        <v>-32761200</v>
      </c>
      <c r="CY114" s="229">
        <v>-0.3533</v>
      </c>
      <c r="CZ114" s="228">
        <v>37.840000000000003</v>
      </c>
      <c r="DA114" s="228">
        <v>37.229999999999997</v>
      </c>
      <c r="DB114" s="228">
        <v>0.61</v>
      </c>
      <c r="DC114" s="228">
        <v>0.61</v>
      </c>
      <c r="DD114" s="228">
        <v>57.07</v>
      </c>
      <c r="DE114" s="228">
        <v>57.2</v>
      </c>
      <c r="DF114" s="228">
        <v>-19.23</v>
      </c>
      <c r="DG114" s="228">
        <v>-0.13</v>
      </c>
      <c r="DH114" s="228">
        <v>38.049999999999997</v>
      </c>
      <c r="DI114" s="228">
        <v>37.69</v>
      </c>
      <c r="DJ114" s="228">
        <v>0.36</v>
      </c>
      <c r="DK114" s="228">
        <v>0.36</v>
      </c>
      <c r="DL114" s="228">
        <v>37.17</v>
      </c>
      <c r="DM114" s="228">
        <v>35.99</v>
      </c>
      <c r="DN114" s="228">
        <v>1.18</v>
      </c>
      <c r="DO114" s="228">
        <v>1.18</v>
      </c>
      <c r="DP114" s="228">
        <v>0.71</v>
      </c>
      <c r="DQ114" s="228">
        <v>0.47</v>
      </c>
      <c r="DR114" s="228">
        <v>0.24</v>
      </c>
      <c r="DS114" s="229">
        <v>0.51060000000000005</v>
      </c>
      <c r="DT114" s="228">
        <v>170</v>
      </c>
      <c r="DU114" s="228">
        <v>140</v>
      </c>
      <c r="DV114" s="228">
        <v>0.37</v>
      </c>
      <c r="DW114" s="228">
        <v>0.38</v>
      </c>
      <c r="DX114" s="228">
        <v>-0.01</v>
      </c>
      <c r="DY114" s="229">
        <v>-2.63E-2</v>
      </c>
      <c r="DZ114" s="229">
        <v>0.91830000000000001</v>
      </c>
      <c r="EA114" s="230">
        <v>35234850</v>
      </c>
      <c r="EB114" s="229">
        <v>3.5000000000000001E-3</v>
      </c>
      <c r="EC114" s="229">
        <v>0.91830000000000001</v>
      </c>
      <c r="ED114" s="228">
        <v>-1.1100000000000001</v>
      </c>
      <c r="EE114" s="229">
        <v>-7.4999999999999997E-3</v>
      </c>
      <c r="EF114" s="230">
        <v>2177840</v>
      </c>
      <c r="EG114" s="230">
        <v>1795735</v>
      </c>
      <c r="EH114" s="229">
        <v>0.21279999999999999</v>
      </c>
      <c r="EI114" s="229">
        <v>0.2858</v>
      </c>
      <c r="EJ114" s="231">
        <v>40663.879999999997</v>
      </c>
      <c r="EK114" s="231">
        <v>14536.74</v>
      </c>
      <c r="EL114" s="231">
        <v>44534.69</v>
      </c>
      <c r="EM114" s="228">
        <v>0</v>
      </c>
      <c r="EN114" s="231">
        <v>99735.31</v>
      </c>
      <c r="EO114" s="231">
        <v>88699.77</v>
      </c>
      <c r="EP114" s="231">
        <v>11035.54</v>
      </c>
      <c r="EQ114" s="229">
        <v>0.1244</v>
      </c>
      <c r="ER114" s="231">
        <v>21857</v>
      </c>
      <c r="ES114" s="231">
        <v>14202</v>
      </c>
      <c r="ET114" s="231">
        <v>54754</v>
      </c>
      <c r="EU114" s="231">
        <v>158681547</v>
      </c>
      <c r="EV114" s="231">
        <v>90813</v>
      </c>
      <c r="EW114" s="231">
        <v>146127</v>
      </c>
      <c r="EX114" s="231">
        <v>-55314</v>
      </c>
      <c r="EY114" s="229">
        <v>-0.3785</v>
      </c>
      <c r="EZ114" s="229">
        <v>0.37790000000000001</v>
      </c>
      <c r="FA114" s="227" t="s">
        <v>568</v>
      </c>
      <c r="FB114" s="161">
        <f t="shared" si="1"/>
        <v>33785850</v>
      </c>
    </row>
    <row r="115" spans="1:158" ht="17.25" thickBot="1" x14ac:dyDescent="0.3">
      <c r="A115" s="226">
        <v>45869</v>
      </c>
      <c r="B115" s="227" t="s">
        <v>215</v>
      </c>
      <c r="C115" s="227" t="s">
        <v>593</v>
      </c>
      <c r="D115" s="228">
        <v>4250</v>
      </c>
      <c r="E115" s="228">
        <v>128.44</v>
      </c>
      <c r="F115" s="228">
        <v>130.86000000000001</v>
      </c>
      <c r="G115" s="228">
        <v>-2.42</v>
      </c>
      <c r="H115" s="229">
        <v>-1.8499999999999999E-2</v>
      </c>
      <c r="I115" s="228">
        <v>128.34</v>
      </c>
      <c r="J115" s="228">
        <v>131.4</v>
      </c>
      <c r="K115" s="228">
        <v>-3.06</v>
      </c>
      <c r="L115" s="229">
        <v>-2.3300000000000001E-2</v>
      </c>
      <c r="M115" s="228">
        <v>128</v>
      </c>
      <c r="N115" s="228">
        <v>131.79</v>
      </c>
      <c r="O115" s="228">
        <v>-3.79</v>
      </c>
      <c r="P115" s="229">
        <v>-2.8799999999999999E-2</v>
      </c>
      <c r="Q115" s="228">
        <v>128.44</v>
      </c>
      <c r="R115" s="228">
        <v>130.86000000000001</v>
      </c>
      <c r="S115" s="228">
        <v>-2.42</v>
      </c>
      <c r="T115" s="229">
        <v>-1.8499999999999999E-2</v>
      </c>
      <c r="U115" s="228">
        <v>128.46</v>
      </c>
      <c r="V115" s="228">
        <v>130.58000000000001</v>
      </c>
      <c r="W115" s="228">
        <v>-2.12</v>
      </c>
      <c r="X115" s="229">
        <v>-1.6199999999999999E-2</v>
      </c>
      <c r="Y115" s="228">
        <v>0.1</v>
      </c>
      <c r="Z115" s="228">
        <v>0.39</v>
      </c>
      <c r="AA115" s="228">
        <v>-0.28999999999999998</v>
      </c>
      <c r="AB115" s="229">
        <v>8.0000000000000004E-4</v>
      </c>
      <c r="AC115" s="228">
        <v>-0.34</v>
      </c>
      <c r="AD115" s="228">
        <v>0.39</v>
      </c>
      <c r="AE115" s="228">
        <v>-0.73</v>
      </c>
      <c r="AF115" s="229">
        <v>-2.5999999999999999E-3</v>
      </c>
      <c r="AG115" s="228">
        <v>0.1</v>
      </c>
      <c r="AH115" s="228">
        <v>-0.54</v>
      </c>
      <c r="AI115" s="228">
        <v>0.64</v>
      </c>
      <c r="AJ115" s="229">
        <v>8.0000000000000004E-4</v>
      </c>
      <c r="AK115" s="228">
        <v>0.12</v>
      </c>
      <c r="AL115" s="228">
        <v>-0.82</v>
      </c>
      <c r="AM115" s="228">
        <v>0.94</v>
      </c>
      <c r="AN115" s="229">
        <v>8.9999999999999998E-4</v>
      </c>
      <c r="AO115" s="228">
        <v>128.97999999999999</v>
      </c>
      <c r="AP115" s="228">
        <v>128.91999999999999</v>
      </c>
      <c r="AQ115" s="228">
        <v>0</v>
      </c>
      <c r="AR115" s="230">
        <v>35929500</v>
      </c>
      <c r="AS115" s="230">
        <v>38764250</v>
      </c>
      <c r="AT115" s="230">
        <v>-2834750</v>
      </c>
      <c r="AU115" s="229">
        <v>-7.3099999999999998E-2</v>
      </c>
      <c r="AV115" s="230">
        <v>18211250</v>
      </c>
      <c r="AW115" s="230">
        <v>19452250</v>
      </c>
      <c r="AX115" s="230">
        <v>-1241000</v>
      </c>
      <c r="AY115" s="229">
        <v>-6.3799999999999996E-2</v>
      </c>
      <c r="AZ115" s="230">
        <v>16456000</v>
      </c>
      <c r="BA115" s="230">
        <v>18287750</v>
      </c>
      <c r="BB115" s="230">
        <v>-1831750</v>
      </c>
      <c r="BC115" s="229">
        <v>-0.1002</v>
      </c>
      <c r="BD115" s="230">
        <v>1262250</v>
      </c>
      <c r="BE115" s="230">
        <v>1024250</v>
      </c>
      <c r="BF115" s="230">
        <v>238000</v>
      </c>
      <c r="BG115" s="229">
        <v>0.2324</v>
      </c>
      <c r="BH115" s="230">
        <v>32308500</v>
      </c>
      <c r="BI115" s="230">
        <v>54081250</v>
      </c>
      <c r="BJ115" s="230">
        <v>-21772750</v>
      </c>
      <c r="BK115" s="229">
        <v>-0.40260000000000001</v>
      </c>
      <c r="BL115" s="230">
        <v>13536250</v>
      </c>
      <c r="BM115" s="230">
        <v>17123250</v>
      </c>
      <c r="BN115" s="230">
        <v>-3587000</v>
      </c>
      <c r="BO115" s="229">
        <v>-0.20949999999999999</v>
      </c>
      <c r="BP115" s="230">
        <v>81774250</v>
      </c>
      <c r="BQ115" s="230">
        <v>109968750</v>
      </c>
      <c r="BR115" s="230">
        <v>-28194500</v>
      </c>
      <c r="BS115" s="229">
        <v>-0.25640000000000002</v>
      </c>
      <c r="BT115" s="230">
        <v>13061305</v>
      </c>
      <c r="BU115" s="230">
        <v>8655448</v>
      </c>
      <c r="BV115" s="230">
        <v>4405857</v>
      </c>
      <c r="BW115" s="229">
        <v>0.50900000000000001</v>
      </c>
      <c r="BX115" s="230">
        <v>41701000</v>
      </c>
      <c r="BY115" s="230">
        <v>51497250</v>
      </c>
      <c r="BZ115" s="230">
        <v>-9796250</v>
      </c>
      <c r="CA115" s="229">
        <v>-0.19020000000000001</v>
      </c>
      <c r="CB115" s="230">
        <v>5185000</v>
      </c>
      <c r="CC115" s="230">
        <v>11275250</v>
      </c>
      <c r="CD115" s="230">
        <v>-6090250</v>
      </c>
      <c r="CE115" s="229">
        <v>-0.54010000000000002</v>
      </c>
      <c r="CF115" s="230">
        <v>38687750</v>
      </c>
      <c r="CG115" s="230">
        <v>37816500</v>
      </c>
      <c r="CH115" s="230">
        <v>871250</v>
      </c>
      <c r="CI115" s="229">
        <v>2.3E-2</v>
      </c>
      <c r="CJ115" s="230">
        <v>3013250</v>
      </c>
      <c r="CK115" s="230">
        <v>2405500</v>
      </c>
      <c r="CL115" s="230">
        <v>607750</v>
      </c>
      <c r="CM115" s="229">
        <v>0.25269999999999998</v>
      </c>
      <c r="CN115" s="230">
        <v>20816500</v>
      </c>
      <c r="CO115" s="230">
        <v>49066250</v>
      </c>
      <c r="CP115" s="230">
        <v>-28249750</v>
      </c>
      <c r="CQ115" s="229">
        <v>-0.57569999999999999</v>
      </c>
      <c r="CR115" s="230">
        <v>9520000</v>
      </c>
      <c r="CS115" s="230">
        <v>21097000</v>
      </c>
      <c r="CT115" s="230">
        <v>-11577000</v>
      </c>
      <c r="CU115" s="229">
        <v>-0.54879999999999995</v>
      </c>
      <c r="CV115" s="230">
        <v>72037500</v>
      </c>
      <c r="CW115" s="230">
        <v>121660500</v>
      </c>
      <c r="CX115" s="230">
        <v>-49623000</v>
      </c>
      <c r="CY115" s="229">
        <v>-0.40789999999999998</v>
      </c>
      <c r="CZ115" s="228">
        <v>35.42</v>
      </c>
      <c r="DA115" s="228">
        <v>35.24</v>
      </c>
      <c r="DB115" s="228">
        <v>0.18</v>
      </c>
      <c r="DC115" s="228">
        <v>0.18</v>
      </c>
      <c r="DD115" s="228">
        <v>52.51</v>
      </c>
      <c r="DE115" s="228">
        <v>52.58</v>
      </c>
      <c r="DF115" s="228">
        <v>-17.09</v>
      </c>
      <c r="DG115" s="228">
        <v>-7.0000000000000007E-2</v>
      </c>
      <c r="DH115" s="228">
        <v>36.03</v>
      </c>
      <c r="DI115" s="228">
        <v>35.659999999999997</v>
      </c>
      <c r="DJ115" s="228">
        <v>0.37</v>
      </c>
      <c r="DK115" s="228">
        <v>0.37</v>
      </c>
      <c r="DL115" s="228">
        <v>33.72</v>
      </c>
      <c r="DM115" s="228">
        <v>33.89</v>
      </c>
      <c r="DN115" s="228">
        <v>-0.17</v>
      </c>
      <c r="DO115" s="228">
        <v>-0.17</v>
      </c>
      <c r="DP115" s="228">
        <v>0.46</v>
      </c>
      <c r="DQ115" s="228">
        <v>0.43</v>
      </c>
      <c r="DR115" s="228">
        <v>0.03</v>
      </c>
      <c r="DS115" s="229">
        <v>6.9800000000000001E-2</v>
      </c>
      <c r="DT115" s="228">
        <v>150</v>
      </c>
      <c r="DU115" s="228">
        <v>140</v>
      </c>
      <c r="DV115" s="228">
        <v>0.42</v>
      </c>
      <c r="DW115" s="228">
        <v>0.32</v>
      </c>
      <c r="DX115" s="228">
        <v>0.1</v>
      </c>
      <c r="DY115" s="229">
        <v>0.3125</v>
      </c>
      <c r="DZ115" s="229">
        <v>0.88939999999999997</v>
      </c>
      <c r="EA115" s="230">
        <v>40222000</v>
      </c>
      <c r="EB115" s="229">
        <v>3.3999999999999998E-3</v>
      </c>
      <c r="EC115" s="229">
        <v>0.88939999999999997</v>
      </c>
      <c r="ED115" s="228">
        <v>-0.06</v>
      </c>
      <c r="EE115" s="229">
        <v>-5.0000000000000001E-4</v>
      </c>
      <c r="EF115" s="230">
        <v>4781237</v>
      </c>
      <c r="EG115" s="230">
        <v>2256456</v>
      </c>
      <c r="EH115" s="229">
        <v>1.1189</v>
      </c>
      <c r="EI115" s="229">
        <v>0.36609999999999998</v>
      </c>
      <c r="EJ115" s="231">
        <v>45157.17</v>
      </c>
      <c r="EK115" s="231">
        <v>18234.89</v>
      </c>
      <c r="EL115" s="231">
        <v>46330.400000000001</v>
      </c>
      <c r="EM115" s="228">
        <v>0</v>
      </c>
      <c r="EN115" s="231">
        <v>109722.46</v>
      </c>
      <c r="EO115" s="231">
        <v>150406.46</v>
      </c>
      <c r="EP115" s="231">
        <v>-40684</v>
      </c>
      <c r="EQ115" s="229">
        <v>-0.27050000000000002</v>
      </c>
      <c r="ER115" s="231">
        <v>29664</v>
      </c>
      <c r="ES115" s="231">
        <v>12457</v>
      </c>
      <c r="ET115" s="231">
        <v>53561</v>
      </c>
      <c r="EU115" s="231">
        <v>356413800</v>
      </c>
      <c r="EV115" s="231">
        <v>95682</v>
      </c>
      <c r="EW115" s="231">
        <v>165871</v>
      </c>
      <c r="EX115" s="231">
        <v>-70189</v>
      </c>
      <c r="EY115" s="229">
        <v>-0.42320000000000002</v>
      </c>
      <c r="EZ115" s="229">
        <v>0.2021</v>
      </c>
      <c r="FA115" s="227" t="s">
        <v>568</v>
      </c>
      <c r="FB115" s="161">
        <f t="shared" si="1"/>
        <v>36516000</v>
      </c>
    </row>
    <row r="116" spans="1:158" ht="17.25" thickBot="1" x14ac:dyDescent="0.3">
      <c r="A116" s="226">
        <v>45869</v>
      </c>
      <c r="B116" s="227" t="s">
        <v>168</v>
      </c>
      <c r="C116" s="227" t="s">
        <v>242</v>
      </c>
      <c r="D116" s="228">
        <v>1600</v>
      </c>
      <c r="E116" s="228">
        <v>413.15</v>
      </c>
      <c r="F116" s="228">
        <v>410.1</v>
      </c>
      <c r="G116" s="228">
        <v>3.05</v>
      </c>
      <c r="H116" s="229">
        <v>7.4000000000000003E-3</v>
      </c>
      <c r="I116" s="228">
        <v>411.95</v>
      </c>
      <c r="J116" s="228">
        <v>407.6</v>
      </c>
      <c r="K116" s="228">
        <v>4.3499999999999996</v>
      </c>
      <c r="L116" s="229">
        <v>1.0699999999999999E-2</v>
      </c>
      <c r="M116" s="228">
        <v>410.9</v>
      </c>
      <c r="N116" s="228">
        <v>407.95</v>
      </c>
      <c r="O116" s="228">
        <v>2.95</v>
      </c>
      <c r="P116" s="229">
        <v>7.1999999999999998E-3</v>
      </c>
      <c r="Q116" s="228">
        <v>413.15</v>
      </c>
      <c r="R116" s="228">
        <v>410.1</v>
      </c>
      <c r="S116" s="228">
        <v>3.05</v>
      </c>
      <c r="T116" s="229">
        <v>7.4000000000000003E-3</v>
      </c>
      <c r="U116" s="228">
        <v>415.95</v>
      </c>
      <c r="V116" s="228">
        <v>412.75</v>
      </c>
      <c r="W116" s="228">
        <v>3.2</v>
      </c>
      <c r="X116" s="229">
        <v>7.7999999999999996E-3</v>
      </c>
      <c r="Y116" s="228">
        <v>1.2</v>
      </c>
      <c r="Z116" s="228">
        <v>0.35</v>
      </c>
      <c r="AA116" s="228">
        <v>0.85</v>
      </c>
      <c r="AB116" s="229">
        <v>2.8999999999999998E-3</v>
      </c>
      <c r="AC116" s="228">
        <v>-1.05</v>
      </c>
      <c r="AD116" s="228">
        <v>0.35</v>
      </c>
      <c r="AE116" s="228">
        <v>-1.4</v>
      </c>
      <c r="AF116" s="229">
        <v>-2.5000000000000001E-3</v>
      </c>
      <c r="AG116" s="228">
        <v>1.2</v>
      </c>
      <c r="AH116" s="228">
        <v>2.5</v>
      </c>
      <c r="AI116" s="228">
        <v>-1.3</v>
      </c>
      <c r="AJ116" s="229">
        <v>2.8999999999999998E-3</v>
      </c>
      <c r="AK116" s="228">
        <v>4</v>
      </c>
      <c r="AL116" s="228">
        <v>5.15</v>
      </c>
      <c r="AM116" s="228">
        <v>-1.1499999999999999</v>
      </c>
      <c r="AN116" s="229">
        <v>9.7000000000000003E-3</v>
      </c>
      <c r="AO116" s="228">
        <v>410.73</v>
      </c>
      <c r="AP116" s="228">
        <v>412.63</v>
      </c>
      <c r="AQ116" s="228">
        <v>0</v>
      </c>
      <c r="AR116" s="230">
        <v>69838400</v>
      </c>
      <c r="AS116" s="230">
        <v>47772800</v>
      </c>
      <c r="AT116" s="230">
        <v>22065600</v>
      </c>
      <c r="AU116" s="229">
        <v>0.46189999999999998</v>
      </c>
      <c r="AV116" s="230">
        <v>28993600</v>
      </c>
      <c r="AW116" s="230">
        <v>22547200</v>
      </c>
      <c r="AX116" s="230">
        <v>6446400</v>
      </c>
      <c r="AY116" s="229">
        <v>0.28589999999999999</v>
      </c>
      <c r="AZ116" s="230">
        <v>39934400</v>
      </c>
      <c r="BA116" s="230">
        <v>24814400</v>
      </c>
      <c r="BB116" s="230">
        <v>15120000</v>
      </c>
      <c r="BC116" s="229">
        <v>0.60929999999999995</v>
      </c>
      <c r="BD116" s="230">
        <v>910400</v>
      </c>
      <c r="BE116" s="230">
        <v>411200</v>
      </c>
      <c r="BF116" s="230">
        <v>499200</v>
      </c>
      <c r="BG116" s="229">
        <v>1.214</v>
      </c>
      <c r="BH116" s="230">
        <v>80452800</v>
      </c>
      <c r="BI116" s="230">
        <v>33585600</v>
      </c>
      <c r="BJ116" s="230">
        <v>46867200</v>
      </c>
      <c r="BK116" s="229">
        <v>1.3955</v>
      </c>
      <c r="BL116" s="230">
        <v>39188800</v>
      </c>
      <c r="BM116" s="230">
        <v>22512000</v>
      </c>
      <c r="BN116" s="230">
        <v>16676800</v>
      </c>
      <c r="BO116" s="229">
        <v>0.74080000000000001</v>
      </c>
      <c r="BP116" s="230">
        <v>189480000</v>
      </c>
      <c r="BQ116" s="230">
        <v>103870400</v>
      </c>
      <c r="BR116" s="230">
        <v>85609600</v>
      </c>
      <c r="BS116" s="229">
        <v>0.82420000000000004</v>
      </c>
      <c r="BT116" s="230">
        <v>19984704</v>
      </c>
      <c r="BU116" s="230">
        <v>11283228</v>
      </c>
      <c r="BV116" s="230">
        <v>8701476</v>
      </c>
      <c r="BW116" s="229">
        <v>0.7712</v>
      </c>
      <c r="BX116" s="230">
        <v>103123200</v>
      </c>
      <c r="BY116" s="230">
        <v>107363200</v>
      </c>
      <c r="BZ116" s="230">
        <v>-4240000</v>
      </c>
      <c r="CA116" s="229">
        <v>-3.95E-2</v>
      </c>
      <c r="CB116" s="230">
        <v>4601600</v>
      </c>
      <c r="CC116" s="230">
        <v>22883200</v>
      </c>
      <c r="CD116" s="230">
        <v>-18281600</v>
      </c>
      <c r="CE116" s="229">
        <v>-0.79890000000000005</v>
      </c>
      <c r="CF116" s="230">
        <v>97694400</v>
      </c>
      <c r="CG116" s="230">
        <v>79353600</v>
      </c>
      <c r="CH116" s="230">
        <v>18340800</v>
      </c>
      <c r="CI116" s="229">
        <v>0.2311</v>
      </c>
      <c r="CJ116" s="230">
        <v>5428800</v>
      </c>
      <c r="CK116" s="230">
        <v>5126400</v>
      </c>
      <c r="CL116" s="230">
        <v>302400</v>
      </c>
      <c r="CM116" s="229">
        <v>5.8999999999999997E-2</v>
      </c>
      <c r="CN116" s="230">
        <v>24611200</v>
      </c>
      <c r="CO116" s="230">
        <v>54724800</v>
      </c>
      <c r="CP116" s="230">
        <v>-30113600</v>
      </c>
      <c r="CQ116" s="229">
        <v>-0.55030000000000001</v>
      </c>
      <c r="CR116" s="230">
        <v>22470400</v>
      </c>
      <c r="CS116" s="230">
        <v>31929600</v>
      </c>
      <c r="CT116" s="230">
        <v>-9459200</v>
      </c>
      <c r="CU116" s="229">
        <v>-0.29630000000000001</v>
      </c>
      <c r="CV116" s="230">
        <v>150204800</v>
      </c>
      <c r="CW116" s="230">
        <v>194017600</v>
      </c>
      <c r="CX116" s="230">
        <v>-43812800</v>
      </c>
      <c r="CY116" s="229">
        <v>-0.2258</v>
      </c>
      <c r="CZ116" s="228">
        <v>18.71</v>
      </c>
      <c r="DA116" s="228">
        <v>18.34</v>
      </c>
      <c r="DB116" s="228">
        <v>0.37</v>
      </c>
      <c r="DC116" s="228">
        <v>0.37</v>
      </c>
      <c r="DD116" s="228">
        <v>20.58</v>
      </c>
      <c r="DE116" s="228">
        <v>20.58</v>
      </c>
      <c r="DF116" s="228">
        <v>-1.87</v>
      </c>
      <c r="DG116" s="228">
        <v>0</v>
      </c>
      <c r="DH116" s="228">
        <v>19.02</v>
      </c>
      <c r="DI116" s="228">
        <v>18.62</v>
      </c>
      <c r="DJ116" s="228">
        <v>0.4</v>
      </c>
      <c r="DK116" s="228">
        <v>0.4</v>
      </c>
      <c r="DL116" s="228">
        <v>18.05</v>
      </c>
      <c r="DM116" s="228">
        <v>17.989999999999998</v>
      </c>
      <c r="DN116" s="228">
        <v>0.06</v>
      </c>
      <c r="DO116" s="228">
        <v>0.06</v>
      </c>
      <c r="DP116" s="228">
        <v>0.91</v>
      </c>
      <c r="DQ116" s="228">
        <v>0.57999999999999996</v>
      </c>
      <c r="DR116" s="228">
        <v>0.33</v>
      </c>
      <c r="DS116" s="229">
        <v>0.56899999999999995</v>
      </c>
      <c r="DT116" s="228">
        <v>420</v>
      </c>
      <c r="DU116" s="228">
        <v>410</v>
      </c>
      <c r="DV116" s="228">
        <v>0.49</v>
      </c>
      <c r="DW116" s="228">
        <v>0.67</v>
      </c>
      <c r="DX116" s="228">
        <v>-0.18</v>
      </c>
      <c r="DY116" s="229">
        <v>-0.26869999999999999</v>
      </c>
      <c r="DZ116" s="229">
        <v>0.95730000000000004</v>
      </c>
      <c r="EA116" s="230">
        <v>84480000</v>
      </c>
      <c r="EB116" s="229">
        <v>5.4999999999999997E-3</v>
      </c>
      <c r="EC116" s="229">
        <v>0.95730000000000004</v>
      </c>
      <c r="ED116" s="228">
        <v>1.9</v>
      </c>
      <c r="EE116" s="229">
        <v>4.5999999999999999E-3</v>
      </c>
      <c r="EF116" s="230">
        <v>13474223</v>
      </c>
      <c r="EG116" s="230">
        <v>7896286</v>
      </c>
      <c r="EH116" s="229">
        <v>0.70640000000000003</v>
      </c>
      <c r="EI116" s="229">
        <v>0.67420000000000002</v>
      </c>
      <c r="EJ116" s="231">
        <v>344054.28</v>
      </c>
      <c r="EK116" s="231">
        <v>162369.66</v>
      </c>
      <c r="EL116" s="231">
        <v>287642.77</v>
      </c>
      <c r="EM116" s="228">
        <v>0</v>
      </c>
      <c r="EN116" s="231">
        <v>794066.71</v>
      </c>
      <c r="EO116" s="231">
        <v>429492.87</v>
      </c>
      <c r="EP116" s="231">
        <v>364573.84</v>
      </c>
      <c r="EQ116" s="229">
        <v>0.8488</v>
      </c>
      <c r="ER116" s="231">
        <v>104730</v>
      </c>
      <c r="ES116" s="231">
        <v>91944</v>
      </c>
      <c r="ET116" s="231">
        <v>426206</v>
      </c>
      <c r="EU116" s="231">
        <v>2502122210</v>
      </c>
      <c r="EV116" s="231">
        <v>622879</v>
      </c>
      <c r="EW116" s="231">
        <v>805141</v>
      </c>
      <c r="EX116" s="231">
        <v>-182262</v>
      </c>
      <c r="EY116" s="229">
        <v>-0.22639999999999999</v>
      </c>
      <c r="EZ116" s="229">
        <v>0.06</v>
      </c>
      <c r="FA116" s="227" t="s">
        <v>556</v>
      </c>
      <c r="FB116" s="161">
        <f t="shared" si="1"/>
        <v>98521600</v>
      </c>
    </row>
    <row r="117" spans="1:158" ht="17.25" thickBot="1" x14ac:dyDescent="0.3">
      <c r="A117" s="226">
        <v>45869</v>
      </c>
      <c r="B117" s="227" t="s">
        <v>227</v>
      </c>
      <c r="C117" s="227" t="s">
        <v>243</v>
      </c>
      <c r="D117" s="228">
        <v>625</v>
      </c>
      <c r="E117" s="228">
        <v>965.75</v>
      </c>
      <c r="F117" s="228">
        <v>987.35</v>
      </c>
      <c r="G117" s="228">
        <v>-21.6</v>
      </c>
      <c r="H117" s="229">
        <v>-2.1899999999999999E-2</v>
      </c>
      <c r="I117" s="228">
        <v>965</v>
      </c>
      <c r="J117" s="228">
        <v>982.85</v>
      </c>
      <c r="K117" s="228">
        <v>-17.850000000000001</v>
      </c>
      <c r="L117" s="229">
        <v>-1.8200000000000001E-2</v>
      </c>
      <c r="M117" s="228">
        <v>964.85</v>
      </c>
      <c r="N117" s="228">
        <v>984.05</v>
      </c>
      <c r="O117" s="228">
        <v>-19.2</v>
      </c>
      <c r="P117" s="229">
        <v>-1.95E-2</v>
      </c>
      <c r="Q117" s="228">
        <v>965.75</v>
      </c>
      <c r="R117" s="228">
        <v>987.35</v>
      </c>
      <c r="S117" s="228">
        <v>-21.6</v>
      </c>
      <c r="T117" s="229">
        <v>-2.1899999999999999E-2</v>
      </c>
      <c r="U117" s="228">
        <v>970.45</v>
      </c>
      <c r="V117" s="228">
        <v>992.3</v>
      </c>
      <c r="W117" s="228">
        <v>-21.85</v>
      </c>
      <c r="X117" s="229">
        <v>-2.1999999999999999E-2</v>
      </c>
      <c r="Y117" s="228">
        <v>0.75</v>
      </c>
      <c r="Z117" s="228">
        <v>1.2</v>
      </c>
      <c r="AA117" s="228">
        <v>-0.45</v>
      </c>
      <c r="AB117" s="229">
        <v>8.0000000000000004E-4</v>
      </c>
      <c r="AC117" s="228">
        <v>-0.15</v>
      </c>
      <c r="AD117" s="228">
        <v>1.2</v>
      </c>
      <c r="AE117" s="228">
        <v>-1.35</v>
      </c>
      <c r="AF117" s="229">
        <v>-2.0000000000000001E-4</v>
      </c>
      <c r="AG117" s="228">
        <v>0.75</v>
      </c>
      <c r="AH117" s="228">
        <v>4.5</v>
      </c>
      <c r="AI117" s="228">
        <v>-3.75</v>
      </c>
      <c r="AJ117" s="229">
        <v>8.0000000000000004E-4</v>
      </c>
      <c r="AK117" s="228">
        <v>5.45</v>
      </c>
      <c r="AL117" s="228">
        <v>9.4499999999999993</v>
      </c>
      <c r="AM117" s="228">
        <v>-4</v>
      </c>
      <c r="AN117" s="229">
        <v>5.5999999999999999E-3</v>
      </c>
      <c r="AO117" s="228">
        <v>967.94</v>
      </c>
      <c r="AP117" s="228">
        <v>969.32</v>
      </c>
      <c r="AQ117" s="228">
        <v>0</v>
      </c>
      <c r="AR117" s="230">
        <v>7463750</v>
      </c>
      <c r="AS117" s="230">
        <v>6671250</v>
      </c>
      <c r="AT117" s="230">
        <v>792500</v>
      </c>
      <c r="AU117" s="229">
        <v>0.1188</v>
      </c>
      <c r="AV117" s="230">
        <v>2641250</v>
      </c>
      <c r="AW117" s="230">
        <v>3303125</v>
      </c>
      <c r="AX117" s="230">
        <v>-661875</v>
      </c>
      <c r="AY117" s="229">
        <v>-0.20039999999999999</v>
      </c>
      <c r="AZ117" s="230">
        <v>4748125</v>
      </c>
      <c r="BA117" s="230">
        <v>3344375</v>
      </c>
      <c r="BB117" s="230">
        <v>1403750</v>
      </c>
      <c r="BC117" s="229">
        <v>0.41970000000000002</v>
      </c>
      <c r="BD117" s="230">
        <v>74375</v>
      </c>
      <c r="BE117" s="230">
        <v>23750</v>
      </c>
      <c r="BF117" s="230">
        <v>50625</v>
      </c>
      <c r="BG117" s="229">
        <v>2.1316000000000002</v>
      </c>
      <c r="BH117" s="230">
        <v>3837500</v>
      </c>
      <c r="BI117" s="230">
        <v>3300000</v>
      </c>
      <c r="BJ117" s="230">
        <v>537500</v>
      </c>
      <c r="BK117" s="229">
        <v>0.16289999999999999</v>
      </c>
      <c r="BL117" s="230">
        <v>3526250</v>
      </c>
      <c r="BM117" s="230">
        <v>2545000</v>
      </c>
      <c r="BN117" s="230">
        <v>981250</v>
      </c>
      <c r="BO117" s="229">
        <v>0.3856</v>
      </c>
      <c r="BP117" s="230">
        <v>14827500</v>
      </c>
      <c r="BQ117" s="230">
        <v>12516250</v>
      </c>
      <c r="BR117" s="230">
        <v>2311250</v>
      </c>
      <c r="BS117" s="229">
        <v>0.1847</v>
      </c>
      <c r="BT117" s="230">
        <v>2149423</v>
      </c>
      <c r="BU117" s="230">
        <v>999667</v>
      </c>
      <c r="BV117" s="230">
        <v>1149756</v>
      </c>
      <c r="BW117" s="229">
        <v>1.1500999999999999</v>
      </c>
      <c r="BX117" s="230">
        <v>11638125</v>
      </c>
      <c r="BY117" s="230">
        <v>17584375</v>
      </c>
      <c r="BZ117" s="230">
        <v>-5946250</v>
      </c>
      <c r="CA117" s="229">
        <v>-0.3382</v>
      </c>
      <c r="CB117" s="230">
        <v>5271250</v>
      </c>
      <c r="CC117" s="230">
        <v>6608125</v>
      </c>
      <c r="CD117" s="230">
        <v>-1336875</v>
      </c>
      <c r="CE117" s="229">
        <v>-0.20230000000000001</v>
      </c>
      <c r="CF117" s="230">
        <v>11558750</v>
      </c>
      <c r="CG117" s="230">
        <v>10916875</v>
      </c>
      <c r="CH117" s="230">
        <v>641875</v>
      </c>
      <c r="CI117" s="229">
        <v>5.8799999999999998E-2</v>
      </c>
      <c r="CJ117" s="230">
        <v>79375</v>
      </c>
      <c r="CK117" s="230">
        <v>59375</v>
      </c>
      <c r="CL117" s="230">
        <v>20000</v>
      </c>
      <c r="CM117" s="229">
        <v>0.33679999999999999</v>
      </c>
      <c r="CN117" s="230">
        <v>1694375</v>
      </c>
      <c r="CO117" s="230">
        <v>3973750</v>
      </c>
      <c r="CP117" s="230">
        <v>-2279375</v>
      </c>
      <c r="CQ117" s="229">
        <v>-0.5736</v>
      </c>
      <c r="CR117" s="230">
        <v>1646250</v>
      </c>
      <c r="CS117" s="230">
        <v>3931875</v>
      </c>
      <c r="CT117" s="230">
        <v>-2285625</v>
      </c>
      <c r="CU117" s="229">
        <v>-0.58130000000000004</v>
      </c>
      <c r="CV117" s="230">
        <v>14978750</v>
      </c>
      <c r="CW117" s="230">
        <v>25490000</v>
      </c>
      <c r="CX117" s="230">
        <v>-10511250</v>
      </c>
      <c r="CY117" s="229">
        <v>-0.41239999999999999</v>
      </c>
      <c r="CZ117" s="228">
        <v>29.82</v>
      </c>
      <c r="DA117" s="228">
        <v>30.18</v>
      </c>
      <c r="DB117" s="228">
        <v>-0.36</v>
      </c>
      <c r="DC117" s="228">
        <v>-0.36</v>
      </c>
      <c r="DD117" s="228">
        <v>37.33</v>
      </c>
      <c r="DE117" s="228">
        <v>37.340000000000003</v>
      </c>
      <c r="DF117" s="228">
        <v>-7.51</v>
      </c>
      <c r="DG117" s="228">
        <v>-0.01</v>
      </c>
      <c r="DH117" s="228">
        <v>29.91</v>
      </c>
      <c r="DI117" s="228">
        <v>30.11</v>
      </c>
      <c r="DJ117" s="228">
        <v>-0.2</v>
      </c>
      <c r="DK117" s="228">
        <v>-0.2</v>
      </c>
      <c r="DL117" s="228">
        <v>29.71</v>
      </c>
      <c r="DM117" s="228">
        <v>30.39</v>
      </c>
      <c r="DN117" s="228">
        <v>-0.68</v>
      </c>
      <c r="DO117" s="228">
        <v>-0.68</v>
      </c>
      <c r="DP117" s="228">
        <v>0.97</v>
      </c>
      <c r="DQ117" s="228">
        <v>0.99</v>
      </c>
      <c r="DR117" s="228">
        <v>-0.02</v>
      </c>
      <c r="DS117" s="229">
        <v>-2.0199999999999999E-2</v>
      </c>
      <c r="DT117" s="231">
        <v>1000</v>
      </c>
      <c r="DU117" s="228">
        <v>950</v>
      </c>
      <c r="DV117" s="228">
        <v>0.92</v>
      </c>
      <c r="DW117" s="228">
        <v>0.77</v>
      </c>
      <c r="DX117" s="228">
        <v>0.15</v>
      </c>
      <c r="DY117" s="229">
        <v>0.1948</v>
      </c>
      <c r="DZ117" s="229">
        <v>0.68830000000000002</v>
      </c>
      <c r="EA117" s="230">
        <v>10976250</v>
      </c>
      <c r="EB117" s="229">
        <v>8.9999999999999998E-4</v>
      </c>
      <c r="EC117" s="229">
        <v>0.68830000000000002</v>
      </c>
      <c r="ED117" s="228">
        <v>1.38</v>
      </c>
      <c r="EE117" s="229">
        <v>1.4E-3</v>
      </c>
      <c r="EF117" s="230">
        <v>1436457</v>
      </c>
      <c r="EG117" s="230">
        <v>417627</v>
      </c>
      <c r="EH117" s="229">
        <v>2.4396</v>
      </c>
      <c r="EI117" s="229">
        <v>0.66830000000000001</v>
      </c>
      <c r="EJ117" s="231">
        <v>38694.47</v>
      </c>
      <c r="EK117" s="231">
        <v>34573.800000000003</v>
      </c>
      <c r="EL117" s="231">
        <v>72316.23</v>
      </c>
      <c r="EM117" s="228">
        <v>0</v>
      </c>
      <c r="EN117" s="231">
        <v>145584.5</v>
      </c>
      <c r="EO117" s="231">
        <v>123809.79</v>
      </c>
      <c r="EP117" s="231">
        <v>21774.71</v>
      </c>
      <c r="EQ117" s="229">
        <v>0.1759</v>
      </c>
      <c r="ER117" s="231">
        <v>17280</v>
      </c>
      <c r="ES117" s="231">
        <v>15710</v>
      </c>
      <c r="ET117" s="231">
        <v>112399</v>
      </c>
      <c r="EU117" s="231">
        <v>75417775</v>
      </c>
      <c r="EV117" s="231">
        <v>145388</v>
      </c>
      <c r="EW117" s="231">
        <v>250087</v>
      </c>
      <c r="EX117" s="231">
        <v>-104699</v>
      </c>
      <c r="EY117" s="229">
        <v>-0.41870000000000002</v>
      </c>
      <c r="EZ117" s="229">
        <v>0.1986</v>
      </c>
      <c r="FA117" s="227" t="s">
        <v>568</v>
      </c>
      <c r="FB117" s="161">
        <f t="shared" si="1"/>
        <v>6366875</v>
      </c>
    </row>
    <row r="118" spans="1:158" ht="17.25" thickBot="1" x14ac:dyDescent="0.3">
      <c r="A118" s="226">
        <v>45869</v>
      </c>
      <c r="B118" s="227" t="s">
        <v>175</v>
      </c>
      <c r="C118" s="227" t="s">
        <v>571</v>
      </c>
      <c r="D118" s="228">
        <v>2350</v>
      </c>
      <c r="E118" s="228">
        <v>330.9</v>
      </c>
      <c r="F118" s="228">
        <v>321.10000000000002</v>
      </c>
      <c r="G118" s="228">
        <v>9.8000000000000007</v>
      </c>
      <c r="H118" s="229">
        <v>3.0499999999999999E-2</v>
      </c>
      <c r="I118" s="228">
        <v>329.25</v>
      </c>
      <c r="J118" s="228">
        <v>320.3</v>
      </c>
      <c r="K118" s="228">
        <v>8.9499999999999993</v>
      </c>
      <c r="L118" s="229">
        <v>2.7900000000000001E-2</v>
      </c>
      <c r="M118" s="228">
        <v>329.45</v>
      </c>
      <c r="N118" s="228">
        <v>319.89999999999998</v>
      </c>
      <c r="O118" s="228">
        <v>9.5500000000000007</v>
      </c>
      <c r="P118" s="229">
        <v>2.9899999999999999E-2</v>
      </c>
      <c r="Q118" s="228">
        <v>330.9</v>
      </c>
      <c r="R118" s="228">
        <v>321.10000000000002</v>
      </c>
      <c r="S118" s="228">
        <v>9.8000000000000007</v>
      </c>
      <c r="T118" s="229">
        <v>3.0499999999999999E-2</v>
      </c>
      <c r="U118" s="228">
        <v>332.65</v>
      </c>
      <c r="V118" s="228">
        <v>323</v>
      </c>
      <c r="W118" s="228">
        <v>9.65</v>
      </c>
      <c r="X118" s="229">
        <v>2.9899999999999999E-2</v>
      </c>
      <c r="Y118" s="228">
        <v>1.65</v>
      </c>
      <c r="Z118" s="228">
        <v>-0.4</v>
      </c>
      <c r="AA118" s="228">
        <v>2.0499999999999998</v>
      </c>
      <c r="AB118" s="229">
        <v>5.0000000000000001E-3</v>
      </c>
      <c r="AC118" s="228">
        <v>0.2</v>
      </c>
      <c r="AD118" s="228">
        <v>-0.4</v>
      </c>
      <c r="AE118" s="228">
        <v>0.6</v>
      </c>
      <c r="AF118" s="229">
        <v>5.9999999999999995E-4</v>
      </c>
      <c r="AG118" s="228">
        <v>1.65</v>
      </c>
      <c r="AH118" s="228">
        <v>0.8</v>
      </c>
      <c r="AI118" s="228">
        <v>0.85</v>
      </c>
      <c r="AJ118" s="229">
        <v>5.0000000000000001E-3</v>
      </c>
      <c r="AK118" s="228">
        <v>3.4</v>
      </c>
      <c r="AL118" s="228">
        <v>2.7</v>
      </c>
      <c r="AM118" s="228">
        <v>0.7</v>
      </c>
      <c r="AN118" s="229">
        <v>1.03E-2</v>
      </c>
      <c r="AO118" s="228">
        <v>328.22</v>
      </c>
      <c r="AP118" s="228">
        <v>329.69</v>
      </c>
      <c r="AQ118" s="228">
        <v>0</v>
      </c>
      <c r="AR118" s="230">
        <v>94439450</v>
      </c>
      <c r="AS118" s="230">
        <v>50116100</v>
      </c>
      <c r="AT118" s="230">
        <v>44323350</v>
      </c>
      <c r="AU118" s="229">
        <v>0.88439999999999996</v>
      </c>
      <c r="AV118" s="230">
        <v>32213800</v>
      </c>
      <c r="AW118" s="230">
        <v>21178200</v>
      </c>
      <c r="AX118" s="230">
        <v>11035600</v>
      </c>
      <c r="AY118" s="229">
        <v>0.52110000000000001</v>
      </c>
      <c r="AZ118" s="230">
        <v>59466750</v>
      </c>
      <c r="BA118" s="230">
        <v>27960300</v>
      </c>
      <c r="BB118" s="230">
        <v>31506450</v>
      </c>
      <c r="BC118" s="229">
        <v>1.1268</v>
      </c>
      <c r="BD118" s="230">
        <v>2758900</v>
      </c>
      <c r="BE118" s="230">
        <v>977600</v>
      </c>
      <c r="BF118" s="230">
        <v>1781300</v>
      </c>
      <c r="BG118" s="229">
        <v>1.8221000000000001</v>
      </c>
      <c r="BH118" s="230">
        <v>266962350</v>
      </c>
      <c r="BI118" s="230">
        <v>90411550</v>
      </c>
      <c r="BJ118" s="230">
        <v>176550800</v>
      </c>
      <c r="BK118" s="229">
        <v>1.9527000000000001</v>
      </c>
      <c r="BL118" s="230">
        <v>99254600</v>
      </c>
      <c r="BM118" s="230">
        <v>47437100</v>
      </c>
      <c r="BN118" s="230">
        <v>51817500</v>
      </c>
      <c r="BO118" s="229">
        <v>1.0923</v>
      </c>
      <c r="BP118" s="230">
        <v>460656400</v>
      </c>
      <c r="BQ118" s="230">
        <v>187964750</v>
      </c>
      <c r="BR118" s="230">
        <v>272691650</v>
      </c>
      <c r="BS118" s="229">
        <v>1.4508000000000001</v>
      </c>
      <c r="BT118" s="230">
        <v>52195137</v>
      </c>
      <c r="BU118" s="230">
        <v>16029350</v>
      </c>
      <c r="BV118" s="230">
        <v>36165787</v>
      </c>
      <c r="BW118" s="229">
        <v>2.2562000000000002</v>
      </c>
      <c r="BX118" s="230">
        <v>109502950</v>
      </c>
      <c r="BY118" s="230">
        <v>117145150</v>
      </c>
      <c r="BZ118" s="230">
        <v>-7642200</v>
      </c>
      <c r="CA118" s="229">
        <v>-6.5199999999999994E-2</v>
      </c>
      <c r="CB118" s="230">
        <v>4305200</v>
      </c>
      <c r="CC118" s="230">
        <v>19913900</v>
      </c>
      <c r="CD118" s="230">
        <v>-15608700</v>
      </c>
      <c r="CE118" s="229">
        <v>-0.78380000000000005</v>
      </c>
      <c r="CF118" s="230">
        <v>105096700</v>
      </c>
      <c r="CG118" s="230">
        <v>92888450</v>
      </c>
      <c r="CH118" s="230">
        <v>12208250</v>
      </c>
      <c r="CI118" s="229">
        <v>0.13139999999999999</v>
      </c>
      <c r="CJ118" s="230">
        <v>4406250</v>
      </c>
      <c r="CK118" s="230">
        <v>4342800</v>
      </c>
      <c r="CL118" s="230">
        <v>63450</v>
      </c>
      <c r="CM118" s="229">
        <v>1.46E-2</v>
      </c>
      <c r="CN118" s="230">
        <v>40878250</v>
      </c>
      <c r="CO118" s="230">
        <v>78438300</v>
      </c>
      <c r="CP118" s="230">
        <v>-37560050</v>
      </c>
      <c r="CQ118" s="229">
        <v>-0.4788</v>
      </c>
      <c r="CR118" s="230">
        <v>31692100</v>
      </c>
      <c r="CS118" s="230">
        <v>50849300</v>
      </c>
      <c r="CT118" s="230">
        <v>-19157200</v>
      </c>
      <c r="CU118" s="229">
        <v>-0.37669999999999998</v>
      </c>
      <c r="CV118" s="230">
        <v>182073300</v>
      </c>
      <c r="CW118" s="230">
        <v>246432750</v>
      </c>
      <c r="CX118" s="230">
        <v>-64359450</v>
      </c>
      <c r="CY118" s="229">
        <v>-0.26119999999999999</v>
      </c>
      <c r="CZ118" s="228">
        <v>28.32</v>
      </c>
      <c r="DA118" s="228">
        <v>28.9</v>
      </c>
      <c r="DB118" s="228">
        <v>-0.57999999999999996</v>
      </c>
      <c r="DC118" s="228">
        <v>-0.57999999999999996</v>
      </c>
      <c r="DD118" s="228">
        <v>39.380000000000003</v>
      </c>
      <c r="DE118" s="228">
        <v>39.26</v>
      </c>
      <c r="DF118" s="228">
        <v>-11.06</v>
      </c>
      <c r="DG118" s="228">
        <v>0.12</v>
      </c>
      <c r="DH118" s="228">
        <v>28.3</v>
      </c>
      <c r="DI118" s="228">
        <v>29.16</v>
      </c>
      <c r="DJ118" s="228">
        <v>-0.86</v>
      </c>
      <c r="DK118" s="228">
        <v>-0.86</v>
      </c>
      <c r="DL118" s="228">
        <v>28.36</v>
      </c>
      <c r="DM118" s="228">
        <v>28.36</v>
      </c>
      <c r="DN118" s="228">
        <v>0</v>
      </c>
      <c r="DO118" s="228">
        <v>0</v>
      </c>
      <c r="DP118" s="228">
        <v>0.78</v>
      </c>
      <c r="DQ118" s="228">
        <v>0.65</v>
      </c>
      <c r="DR118" s="228">
        <v>0.13</v>
      </c>
      <c r="DS118" s="229">
        <v>0.2</v>
      </c>
      <c r="DT118" s="228">
        <v>350</v>
      </c>
      <c r="DU118" s="228">
        <v>300</v>
      </c>
      <c r="DV118" s="228">
        <v>0.37</v>
      </c>
      <c r="DW118" s="228">
        <v>0.52</v>
      </c>
      <c r="DX118" s="228">
        <v>-0.15</v>
      </c>
      <c r="DY118" s="229">
        <v>-0.28849999999999998</v>
      </c>
      <c r="DZ118" s="229">
        <v>0.96220000000000006</v>
      </c>
      <c r="EA118" s="230">
        <v>97231250</v>
      </c>
      <c r="EB118" s="229">
        <v>4.4000000000000003E-3</v>
      </c>
      <c r="EC118" s="229">
        <v>0.96220000000000006</v>
      </c>
      <c r="ED118" s="228">
        <v>1.47</v>
      </c>
      <c r="EE118" s="229">
        <v>4.4999999999999997E-3</v>
      </c>
      <c r="EF118" s="230">
        <v>18851375</v>
      </c>
      <c r="EG118" s="230">
        <v>5750430</v>
      </c>
      <c r="EH118" s="229">
        <v>2.2783000000000002</v>
      </c>
      <c r="EI118" s="229">
        <v>0.36120000000000002</v>
      </c>
      <c r="EJ118" s="231">
        <v>913229.65</v>
      </c>
      <c r="EK118" s="231">
        <v>318803.53999999998</v>
      </c>
      <c r="EL118" s="231">
        <v>310944.84999999998</v>
      </c>
      <c r="EM118" s="228">
        <v>0</v>
      </c>
      <c r="EN118" s="231">
        <v>1542978.04</v>
      </c>
      <c r="EO118" s="231">
        <v>613655.66</v>
      </c>
      <c r="EP118" s="231">
        <v>929322.38</v>
      </c>
      <c r="EQ118" s="229">
        <v>1.5144</v>
      </c>
      <c r="ER118" s="231">
        <v>139051</v>
      </c>
      <c r="ES118" s="231">
        <v>98412</v>
      </c>
      <c r="ET118" s="231">
        <v>362422</v>
      </c>
      <c r="EU118" s="231">
        <v>671850851</v>
      </c>
      <c r="EV118" s="231">
        <v>599885</v>
      </c>
      <c r="EW118" s="231">
        <v>794446</v>
      </c>
      <c r="EX118" s="231">
        <v>-194561</v>
      </c>
      <c r="EY118" s="229">
        <v>-0.24490000000000001</v>
      </c>
      <c r="EZ118" s="229">
        <v>0.27100000000000002</v>
      </c>
      <c r="FA118" s="227" t="s">
        <v>556</v>
      </c>
      <c r="FB118" s="161">
        <f t="shared" si="1"/>
        <v>105197750</v>
      </c>
    </row>
    <row r="119" spans="1:158" ht="17.25" thickBot="1" x14ac:dyDescent="0.3">
      <c r="A119" s="226">
        <v>45869</v>
      </c>
      <c r="B119" s="227" t="s">
        <v>227</v>
      </c>
      <c r="C119" s="227" t="s">
        <v>582</v>
      </c>
      <c r="D119" s="228">
        <v>850</v>
      </c>
      <c r="E119" s="228">
        <v>695.7</v>
      </c>
      <c r="F119" s="228">
        <v>683.8</v>
      </c>
      <c r="G119" s="228">
        <v>11.9</v>
      </c>
      <c r="H119" s="229">
        <v>1.7399999999999999E-2</v>
      </c>
      <c r="I119" s="228">
        <v>694.1</v>
      </c>
      <c r="J119" s="228">
        <v>681.1</v>
      </c>
      <c r="K119" s="228">
        <v>13</v>
      </c>
      <c r="L119" s="229">
        <v>1.9099999999999999E-2</v>
      </c>
      <c r="M119" s="228">
        <v>692.7</v>
      </c>
      <c r="N119" s="228">
        <v>680.9</v>
      </c>
      <c r="O119" s="228">
        <v>11.8</v>
      </c>
      <c r="P119" s="229">
        <v>1.7299999999999999E-2</v>
      </c>
      <c r="Q119" s="228">
        <v>695.7</v>
      </c>
      <c r="R119" s="228">
        <v>683.8</v>
      </c>
      <c r="S119" s="228">
        <v>11.9</v>
      </c>
      <c r="T119" s="229">
        <v>1.7399999999999999E-2</v>
      </c>
      <c r="U119" s="228">
        <v>0</v>
      </c>
      <c r="V119" s="228">
        <v>0</v>
      </c>
      <c r="W119" s="228">
        <v>0</v>
      </c>
      <c r="X119" s="229">
        <v>0</v>
      </c>
      <c r="Y119" s="228">
        <v>1.6</v>
      </c>
      <c r="Z119" s="228">
        <v>-0.2</v>
      </c>
      <c r="AA119" s="228">
        <v>1.8</v>
      </c>
      <c r="AB119" s="229">
        <v>2.3E-3</v>
      </c>
      <c r="AC119" s="228">
        <v>-1.4</v>
      </c>
      <c r="AD119" s="228">
        <v>-0.2</v>
      </c>
      <c r="AE119" s="228">
        <v>-1.2</v>
      </c>
      <c r="AF119" s="229">
        <v>-2E-3</v>
      </c>
      <c r="AG119" s="228">
        <v>1.6</v>
      </c>
      <c r="AH119" s="228">
        <v>2.7</v>
      </c>
      <c r="AI119" s="228">
        <v>-1.1000000000000001</v>
      </c>
      <c r="AJ119" s="229">
        <v>2.3E-3</v>
      </c>
      <c r="AK119" s="228">
        <v>0</v>
      </c>
      <c r="AL119" s="228">
        <v>0</v>
      </c>
      <c r="AM119" s="228">
        <v>0</v>
      </c>
      <c r="AN119" s="229">
        <v>0</v>
      </c>
      <c r="AO119" s="228">
        <v>685.29</v>
      </c>
      <c r="AP119" s="228">
        <v>689.83</v>
      </c>
      <c r="AQ119" s="228">
        <v>0</v>
      </c>
      <c r="AR119" s="230">
        <v>4329900</v>
      </c>
      <c r="AS119" s="230">
        <v>3976300</v>
      </c>
      <c r="AT119" s="230">
        <v>353600</v>
      </c>
      <c r="AU119" s="229">
        <v>8.8900000000000007E-2</v>
      </c>
      <c r="AV119" s="230">
        <v>1722950</v>
      </c>
      <c r="AW119" s="230">
        <v>1888700</v>
      </c>
      <c r="AX119" s="230">
        <v>-165750</v>
      </c>
      <c r="AY119" s="229">
        <v>-8.7800000000000003E-2</v>
      </c>
      <c r="AZ119" s="230">
        <v>2606950</v>
      </c>
      <c r="BA119" s="230">
        <v>2087600</v>
      </c>
      <c r="BB119" s="230">
        <v>519350</v>
      </c>
      <c r="BC119" s="229">
        <v>0.24879999999999999</v>
      </c>
      <c r="BD119" s="228">
        <v>0</v>
      </c>
      <c r="BE119" s="228">
        <v>0</v>
      </c>
      <c r="BF119" s="228">
        <v>0</v>
      </c>
      <c r="BG119" s="229">
        <v>0</v>
      </c>
      <c r="BH119" s="230">
        <v>1830900</v>
      </c>
      <c r="BI119" s="230">
        <v>1825800</v>
      </c>
      <c r="BJ119" s="230">
        <v>5100</v>
      </c>
      <c r="BK119" s="229">
        <v>2.8E-3</v>
      </c>
      <c r="BL119" s="230">
        <v>923100</v>
      </c>
      <c r="BM119" s="230">
        <v>417350</v>
      </c>
      <c r="BN119" s="230">
        <v>505750</v>
      </c>
      <c r="BO119" s="229">
        <v>1.2118</v>
      </c>
      <c r="BP119" s="230">
        <v>7083900</v>
      </c>
      <c r="BQ119" s="230">
        <v>6219450</v>
      </c>
      <c r="BR119" s="230">
        <v>864450</v>
      </c>
      <c r="BS119" s="229">
        <v>0.13900000000000001</v>
      </c>
      <c r="BT119" s="230">
        <v>1193910</v>
      </c>
      <c r="BU119" s="230">
        <v>315995</v>
      </c>
      <c r="BV119" s="230">
        <v>877915</v>
      </c>
      <c r="BW119" s="229">
        <v>2.7783000000000002</v>
      </c>
      <c r="BX119" s="230">
        <v>4541550</v>
      </c>
      <c r="BY119" s="230">
        <v>6573900</v>
      </c>
      <c r="BZ119" s="230">
        <v>-2032350</v>
      </c>
      <c r="CA119" s="229">
        <v>-0.30919999999999997</v>
      </c>
      <c r="CB119" s="230">
        <v>2029800</v>
      </c>
      <c r="CC119" s="230">
        <v>2229550</v>
      </c>
      <c r="CD119" s="230">
        <v>-199750</v>
      </c>
      <c r="CE119" s="229">
        <v>-8.9599999999999999E-2</v>
      </c>
      <c r="CF119" s="230">
        <v>4541550</v>
      </c>
      <c r="CG119" s="230">
        <v>4344350</v>
      </c>
      <c r="CH119" s="230">
        <v>197200</v>
      </c>
      <c r="CI119" s="229">
        <v>4.5400000000000003E-2</v>
      </c>
      <c r="CJ119" s="228">
        <v>0</v>
      </c>
      <c r="CK119" s="228">
        <v>0</v>
      </c>
      <c r="CL119" s="228">
        <v>0</v>
      </c>
      <c r="CM119" s="229">
        <v>0</v>
      </c>
      <c r="CN119" s="230">
        <v>684250</v>
      </c>
      <c r="CO119" s="230">
        <v>2021300</v>
      </c>
      <c r="CP119" s="230">
        <v>-1337050</v>
      </c>
      <c r="CQ119" s="229">
        <v>-0.66149999999999998</v>
      </c>
      <c r="CR119" s="230">
        <v>312800</v>
      </c>
      <c r="CS119" s="230">
        <v>1099050</v>
      </c>
      <c r="CT119" s="230">
        <v>-786250</v>
      </c>
      <c r="CU119" s="229">
        <v>-0.71540000000000004</v>
      </c>
      <c r="CV119" s="230">
        <v>5538600</v>
      </c>
      <c r="CW119" s="230">
        <v>9694250</v>
      </c>
      <c r="CX119" s="230">
        <v>-4155650</v>
      </c>
      <c r="CY119" s="229">
        <v>-0.42870000000000003</v>
      </c>
      <c r="CZ119" s="228">
        <v>36.78</v>
      </c>
      <c r="DA119" s="228">
        <v>37.450000000000003</v>
      </c>
      <c r="DB119" s="228">
        <v>-0.67</v>
      </c>
      <c r="DC119" s="228">
        <v>-0.67</v>
      </c>
      <c r="DD119" s="228">
        <v>44.6</v>
      </c>
      <c r="DE119" s="228">
        <v>44.64</v>
      </c>
      <c r="DF119" s="228">
        <v>-7.82</v>
      </c>
      <c r="DG119" s="228">
        <v>-0.04</v>
      </c>
      <c r="DH119" s="228">
        <v>36.799999999999997</v>
      </c>
      <c r="DI119" s="228">
        <v>37.4</v>
      </c>
      <c r="DJ119" s="228">
        <v>-0.6</v>
      </c>
      <c r="DK119" s="228">
        <v>-0.6</v>
      </c>
      <c r="DL119" s="228">
        <v>36.72</v>
      </c>
      <c r="DM119" s="228">
        <v>37.74</v>
      </c>
      <c r="DN119" s="228">
        <v>-1.02</v>
      </c>
      <c r="DO119" s="228">
        <v>-1.02</v>
      </c>
      <c r="DP119" s="228">
        <v>0.46</v>
      </c>
      <c r="DQ119" s="228">
        <v>0.54</v>
      </c>
      <c r="DR119" s="228">
        <v>-0.08</v>
      </c>
      <c r="DS119" s="229">
        <v>-0.14810000000000001</v>
      </c>
      <c r="DT119" s="228">
        <v>700</v>
      </c>
      <c r="DU119" s="228">
        <v>700</v>
      </c>
      <c r="DV119" s="228">
        <v>0.5</v>
      </c>
      <c r="DW119" s="228">
        <v>0.23</v>
      </c>
      <c r="DX119" s="228">
        <v>0.27</v>
      </c>
      <c r="DY119" s="229">
        <v>1.1738999999999999</v>
      </c>
      <c r="DZ119" s="229">
        <v>0.69110000000000005</v>
      </c>
      <c r="EA119" s="230">
        <v>4344350</v>
      </c>
      <c r="EB119" s="229">
        <v>4.3E-3</v>
      </c>
      <c r="EC119" s="229">
        <v>0.69110000000000005</v>
      </c>
      <c r="ED119" s="228">
        <v>4.54</v>
      </c>
      <c r="EE119" s="229">
        <v>6.6E-3</v>
      </c>
      <c r="EF119" s="230">
        <v>614481</v>
      </c>
      <c r="EG119" s="230">
        <v>157279</v>
      </c>
      <c r="EH119" s="229">
        <v>2.9068999999999998</v>
      </c>
      <c r="EI119" s="229">
        <v>0.51470000000000005</v>
      </c>
      <c r="EJ119" s="231">
        <v>13109.43</v>
      </c>
      <c r="EK119" s="231">
        <v>6294.42</v>
      </c>
      <c r="EL119" s="231">
        <v>29790.57</v>
      </c>
      <c r="EM119" s="228">
        <v>0</v>
      </c>
      <c r="EN119" s="231">
        <v>49194.42</v>
      </c>
      <c r="EO119" s="231">
        <v>43008.73</v>
      </c>
      <c r="EP119" s="231">
        <v>6185.69</v>
      </c>
      <c r="EQ119" s="229">
        <v>0.14380000000000001</v>
      </c>
      <c r="ER119" s="231">
        <v>4956</v>
      </c>
      <c r="ES119" s="231">
        <v>2079</v>
      </c>
      <c r="ET119" s="231">
        <v>31596</v>
      </c>
      <c r="EU119" s="231">
        <v>64423956</v>
      </c>
      <c r="EV119" s="231">
        <v>38631</v>
      </c>
      <c r="EW119" s="231">
        <v>66734</v>
      </c>
      <c r="EX119" s="231">
        <v>-28103</v>
      </c>
      <c r="EY119" s="229">
        <v>-0.42109999999999997</v>
      </c>
      <c r="EZ119" s="229">
        <v>8.5999999999999993E-2</v>
      </c>
      <c r="FA119" s="227" t="s">
        <v>556</v>
      </c>
      <c r="FB119" s="161">
        <f t="shared" si="1"/>
        <v>2511750</v>
      </c>
    </row>
    <row r="120" spans="1:158" ht="17.25" thickBot="1" x14ac:dyDescent="0.3">
      <c r="A120" s="226">
        <v>45869</v>
      </c>
      <c r="B120" s="227" t="s">
        <v>161</v>
      </c>
      <c r="C120" s="227" t="s">
        <v>581</v>
      </c>
      <c r="D120" s="228">
        <v>1000</v>
      </c>
      <c r="E120" s="228">
        <v>517.79999999999995</v>
      </c>
      <c r="F120" s="228">
        <v>528.75</v>
      </c>
      <c r="G120" s="228">
        <v>-10.95</v>
      </c>
      <c r="H120" s="229">
        <v>-2.07E-2</v>
      </c>
      <c r="I120" s="228">
        <v>515.04999999999995</v>
      </c>
      <c r="J120" s="228">
        <v>526.5</v>
      </c>
      <c r="K120" s="228">
        <v>-11.45</v>
      </c>
      <c r="L120" s="229">
        <v>-2.1700000000000001E-2</v>
      </c>
      <c r="M120" s="228">
        <v>514.35</v>
      </c>
      <c r="N120" s="228">
        <v>525.95000000000005</v>
      </c>
      <c r="O120" s="228">
        <v>-11.6</v>
      </c>
      <c r="P120" s="229">
        <v>-2.2100000000000002E-2</v>
      </c>
      <c r="Q120" s="228">
        <v>517.79999999999995</v>
      </c>
      <c r="R120" s="228">
        <v>528.75</v>
      </c>
      <c r="S120" s="228">
        <v>-10.95</v>
      </c>
      <c r="T120" s="229">
        <v>-2.07E-2</v>
      </c>
      <c r="U120" s="228">
        <v>523</v>
      </c>
      <c r="V120" s="228">
        <v>531.54999999999995</v>
      </c>
      <c r="W120" s="228">
        <v>-8.5500000000000007</v>
      </c>
      <c r="X120" s="229">
        <v>-1.61E-2</v>
      </c>
      <c r="Y120" s="228">
        <v>2.75</v>
      </c>
      <c r="Z120" s="228">
        <v>-0.55000000000000004</v>
      </c>
      <c r="AA120" s="228">
        <v>3.3</v>
      </c>
      <c r="AB120" s="229">
        <v>5.3E-3</v>
      </c>
      <c r="AC120" s="228">
        <v>-0.7</v>
      </c>
      <c r="AD120" s="228">
        <v>-0.55000000000000004</v>
      </c>
      <c r="AE120" s="228">
        <v>-0.15</v>
      </c>
      <c r="AF120" s="229">
        <v>-1.4E-3</v>
      </c>
      <c r="AG120" s="228">
        <v>2.75</v>
      </c>
      <c r="AH120" s="228">
        <v>2.25</v>
      </c>
      <c r="AI120" s="228">
        <v>0.5</v>
      </c>
      <c r="AJ120" s="229">
        <v>5.3E-3</v>
      </c>
      <c r="AK120" s="228">
        <v>7.95</v>
      </c>
      <c r="AL120" s="228">
        <v>5.05</v>
      </c>
      <c r="AM120" s="228">
        <v>2.9</v>
      </c>
      <c r="AN120" s="229">
        <v>1.54E-2</v>
      </c>
      <c r="AO120" s="228">
        <v>519.45000000000005</v>
      </c>
      <c r="AP120" s="228">
        <v>521.85</v>
      </c>
      <c r="AQ120" s="228">
        <v>0</v>
      </c>
      <c r="AR120" s="230">
        <v>16752000</v>
      </c>
      <c r="AS120" s="230">
        <v>17031000</v>
      </c>
      <c r="AT120" s="230">
        <v>-279000</v>
      </c>
      <c r="AU120" s="229">
        <v>-1.6400000000000001E-2</v>
      </c>
      <c r="AV120" s="230">
        <v>6636000</v>
      </c>
      <c r="AW120" s="230">
        <v>7623000</v>
      </c>
      <c r="AX120" s="230">
        <v>-987000</v>
      </c>
      <c r="AY120" s="229">
        <v>-0.1295</v>
      </c>
      <c r="AZ120" s="230">
        <v>10054000</v>
      </c>
      <c r="BA120" s="230">
        <v>9338000</v>
      </c>
      <c r="BB120" s="230">
        <v>716000</v>
      </c>
      <c r="BC120" s="229">
        <v>7.6700000000000004E-2</v>
      </c>
      <c r="BD120" s="230">
        <v>62000</v>
      </c>
      <c r="BE120" s="230">
        <v>70000</v>
      </c>
      <c r="BF120" s="230">
        <v>-8000</v>
      </c>
      <c r="BG120" s="229">
        <v>-0.1143</v>
      </c>
      <c r="BH120" s="230">
        <v>10307000</v>
      </c>
      <c r="BI120" s="230">
        <v>10290000</v>
      </c>
      <c r="BJ120" s="230">
        <v>17000</v>
      </c>
      <c r="BK120" s="229">
        <v>1.6999999999999999E-3</v>
      </c>
      <c r="BL120" s="230">
        <v>3824000</v>
      </c>
      <c r="BM120" s="230">
        <v>3567000</v>
      </c>
      <c r="BN120" s="230">
        <v>257000</v>
      </c>
      <c r="BO120" s="229">
        <v>7.1999999999999995E-2</v>
      </c>
      <c r="BP120" s="230">
        <v>30883000</v>
      </c>
      <c r="BQ120" s="230">
        <v>30888000</v>
      </c>
      <c r="BR120" s="230">
        <v>-5000</v>
      </c>
      <c r="BS120" s="229">
        <v>-2.0000000000000001E-4</v>
      </c>
      <c r="BT120" s="230">
        <v>2045649</v>
      </c>
      <c r="BU120" s="230">
        <v>1689742</v>
      </c>
      <c r="BV120" s="230">
        <v>355907</v>
      </c>
      <c r="BW120" s="229">
        <v>0.21060000000000001</v>
      </c>
      <c r="BX120" s="230">
        <v>41504000</v>
      </c>
      <c r="BY120" s="230">
        <v>44629000</v>
      </c>
      <c r="BZ120" s="230">
        <v>-3125000</v>
      </c>
      <c r="CA120" s="229">
        <v>-7.0000000000000007E-2</v>
      </c>
      <c r="CB120" s="230">
        <v>4180000</v>
      </c>
      <c r="CC120" s="230">
        <v>9003000</v>
      </c>
      <c r="CD120" s="230">
        <v>-4823000</v>
      </c>
      <c r="CE120" s="229">
        <v>-0.53569999999999995</v>
      </c>
      <c r="CF120" s="230">
        <v>41290000</v>
      </c>
      <c r="CG120" s="230">
        <v>35435000</v>
      </c>
      <c r="CH120" s="230">
        <v>5855000</v>
      </c>
      <c r="CI120" s="229">
        <v>0.16520000000000001</v>
      </c>
      <c r="CJ120" s="230">
        <v>214000</v>
      </c>
      <c r="CK120" s="230">
        <v>191000</v>
      </c>
      <c r="CL120" s="230">
        <v>23000</v>
      </c>
      <c r="CM120" s="229">
        <v>0.12039999999999999</v>
      </c>
      <c r="CN120" s="230">
        <v>5128000</v>
      </c>
      <c r="CO120" s="230">
        <v>8855000</v>
      </c>
      <c r="CP120" s="230">
        <v>-3727000</v>
      </c>
      <c r="CQ120" s="229">
        <v>-0.4209</v>
      </c>
      <c r="CR120" s="230">
        <v>3156000</v>
      </c>
      <c r="CS120" s="230">
        <v>5062000</v>
      </c>
      <c r="CT120" s="230">
        <v>-1906000</v>
      </c>
      <c r="CU120" s="229">
        <v>-0.3765</v>
      </c>
      <c r="CV120" s="230">
        <v>49788000</v>
      </c>
      <c r="CW120" s="230">
        <v>58546000</v>
      </c>
      <c r="CX120" s="230">
        <v>-8758000</v>
      </c>
      <c r="CY120" s="229">
        <v>-0.14960000000000001</v>
      </c>
      <c r="CZ120" s="228">
        <v>37.76</v>
      </c>
      <c r="DA120" s="228">
        <v>35.81</v>
      </c>
      <c r="DB120" s="228">
        <v>1.95</v>
      </c>
      <c r="DC120" s="228">
        <v>1.95</v>
      </c>
      <c r="DD120" s="228">
        <v>48.95</v>
      </c>
      <c r="DE120" s="228">
        <v>48.98</v>
      </c>
      <c r="DF120" s="228">
        <v>-11.19</v>
      </c>
      <c r="DG120" s="228">
        <v>-0.03</v>
      </c>
      <c r="DH120" s="228">
        <v>37.9</v>
      </c>
      <c r="DI120" s="228">
        <v>35.840000000000003</v>
      </c>
      <c r="DJ120" s="228">
        <v>2.06</v>
      </c>
      <c r="DK120" s="228">
        <v>2.06</v>
      </c>
      <c r="DL120" s="228">
        <v>37.35</v>
      </c>
      <c r="DM120" s="228">
        <v>35.75</v>
      </c>
      <c r="DN120" s="228">
        <v>1.6</v>
      </c>
      <c r="DO120" s="228">
        <v>1.6</v>
      </c>
      <c r="DP120" s="228">
        <v>0.62</v>
      </c>
      <c r="DQ120" s="228">
        <v>0.56999999999999995</v>
      </c>
      <c r="DR120" s="228">
        <v>0.05</v>
      </c>
      <c r="DS120" s="229">
        <v>8.77E-2</v>
      </c>
      <c r="DT120" s="228">
        <v>530</v>
      </c>
      <c r="DU120" s="228">
        <v>500</v>
      </c>
      <c r="DV120" s="228">
        <v>0.37</v>
      </c>
      <c r="DW120" s="228">
        <v>0.35</v>
      </c>
      <c r="DX120" s="228">
        <v>0.02</v>
      </c>
      <c r="DY120" s="229">
        <v>5.7099999999999998E-2</v>
      </c>
      <c r="DZ120" s="229">
        <v>0.90849999999999997</v>
      </c>
      <c r="EA120" s="230">
        <v>35626000</v>
      </c>
      <c r="EB120" s="229">
        <v>6.7000000000000002E-3</v>
      </c>
      <c r="EC120" s="229">
        <v>0.90849999999999997</v>
      </c>
      <c r="ED120" s="228">
        <v>2.4</v>
      </c>
      <c r="EE120" s="229">
        <v>4.5999999999999999E-3</v>
      </c>
      <c r="EF120" s="230">
        <v>786645</v>
      </c>
      <c r="EG120" s="230">
        <v>686984</v>
      </c>
      <c r="EH120" s="229">
        <v>0.14510000000000001</v>
      </c>
      <c r="EI120" s="229">
        <v>0.38450000000000001</v>
      </c>
      <c r="EJ120" s="231">
        <v>56207.79</v>
      </c>
      <c r="EK120" s="231">
        <v>20087.93</v>
      </c>
      <c r="EL120" s="231">
        <v>87262.97</v>
      </c>
      <c r="EM120" s="228">
        <v>0</v>
      </c>
      <c r="EN120" s="231">
        <v>163558.69</v>
      </c>
      <c r="EO120" s="231">
        <v>165000.62</v>
      </c>
      <c r="EP120" s="231">
        <v>-1441.93</v>
      </c>
      <c r="EQ120" s="229">
        <v>-8.6999999999999994E-3</v>
      </c>
      <c r="ER120" s="231">
        <v>27554</v>
      </c>
      <c r="ES120" s="231">
        <v>16146</v>
      </c>
      <c r="ET120" s="231">
        <v>214919</v>
      </c>
      <c r="EU120" s="231">
        <v>106935382</v>
      </c>
      <c r="EV120" s="231">
        <v>258618</v>
      </c>
      <c r="EW120" s="231">
        <v>309062</v>
      </c>
      <c r="EX120" s="231">
        <v>-50444</v>
      </c>
      <c r="EY120" s="229">
        <v>-0.16320000000000001</v>
      </c>
      <c r="EZ120" s="229">
        <v>0.46560000000000001</v>
      </c>
      <c r="FA120" s="227" t="s">
        <v>568</v>
      </c>
      <c r="FB120" s="161">
        <f t="shared" si="1"/>
        <v>37324000</v>
      </c>
    </row>
    <row r="121" spans="1:158" ht="17.25" thickBot="1" x14ac:dyDescent="0.3">
      <c r="A121" s="226">
        <v>45869</v>
      </c>
      <c r="B121" s="227" t="s">
        <v>227</v>
      </c>
      <c r="C121" s="227" t="s">
        <v>244</v>
      </c>
      <c r="D121" s="228">
        <v>675</v>
      </c>
      <c r="E121" s="231">
        <v>1052.8</v>
      </c>
      <c r="F121" s="231">
        <v>1042.0999999999999</v>
      </c>
      <c r="G121" s="228">
        <v>10.7</v>
      </c>
      <c r="H121" s="229">
        <v>1.03E-2</v>
      </c>
      <c r="I121" s="231">
        <v>1048.3</v>
      </c>
      <c r="J121" s="231">
        <v>1037.9000000000001</v>
      </c>
      <c r="K121" s="228">
        <v>10.4</v>
      </c>
      <c r="L121" s="229">
        <v>0.01</v>
      </c>
      <c r="M121" s="231">
        <v>1047</v>
      </c>
      <c r="N121" s="231">
        <v>1036.3</v>
      </c>
      <c r="O121" s="228">
        <v>10.7</v>
      </c>
      <c r="P121" s="229">
        <v>1.03E-2</v>
      </c>
      <c r="Q121" s="231">
        <v>1052.8</v>
      </c>
      <c r="R121" s="231">
        <v>1042.0999999999999</v>
      </c>
      <c r="S121" s="228">
        <v>10.7</v>
      </c>
      <c r="T121" s="229">
        <v>1.03E-2</v>
      </c>
      <c r="U121" s="231">
        <v>1057.2</v>
      </c>
      <c r="V121" s="231">
        <v>1049</v>
      </c>
      <c r="W121" s="228">
        <v>8.1999999999999993</v>
      </c>
      <c r="X121" s="229">
        <v>7.7999999999999996E-3</v>
      </c>
      <c r="Y121" s="228">
        <v>4.5</v>
      </c>
      <c r="Z121" s="228">
        <v>-1.6</v>
      </c>
      <c r="AA121" s="228">
        <v>6.1</v>
      </c>
      <c r="AB121" s="229">
        <v>4.3E-3</v>
      </c>
      <c r="AC121" s="228">
        <v>-1.3</v>
      </c>
      <c r="AD121" s="228">
        <v>-1.6</v>
      </c>
      <c r="AE121" s="228">
        <v>0.3</v>
      </c>
      <c r="AF121" s="229">
        <v>-1.1999999999999999E-3</v>
      </c>
      <c r="AG121" s="228">
        <v>4.5</v>
      </c>
      <c r="AH121" s="228">
        <v>4.2</v>
      </c>
      <c r="AI121" s="228">
        <v>0.3</v>
      </c>
      <c r="AJ121" s="229">
        <v>4.3E-3</v>
      </c>
      <c r="AK121" s="228">
        <v>8.9</v>
      </c>
      <c r="AL121" s="228">
        <v>11.1</v>
      </c>
      <c r="AM121" s="228">
        <v>-2.2000000000000002</v>
      </c>
      <c r="AN121" s="229">
        <v>8.5000000000000006E-3</v>
      </c>
      <c r="AO121" s="231">
        <v>1046.54</v>
      </c>
      <c r="AP121" s="231">
        <v>1052.75</v>
      </c>
      <c r="AQ121" s="228">
        <v>0</v>
      </c>
      <c r="AR121" s="230">
        <v>14219550</v>
      </c>
      <c r="AS121" s="230">
        <v>18724500</v>
      </c>
      <c r="AT121" s="230">
        <v>-4504950</v>
      </c>
      <c r="AU121" s="229">
        <v>-0.24060000000000001</v>
      </c>
      <c r="AV121" s="230">
        <v>4637250</v>
      </c>
      <c r="AW121" s="230">
        <v>8868150</v>
      </c>
      <c r="AX121" s="230">
        <v>-4230900</v>
      </c>
      <c r="AY121" s="229">
        <v>-0.47710000000000002</v>
      </c>
      <c r="AZ121" s="230">
        <v>9443925</v>
      </c>
      <c r="BA121" s="230">
        <v>9782100</v>
      </c>
      <c r="BB121" s="230">
        <v>-338175</v>
      </c>
      <c r="BC121" s="229">
        <v>-3.4599999999999999E-2</v>
      </c>
      <c r="BD121" s="230">
        <v>138375</v>
      </c>
      <c r="BE121" s="230">
        <v>74250</v>
      </c>
      <c r="BF121" s="230">
        <v>64125</v>
      </c>
      <c r="BG121" s="229">
        <v>0.86360000000000003</v>
      </c>
      <c r="BH121" s="230">
        <v>14036625</v>
      </c>
      <c r="BI121" s="230">
        <v>12609675</v>
      </c>
      <c r="BJ121" s="230">
        <v>1426950</v>
      </c>
      <c r="BK121" s="229">
        <v>0.1132</v>
      </c>
      <c r="BL121" s="230">
        <v>7148250</v>
      </c>
      <c r="BM121" s="230">
        <v>4548150</v>
      </c>
      <c r="BN121" s="230">
        <v>2600100</v>
      </c>
      <c r="BO121" s="229">
        <v>0.57169999999999999</v>
      </c>
      <c r="BP121" s="230">
        <v>35404425</v>
      </c>
      <c r="BQ121" s="230">
        <v>35882325</v>
      </c>
      <c r="BR121" s="230">
        <v>-477900</v>
      </c>
      <c r="BS121" s="229">
        <v>-1.3299999999999999E-2</v>
      </c>
      <c r="BT121" s="230">
        <v>3200430</v>
      </c>
      <c r="BU121" s="230">
        <v>1890603</v>
      </c>
      <c r="BV121" s="230">
        <v>1309827</v>
      </c>
      <c r="BW121" s="229">
        <v>0.69279999999999997</v>
      </c>
      <c r="BX121" s="230">
        <v>37548900</v>
      </c>
      <c r="BY121" s="230">
        <v>38719350</v>
      </c>
      <c r="BZ121" s="230">
        <v>-1170450</v>
      </c>
      <c r="CA121" s="229">
        <v>-3.0200000000000001E-2</v>
      </c>
      <c r="CB121" s="230">
        <v>2252475</v>
      </c>
      <c r="CC121" s="230">
        <v>3730050</v>
      </c>
      <c r="CD121" s="230">
        <v>-1477575</v>
      </c>
      <c r="CE121" s="229">
        <v>-0.39610000000000001</v>
      </c>
      <c r="CF121" s="230">
        <v>37444275</v>
      </c>
      <c r="CG121" s="230">
        <v>34888725</v>
      </c>
      <c r="CH121" s="230">
        <v>2555550</v>
      </c>
      <c r="CI121" s="229">
        <v>7.3200000000000001E-2</v>
      </c>
      <c r="CJ121" s="230">
        <v>104625</v>
      </c>
      <c r="CK121" s="230">
        <v>100575</v>
      </c>
      <c r="CL121" s="230">
        <v>4050</v>
      </c>
      <c r="CM121" s="229">
        <v>4.0300000000000002E-2</v>
      </c>
      <c r="CN121" s="230">
        <v>4263300</v>
      </c>
      <c r="CO121" s="230">
        <v>9377775</v>
      </c>
      <c r="CP121" s="230">
        <v>-5114475</v>
      </c>
      <c r="CQ121" s="229">
        <v>-0.5454</v>
      </c>
      <c r="CR121" s="230">
        <v>2441475</v>
      </c>
      <c r="CS121" s="230">
        <v>5829975</v>
      </c>
      <c r="CT121" s="230">
        <v>-3388500</v>
      </c>
      <c r="CU121" s="229">
        <v>-0.58120000000000005</v>
      </c>
      <c r="CV121" s="230">
        <v>44253675</v>
      </c>
      <c r="CW121" s="230">
        <v>53927100</v>
      </c>
      <c r="CX121" s="230">
        <v>-9673425</v>
      </c>
      <c r="CY121" s="229">
        <v>-0.1794</v>
      </c>
      <c r="CZ121" s="228">
        <v>27.67</v>
      </c>
      <c r="DA121" s="228">
        <v>26.51</v>
      </c>
      <c r="DB121" s="228">
        <v>1.1599999999999999</v>
      </c>
      <c r="DC121" s="228">
        <v>1.1599999999999999</v>
      </c>
      <c r="DD121" s="228">
        <v>31</v>
      </c>
      <c r="DE121" s="228">
        <v>31.05</v>
      </c>
      <c r="DF121" s="228">
        <v>-3.33</v>
      </c>
      <c r="DG121" s="228">
        <v>-0.05</v>
      </c>
      <c r="DH121" s="228">
        <v>27.36</v>
      </c>
      <c r="DI121" s="228">
        <v>26.52</v>
      </c>
      <c r="DJ121" s="228">
        <v>0.84</v>
      </c>
      <c r="DK121" s="228">
        <v>0.84</v>
      </c>
      <c r="DL121" s="228">
        <v>28.18</v>
      </c>
      <c r="DM121" s="228">
        <v>26.49</v>
      </c>
      <c r="DN121" s="228">
        <v>1.69</v>
      </c>
      <c r="DO121" s="228">
        <v>1.69</v>
      </c>
      <c r="DP121" s="228">
        <v>0.56999999999999995</v>
      </c>
      <c r="DQ121" s="228">
        <v>0.62</v>
      </c>
      <c r="DR121" s="228">
        <v>-0.05</v>
      </c>
      <c r="DS121" s="229">
        <v>-8.0600000000000005E-2</v>
      </c>
      <c r="DT121" s="231">
        <v>1180</v>
      </c>
      <c r="DU121" s="228">
        <v>890</v>
      </c>
      <c r="DV121" s="228">
        <v>0.51</v>
      </c>
      <c r="DW121" s="228">
        <v>0.36</v>
      </c>
      <c r="DX121" s="228">
        <v>0.15</v>
      </c>
      <c r="DY121" s="229">
        <v>0.41670000000000001</v>
      </c>
      <c r="DZ121" s="229">
        <v>0.94340000000000002</v>
      </c>
      <c r="EA121" s="230">
        <v>34989300</v>
      </c>
      <c r="EB121" s="229">
        <v>5.4999999999999997E-3</v>
      </c>
      <c r="EC121" s="229">
        <v>0.94340000000000002</v>
      </c>
      <c r="ED121" s="228">
        <v>6.21</v>
      </c>
      <c r="EE121" s="229">
        <v>5.8999999999999999E-3</v>
      </c>
      <c r="EF121" s="230">
        <v>1255809</v>
      </c>
      <c r="EG121" s="230">
        <v>871055</v>
      </c>
      <c r="EH121" s="229">
        <v>0.44169999999999998</v>
      </c>
      <c r="EI121" s="229">
        <v>0.39240000000000003</v>
      </c>
      <c r="EJ121" s="231">
        <v>152874.03</v>
      </c>
      <c r="EK121" s="231">
        <v>74165.27</v>
      </c>
      <c r="EL121" s="231">
        <v>149415.96</v>
      </c>
      <c r="EM121" s="228">
        <v>0</v>
      </c>
      <c r="EN121" s="231">
        <v>376455.26</v>
      </c>
      <c r="EO121" s="231">
        <v>377261.36</v>
      </c>
      <c r="EP121" s="228">
        <v>-806.1</v>
      </c>
      <c r="EQ121" s="229">
        <v>-2.0999999999999999E-3</v>
      </c>
      <c r="ER121" s="231">
        <v>46072</v>
      </c>
      <c r="ES121" s="231">
        <v>24585</v>
      </c>
      <c r="ET121" s="231">
        <v>395319</v>
      </c>
      <c r="EU121" s="231">
        <v>268798007</v>
      </c>
      <c r="EV121" s="231">
        <v>465977</v>
      </c>
      <c r="EW121" s="231">
        <v>562824</v>
      </c>
      <c r="EX121" s="231">
        <v>-96847</v>
      </c>
      <c r="EY121" s="229">
        <v>-0.1721</v>
      </c>
      <c r="EZ121" s="229">
        <v>0.1646</v>
      </c>
      <c r="FA121" s="227" t="s">
        <v>556</v>
      </c>
      <c r="FB121" s="161">
        <f t="shared" si="1"/>
        <v>35296425</v>
      </c>
    </row>
    <row r="122" spans="1:158" ht="17.25" thickBot="1" x14ac:dyDescent="0.3">
      <c r="A122" s="226">
        <v>45869</v>
      </c>
      <c r="B122" s="227" t="s">
        <v>168</v>
      </c>
      <c r="C122" s="227" t="s">
        <v>245</v>
      </c>
      <c r="D122" s="228">
        <v>1250</v>
      </c>
      <c r="E122" s="228">
        <v>657.95</v>
      </c>
      <c r="F122" s="228">
        <v>658.6</v>
      </c>
      <c r="G122" s="228">
        <v>-0.65</v>
      </c>
      <c r="H122" s="229">
        <v>-1E-3</v>
      </c>
      <c r="I122" s="228">
        <v>655.5</v>
      </c>
      <c r="J122" s="228">
        <v>656</v>
      </c>
      <c r="K122" s="228">
        <v>-0.5</v>
      </c>
      <c r="L122" s="229">
        <v>-8.0000000000000004E-4</v>
      </c>
      <c r="M122" s="228">
        <v>654.75</v>
      </c>
      <c r="N122" s="228">
        <v>655.29999999999995</v>
      </c>
      <c r="O122" s="228">
        <v>-0.55000000000000004</v>
      </c>
      <c r="P122" s="229">
        <v>-8.0000000000000004E-4</v>
      </c>
      <c r="Q122" s="228">
        <v>657.95</v>
      </c>
      <c r="R122" s="228">
        <v>658.6</v>
      </c>
      <c r="S122" s="228">
        <v>-0.65</v>
      </c>
      <c r="T122" s="229">
        <v>-1E-3</v>
      </c>
      <c r="U122" s="228">
        <v>662.15</v>
      </c>
      <c r="V122" s="228">
        <v>662.65</v>
      </c>
      <c r="W122" s="228">
        <v>-0.5</v>
      </c>
      <c r="X122" s="229">
        <v>-8.0000000000000004E-4</v>
      </c>
      <c r="Y122" s="228">
        <v>2.4500000000000002</v>
      </c>
      <c r="Z122" s="228">
        <v>-0.7</v>
      </c>
      <c r="AA122" s="228">
        <v>3.15</v>
      </c>
      <c r="AB122" s="229">
        <v>3.7000000000000002E-3</v>
      </c>
      <c r="AC122" s="228">
        <v>-0.75</v>
      </c>
      <c r="AD122" s="228">
        <v>-0.7</v>
      </c>
      <c r="AE122" s="228">
        <v>-0.05</v>
      </c>
      <c r="AF122" s="229">
        <v>-1.1000000000000001E-3</v>
      </c>
      <c r="AG122" s="228">
        <v>2.4500000000000002</v>
      </c>
      <c r="AH122" s="228">
        <v>2.6</v>
      </c>
      <c r="AI122" s="228">
        <v>-0.15</v>
      </c>
      <c r="AJ122" s="229">
        <v>3.7000000000000002E-3</v>
      </c>
      <c r="AK122" s="228">
        <v>6.65</v>
      </c>
      <c r="AL122" s="228">
        <v>6.65</v>
      </c>
      <c r="AM122" s="228">
        <v>0</v>
      </c>
      <c r="AN122" s="229">
        <v>1.01E-2</v>
      </c>
      <c r="AO122" s="228">
        <v>656.37</v>
      </c>
      <c r="AP122" s="228">
        <v>659.78</v>
      </c>
      <c r="AQ122" s="228">
        <v>0</v>
      </c>
      <c r="AR122" s="230">
        <v>6556250</v>
      </c>
      <c r="AS122" s="230">
        <v>11110000</v>
      </c>
      <c r="AT122" s="230">
        <v>-4553750</v>
      </c>
      <c r="AU122" s="229">
        <v>-0.40989999999999999</v>
      </c>
      <c r="AV122" s="230">
        <v>2997500</v>
      </c>
      <c r="AW122" s="230">
        <v>5482500</v>
      </c>
      <c r="AX122" s="230">
        <v>-2485000</v>
      </c>
      <c r="AY122" s="229">
        <v>-0.45329999999999998</v>
      </c>
      <c r="AZ122" s="230">
        <v>3492500</v>
      </c>
      <c r="BA122" s="230">
        <v>5568750</v>
      </c>
      <c r="BB122" s="230">
        <v>-2076250</v>
      </c>
      <c r="BC122" s="229">
        <v>-0.37280000000000002</v>
      </c>
      <c r="BD122" s="230">
        <v>66250</v>
      </c>
      <c r="BE122" s="230">
        <v>58750</v>
      </c>
      <c r="BF122" s="230">
        <v>7500</v>
      </c>
      <c r="BG122" s="229">
        <v>0.12770000000000001</v>
      </c>
      <c r="BH122" s="230">
        <v>2180000</v>
      </c>
      <c r="BI122" s="230">
        <v>5293750</v>
      </c>
      <c r="BJ122" s="230">
        <v>-3113750</v>
      </c>
      <c r="BK122" s="229">
        <v>-0.58819999999999995</v>
      </c>
      <c r="BL122" s="230">
        <v>977500</v>
      </c>
      <c r="BM122" s="230">
        <v>1996250</v>
      </c>
      <c r="BN122" s="230">
        <v>-1018750</v>
      </c>
      <c r="BO122" s="229">
        <v>-0.51029999999999998</v>
      </c>
      <c r="BP122" s="230">
        <v>9713750</v>
      </c>
      <c r="BQ122" s="230">
        <v>18400000</v>
      </c>
      <c r="BR122" s="230">
        <v>-8686250</v>
      </c>
      <c r="BS122" s="229">
        <v>-0.47210000000000002</v>
      </c>
      <c r="BT122" s="230">
        <v>646000</v>
      </c>
      <c r="BU122" s="230">
        <v>889101</v>
      </c>
      <c r="BV122" s="230">
        <v>-243101</v>
      </c>
      <c r="BW122" s="229">
        <v>-0.27339999999999998</v>
      </c>
      <c r="BX122" s="230">
        <v>19811250</v>
      </c>
      <c r="BY122" s="230">
        <v>21162500</v>
      </c>
      <c r="BZ122" s="230">
        <v>-1351250</v>
      </c>
      <c r="CA122" s="229">
        <v>-6.3899999999999998E-2</v>
      </c>
      <c r="CB122" s="230">
        <v>750000</v>
      </c>
      <c r="CC122" s="230">
        <v>2790000</v>
      </c>
      <c r="CD122" s="230">
        <v>-2040000</v>
      </c>
      <c r="CE122" s="229">
        <v>-0.73119999999999996</v>
      </c>
      <c r="CF122" s="230">
        <v>19655000</v>
      </c>
      <c r="CG122" s="230">
        <v>18241250</v>
      </c>
      <c r="CH122" s="230">
        <v>1413750</v>
      </c>
      <c r="CI122" s="229">
        <v>7.7499999999999999E-2</v>
      </c>
      <c r="CJ122" s="230">
        <v>156250</v>
      </c>
      <c r="CK122" s="230">
        <v>131250</v>
      </c>
      <c r="CL122" s="230">
        <v>25000</v>
      </c>
      <c r="CM122" s="229">
        <v>0.1905</v>
      </c>
      <c r="CN122" s="230">
        <v>1193750</v>
      </c>
      <c r="CO122" s="230">
        <v>6435000</v>
      </c>
      <c r="CP122" s="230">
        <v>-5241250</v>
      </c>
      <c r="CQ122" s="229">
        <v>-0.8145</v>
      </c>
      <c r="CR122" s="230">
        <v>965000</v>
      </c>
      <c r="CS122" s="230">
        <v>2941250</v>
      </c>
      <c r="CT122" s="230">
        <v>-1976250</v>
      </c>
      <c r="CU122" s="229">
        <v>-0.67190000000000005</v>
      </c>
      <c r="CV122" s="230">
        <v>21970000</v>
      </c>
      <c r="CW122" s="230">
        <v>30538750</v>
      </c>
      <c r="CX122" s="230">
        <v>-8568750</v>
      </c>
      <c r="CY122" s="229">
        <v>-0.28060000000000002</v>
      </c>
      <c r="CZ122" s="228">
        <v>29.55</v>
      </c>
      <c r="DA122" s="228">
        <v>28.99</v>
      </c>
      <c r="DB122" s="228">
        <v>0.56000000000000005</v>
      </c>
      <c r="DC122" s="228">
        <v>0.56000000000000005</v>
      </c>
      <c r="DD122" s="228">
        <v>35.96</v>
      </c>
      <c r="DE122" s="228">
        <v>36.049999999999997</v>
      </c>
      <c r="DF122" s="228">
        <v>-6.41</v>
      </c>
      <c r="DG122" s="228">
        <v>-0.09</v>
      </c>
      <c r="DH122" s="228">
        <v>29.61</v>
      </c>
      <c r="DI122" s="228">
        <v>28.84</v>
      </c>
      <c r="DJ122" s="228">
        <v>0.77</v>
      </c>
      <c r="DK122" s="228">
        <v>0.77</v>
      </c>
      <c r="DL122" s="228">
        <v>29.41</v>
      </c>
      <c r="DM122" s="228">
        <v>29.31</v>
      </c>
      <c r="DN122" s="228">
        <v>0.1</v>
      </c>
      <c r="DO122" s="228">
        <v>0.1</v>
      </c>
      <c r="DP122" s="228">
        <v>0.81</v>
      </c>
      <c r="DQ122" s="228">
        <v>0.46</v>
      </c>
      <c r="DR122" s="228">
        <v>0.35</v>
      </c>
      <c r="DS122" s="229">
        <v>0.76090000000000002</v>
      </c>
      <c r="DT122" s="228">
        <v>760</v>
      </c>
      <c r="DU122" s="228">
        <v>700</v>
      </c>
      <c r="DV122" s="228">
        <v>0.45</v>
      </c>
      <c r="DW122" s="228">
        <v>0.38</v>
      </c>
      <c r="DX122" s="228">
        <v>7.0000000000000007E-2</v>
      </c>
      <c r="DY122" s="229">
        <v>0.1842</v>
      </c>
      <c r="DZ122" s="229">
        <v>0.96350000000000002</v>
      </c>
      <c r="EA122" s="230">
        <v>18372500</v>
      </c>
      <c r="EB122" s="229">
        <v>4.8999999999999998E-3</v>
      </c>
      <c r="EC122" s="229">
        <v>0.96350000000000002</v>
      </c>
      <c r="ED122" s="228">
        <v>3.41</v>
      </c>
      <c r="EE122" s="229">
        <v>5.1999999999999998E-3</v>
      </c>
      <c r="EF122" s="230">
        <v>385526</v>
      </c>
      <c r="EG122" s="230">
        <v>451460</v>
      </c>
      <c r="EH122" s="229">
        <v>-0.14599999999999999</v>
      </c>
      <c r="EI122" s="229">
        <v>0.5968</v>
      </c>
      <c r="EJ122" s="231">
        <v>14972.57</v>
      </c>
      <c r="EK122" s="231">
        <v>6595.55</v>
      </c>
      <c r="EL122" s="231">
        <v>43157.07</v>
      </c>
      <c r="EM122" s="228">
        <v>0</v>
      </c>
      <c r="EN122" s="231">
        <v>64725.19</v>
      </c>
      <c r="EO122" s="231">
        <v>122261.89</v>
      </c>
      <c r="EP122" s="231">
        <v>-57536.7</v>
      </c>
      <c r="EQ122" s="229">
        <v>-0.47060000000000002</v>
      </c>
      <c r="ER122" s="231">
        <v>8210</v>
      </c>
      <c r="ES122" s="231">
        <v>6235</v>
      </c>
      <c r="ET122" s="231">
        <v>130355</v>
      </c>
      <c r="EU122" s="231">
        <v>76179695</v>
      </c>
      <c r="EV122" s="231">
        <v>144800</v>
      </c>
      <c r="EW122" s="231">
        <v>205038</v>
      </c>
      <c r="EX122" s="231">
        <v>-60238</v>
      </c>
      <c r="EY122" s="229">
        <v>-0.29380000000000001</v>
      </c>
      <c r="EZ122" s="229">
        <v>0.28839999999999999</v>
      </c>
      <c r="FA122" s="227" t="s">
        <v>568</v>
      </c>
      <c r="FB122" s="161">
        <f t="shared" si="1"/>
        <v>19061250</v>
      </c>
    </row>
    <row r="123" spans="1:158" ht="17.25" thickBot="1" x14ac:dyDescent="0.3">
      <c r="A123" s="226">
        <v>45869</v>
      </c>
      <c r="B123" s="227" t="s">
        <v>168</v>
      </c>
      <c r="C123" s="227" t="s">
        <v>583</v>
      </c>
      <c r="D123" s="228">
        <v>1175</v>
      </c>
      <c r="E123" s="228">
        <v>596.70000000000005</v>
      </c>
      <c r="F123" s="228">
        <v>609.4</v>
      </c>
      <c r="G123" s="228">
        <v>-12.7</v>
      </c>
      <c r="H123" s="229">
        <v>-2.0799999999999999E-2</v>
      </c>
      <c r="I123" s="228">
        <v>594.70000000000005</v>
      </c>
      <c r="J123" s="228">
        <v>606.65</v>
      </c>
      <c r="K123" s="228">
        <v>-11.95</v>
      </c>
      <c r="L123" s="229">
        <v>-1.9699999999999999E-2</v>
      </c>
      <c r="M123" s="228">
        <v>594.85</v>
      </c>
      <c r="N123" s="228">
        <v>606.5</v>
      </c>
      <c r="O123" s="228">
        <v>-11.65</v>
      </c>
      <c r="P123" s="229">
        <v>-1.9199999999999998E-2</v>
      </c>
      <c r="Q123" s="228">
        <v>596.70000000000005</v>
      </c>
      <c r="R123" s="228">
        <v>609.4</v>
      </c>
      <c r="S123" s="228">
        <v>-12.7</v>
      </c>
      <c r="T123" s="229">
        <v>-2.0799999999999999E-2</v>
      </c>
      <c r="U123" s="228">
        <v>598.9</v>
      </c>
      <c r="V123" s="228">
        <v>611.75</v>
      </c>
      <c r="W123" s="228">
        <v>-12.85</v>
      </c>
      <c r="X123" s="229">
        <v>-2.1000000000000001E-2</v>
      </c>
      <c r="Y123" s="228">
        <v>2</v>
      </c>
      <c r="Z123" s="228">
        <v>-0.15</v>
      </c>
      <c r="AA123" s="228">
        <v>2.15</v>
      </c>
      <c r="AB123" s="229">
        <v>3.3999999999999998E-3</v>
      </c>
      <c r="AC123" s="228">
        <v>0.15</v>
      </c>
      <c r="AD123" s="228">
        <v>-0.15</v>
      </c>
      <c r="AE123" s="228">
        <v>0.3</v>
      </c>
      <c r="AF123" s="229">
        <v>2.9999999999999997E-4</v>
      </c>
      <c r="AG123" s="228">
        <v>2</v>
      </c>
      <c r="AH123" s="228">
        <v>2.75</v>
      </c>
      <c r="AI123" s="228">
        <v>-0.75</v>
      </c>
      <c r="AJ123" s="229">
        <v>3.3999999999999998E-3</v>
      </c>
      <c r="AK123" s="228">
        <v>4.2</v>
      </c>
      <c r="AL123" s="228">
        <v>5.0999999999999996</v>
      </c>
      <c r="AM123" s="228">
        <v>-0.9</v>
      </c>
      <c r="AN123" s="229">
        <v>7.1000000000000004E-3</v>
      </c>
      <c r="AO123" s="228">
        <v>596.41</v>
      </c>
      <c r="AP123" s="228">
        <v>598.91</v>
      </c>
      <c r="AQ123" s="228">
        <v>0</v>
      </c>
      <c r="AR123" s="230">
        <v>10584400</v>
      </c>
      <c r="AS123" s="230">
        <v>12298725</v>
      </c>
      <c r="AT123" s="230">
        <v>-1714325</v>
      </c>
      <c r="AU123" s="229">
        <v>-0.1394</v>
      </c>
      <c r="AV123" s="230">
        <v>4500250</v>
      </c>
      <c r="AW123" s="230">
        <v>6086500</v>
      </c>
      <c r="AX123" s="230">
        <v>-1586250</v>
      </c>
      <c r="AY123" s="229">
        <v>-0.2606</v>
      </c>
      <c r="AZ123" s="230">
        <v>5883225</v>
      </c>
      <c r="BA123" s="230">
        <v>5654100</v>
      </c>
      <c r="BB123" s="230">
        <v>229125</v>
      </c>
      <c r="BC123" s="229">
        <v>4.0500000000000001E-2</v>
      </c>
      <c r="BD123" s="230">
        <v>200925</v>
      </c>
      <c r="BE123" s="230">
        <v>558125</v>
      </c>
      <c r="BF123" s="230">
        <v>-357200</v>
      </c>
      <c r="BG123" s="229">
        <v>-0.64</v>
      </c>
      <c r="BH123" s="230">
        <v>8713800</v>
      </c>
      <c r="BI123" s="230">
        <v>9906425</v>
      </c>
      <c r="BJ123" s="230">
        <v>-1192625</v>
      </c>
      <c r="BK123" s="229">
        <v>-0.12039999999999999</v>
      </c>
      <c r="BL123" s="230">
        <v>3985600</v>
      </c>
      <c r="BM123" s="230">
        <v>3925675</v>
      </c>
      <c r="BN123" s="230">
        <v>59925</v>
      </c>
      <c r="BO123" s="229">
        <v>1.5299999999999999E-2</v>
      </c>
      <c r="BP123" s="230">
        <v>23283800</v>
      </c>
      <c r="BQ123" s="230">
        <v>26130825</v>
      </c>
      <c r="BR123" s="230">
        <v>-2847025</v>
      </c>
      <c r="BS123" s="229">
        <v>-0.109</v>
      </c>
      <c r="BT123" s="230">
        <v>3876971</v>
      </c>
      <c r="BU123" s="230">
        <v>1807656</v>
      </c>
      <c r="BV123" s="230">
        <v>2069315</v>
      </c>
      <c r="BW123" s="229">
        <v>1.1448</v>
      </c>
      <c r="BX123" s="230">
        <v>20025525</v>
      </c>
      <c r="BY123" s="230">
        <v>22569400</v>
      </c>
      <c r="BZ123" s="230">
        <v>-2543875</v>
      </c>
      <c r="CA123" s="229">
        <v>-0.11269999999999999</v>
      </c>
      <c r="CB123" s="230">
        <v>1609750</v>
      </c>
      <c r="CC123" s="230">
        <v>4656525</v>
      </c>
      <c r="CD123" s="230">
        <v>-3046775</v>
      </c>
      <c r="CE123" s="229">
        <v>-0.65429999999999999</v>
      </c>
      <c r="CF123" s="230">
        <v>19245325</v>
      </c>
      <c r="CG123" s="230">
        <v>17263100</v>
      </c>
      <c r="CH123" s="230">
        <v>1982225</v>
      </c>
      <c r="CI123" s="229">
        <v>0.1148</v>
      </c>
      <c r="CJ123" s="230">
        <v>780200</v>
      </c>
      <c r="CK123" s="230">
        <v>649775</v>
      </c>
      <c r="CL123" s="230">
        <v>130425</v>
      </c>
      <c r="CM123" s="229">
        <v>0.20069999999999999</v>
      </c>
      <c r="CN123" s="230">
        <v>2857600</v>
      </c>
      <c r="CO123" s="230">
        <v>6481300</v>
      </c>
      <c r="CP123" s="230">
        <v>-3623700</v>
      </c>
      <c r="CQ123" s="229">
        <v>-0.55910000000000004</v>
      </c>
      <c r="CR123" s="230">
        <v>1585075</v>
      </c>
      <c r="CS123" s="230">
        <v>4032600</v>
      </c>
      <c r="CT123" s="230">
        <v>-2447525</v>
      </c>
      <c r="CU123" s="229">
        <v>-0.6069</v>
      </c>
      <c r="CV123" s="230">
        <v>24468200</v>
      </c>
      <c r="CW123" s="230">
        <v>33083300</v>
      </c>
      <c r="CX123" s="230">
        <v>-8615100</v>
      </c>
      <c r="CY123" s="229">
        <v>-0.26040000000000002</v>
      </c>
      <c r="CZ123" s="228">
        <v>38.78</v>
      </c>
      <c r="DA123" s="228">
        <v>38.67</v>
      </c>
      <c r="DB123" s="228">
        <v>0.11</v>
      </c>
      <c r="DC123" s="228">
        <v>0.11</v>
      </c>
      <c r="DD123" s="228">
        <v>53.6</v>
      </c>
      <c r="DE123" s="228">
        <v>53.67</v>
      </c>
      <c r="DF123" s="228">
        <v>-14.82</v>
      </c>
      <c r="DG123" s="228">
        <v>-7.0000000000000007E-2</v>
      </c>
      <c r="DH123" s="228">
        <v>38.340000000000003</v>
      </c>
      <c r="DI123" s="228">
        <v>38.08</v>
      </c>
      <c r="DJ123" s="228">
        <v>0.26</v>
      </c>
      <c r="DK123" s="228">
        <v>0.26</v>
      </c>
      <c r="DL123" s="228">
        <v>39.78</v>
      </c>
      <c r="DM123" s="228">
        <v>40.04</v>
      </c>
      <c r="DN123" s="228">
        <v>-0.26</v>
      </c>
      <c r="DO123" s="228">
        <v>-0.26</v>
      </c>
      <c r="DP123" s="228">
        <v>0.55000000000000004</v>
      </c>
      <c r="DQ123" s="228">
        <v>0.62</v>
      </c>
      <c r="DR123" s="228">
        <v>-7.0000000000000007E-2</v>
      </c>
      <c r="DS123" s="229">
        <v>-0.1129</v>
      </c>
      <c r="DT123" s="228">
        <v>600</v>
      </c>
      <c r="DU123" s="228">
        <v>600</v>
      </c>
      <c r="DV123" s="228">
        <v>0.46</v>
      </c>
      <c r="DW123" s="228">
        <v>0.4</v>
      </c>
      <c r="DX123" s="228">
        <v>0.06</v>
      </c>
      <c r="DY123" s="229">
        <v>0.15</v>
      </c>
      <c r="DZ123" s="229">
        <v>0.92559999999999998</v>
      </c>
      <c r="EA123" s="230">
        <v>17912875</v>
      </c>
      <c r="EB123" s="229">
        <v>3.0999999999999999E-3</v>
      </c>
      <c r="EC123" s="229">
        <v>0.92559999999999998</v>
      </c>
      <c r="ED123" s="228">
        <v>2.5</v>
      </c>
      <c r="EE123" s="229">
        <v>4.1999999999999997E-3</v>
      </c>
      <c r="EF123" s="230">
        <v>1291148</v>
      </c>
      <c r="EG123" s="230">
        <v>685890</v>
      </c>
      <c r="EH123" s="229">
        <v>0.88239999999999996</v>
      </c>
      <c r="EI123" s="229">
        <v>0.33300000000000002</v>
      </c>
      <c r="EJ123" s="231">
        <v>54836.62</v>
      </c>
      <c r="EK123" s="231">
        <v>23517.14</v>
      </c>
      <c r="EL123" s="231">
        <v>63282.96</v>
      </c>
      <c r="EM123" s="228">
        <v>0</v>
      </c>
      <c r="EN123" s="231">
        <v>141636.72</v>
      </c>
      <c r="EO123" s="231">
        <v>159076.66</v>
      </c>
      <c r="EP123" s="231">
        <v>-17439.939999999999</v>
      </c>
      <c r="EQ123" s="229">
        <v>-0.1096</v>
      </c>
      <c r="ER123" s="231">
        <v>18176</v>
      </c>
      <c r="ES123" s="231">
        <v>9041</v>
      </c>
      <c r="ET123" s="231">
        <v>119509</v>
      </c>
      <c r="EU123" s="231">
        <v>76642895</v>
      </c>
      <c r="EV123" s="231">
        <v>146727</v>
      </c>
      <c r="EW123" s="231">
        <v>200236</v>
      </c>
      <c r="EX123" s="231">
        <v>-53509</v>
      </c>
      <c r="EY123" s="229">
        <v>-0.26719999999999999</v>
      </c>
      <c r="EZ123" s="229">
        <v>0.31919999999999998</v>
      </c>
      <c r="FA123" s="227" t="s">
        <v>568</v>
      </c>
      <c r="FB123" s="161">
        <f t="shared" si="1"/>
        <v>18415775</v>
      </c>
    </row>
    <row r="124" spans="1:158" ht="17.25" thickBot="1" x14ac:dyDescent="0.3">
      <c r="A124" s="226">
        <v>45869</v>
      </c>
      <c r="B124" s="227" t="s">
        <v>184</v>
      </c>
      <c r="C124" s="227" t="s">
        <v>678</v>
      </c>
      <c r="D124" s="228">
        <v>100</v>
      </c>
      <c r="E124" s="231">
        <v>6211</v>
      </c>
      <c r="F124" s="231">
        <v>5627.5</v>
      </c>
      <c r="G124" s="228">
        <v>583.5</v>
      </c>
      <c r="H124" s="229">
        <v>0.1037</v>
      </c>
      <c r="I124" s="231">
        <v>6172</v>
      </c>
      <c r="J124" s="231">
        <v>5638</v>
      </c>
      <c r="K124" s="228">
        <v>534</v>
      </c>
      <c r="L124" s="229">
        <v>9.4700000000000006E-2</v>
      </c>
      <c r="M124" s="231">
        <v>6179</v>
      </c>
      <c r="N124" s="231">
        <v>5628</v>
      </c>
      <c r="O124" s="228">
        <v>551</v>
      </c>
      <c r="P124" s="229">
        <v>9.7900000000000001E-2</v>
      </c>
      <c r="Q124" s="231">
        <v>6211</v>
      </c>
      <c r="R124" s="231">
        <v>5627.5</v>
      </c>
      <c r="S124" s="228">
        <v>583.5</v>
      </c>
      <c r="T124" s="229">
        <v>0.1037</v>
      </c>
      <c r="U124" s="231">
        <v>6227.5</v>
      </c>
      <c r="V124" s="231">
        <v>5647</v>
      </c>
      <c r="W124" s="228">
        <v>580.5</v>
      </c>
      <c r="X124" s="229">
        <v>0.1028</v>
      </c>
      <c r="Y124" s="228">
        <v>39</v>
      </c>
      <c r="Z124" s="228">
        <v>-10</v>
      </c>
      <c r="AA124" s="228">
        <v>49</v>
      </c>
      <c r="AB124" s="229">
        <v>6.3E-3</v>
      </c>
      <c r="AC124" s="228">
        <v>7</v>
      </c>
      <c r="AD124" s="228">
        <v>-10</v>
      </c>
      <c r="AE124" s="228">
        <v>17</v>
      </c>
      <c r="AF124" s="229">
        <v>1.1000000000000001E-3</v>
      </c>
      <c r="AG124" s="228">
        <v>39</v>
      </c>
      <c r="AH124" s="228">
        <v>-10.5</v>
      </c>
      <c r="AI124" s="228">
        <v>49.5</v>
      </c>
      <c r="AJ124" s="229">
        <v>6.3E-3</v>
      </c>
      <c r="AK124" s="228">
        <v>55.5</v>
      </c>
      <c r="AL124" s="228">
        <v>9</v>
      </c>
      <c r="AM124" s="228">
        <v>46.5</v>
      </c>
      <c r="AN124" s="229">
        <v>8.9999999999999993E-3</v>
      </c>
      <c r="AO124" s="231">
        <v>5995.57</v>
      </c>
      <c r="AP124" s="231">
        <v>6030.2</v>
      </c>
      <c r="AQ124" s="228">
        <v>0</v>
      </c>
      <c r="AR124" s="230">
        <v>2823600</v>
      </c>
      <c r="AS124" s="230">
        <v>963800</v>
      </c>
      <c r="AT124" s="230">
        <v>1859800</v>
      </c>
      <c r="AU124" s="229">
        <v>1.9297</v>
      </c>
      <c r="AV124" s="230">
        <v>859400</v>
      </c>
      <c r="AW124" s="230">
        <v>383700</v>
      </c>
      <c r="AX124" s="230">
        <v>475700</v>
      </c>
      <c r="AY124" s="229">
        <v>1.2398</v>
      </c>
      <c r="AZ124" s="230">
        <v>1924700</v>
      </c>
      <c r="BA124" s="230">
        <v>572700</v>
      </c>
      <c r="BB124" s="230">
        <v>1352000</v>
      </c>
      <c r="BC124" s="229">
        <v>2.3607</v>
      </c>
      <c r="BD124" s="230">
        <v>39500</v>
      </c>
      <c r="BE124" s="230">
        <v>7400</v>
      </c>
      <c r="BF124" s="230">
        <v>32100</v>
      </c>
      <c r="BG124" s="229">
        <v>4.3377999999999997</v>
      </c>
      <c r="BH124" s="230">
        <v>11897400</v>
      </c>
      <c r="BI124" s="230">
        <v>4462800</v>
      </c>
      <c r="BJ124" s="230">
        <v>7434600</v>
      </c>
      <c r="BK124" s="229">
        <v>1.6658999999999999</v>
      </c>
      <c r="BL124" s="230">
        <v>4377700</v>
      </c>
      <c r="BM124" s="230">
        <v>1529500</v>
      </c>
      <c r="BN124" s="230">
        <v>2848200</v>
      </c>
      <c r="BO124" s="229">
        <v>1.8622000000000001</v>
      </c>
      <c r="BP124" s="230">
        <v>19098700</v>
      </c>
      <c r="BQ124" s="230">
        <v>6956100</v>
      </c>
      <c r="BR124" s="230">
        <v>12142600</v>
      </c>
      <c r="BS124" s="229">
        <v>1.7456</v>
      </c>
      <c r="BT124" s="230">
        <v>4093666</v>
      </c>
      <c r="BU124" s="230">
        <v>766144</v>
      </c>
      <c r="BV124" s="230">
        <v>3327522</v>
      </c>
      <c r="BW124" s="229">
        <v>4.3432000000000004</v>
      </c>
      <c r="BX124" s="230">
        <v>688300</v>
      </c>
      <c r="BY124" s="230">
        <v>656300</v>
      </c>
      <c r="BZ124" s="230">
        <v>32000</v>
      </c>
      <c r="CA124" s="229">
        <v>4.8800000000000003E-2</v>
      </c>
      <c r="CB124" s="230">
        <v>79600</v>
      </c>
      <c r="CC124" s="230">
        <v>184400</v>
      </c>
      <c r="CD124" s="230">
        <v>-104800</v>
      </c>
      <c r="CE124" s="229">
        <v>-0.56830000000000003</v>
      </c>
      <c r="CF124" s="230">
        <v>675800</v>
      </c>
      <c r="CG124" s="230">
        <v>459300</v>
      </c>
      <c r="CH124" s="230">
        <v>216500</v>
      </c>
      <c r="CI124" s="229">
        <v>0.47139999999999999</v>
      </c>
      <c r="CJ124" s="230">
        <v>12500</v>
      </c>
      <c r="CK124" s="230">
        <v>12600</v>
      </c>
      <c r="CL124" s="228">
        <v>-100</v>
      </c>
      <c r="CM124" s="229">
        <v>-7.9000000000000008E-3</v>
      </c>
      <c r="CN124" s="230">
        <v>514800</v>
      </c>
      <c r="CO124" s="230">
        <v>688400</v>
      </c>
      <c r="CP124" s="230">
        <v>-173600</v>
      </c>
      <c r="CQ124" s="229">
        <v>-0.25219999999999998</v>
      </c>
      <c r="CR124" s="230">
        <v>346900</v>
      </c>
      <c r="CS124" s="230">
        <v>418900</v>
      </c>
      <c r="CT124" s="230">
        <v>-72000</v>
      </c>
      <c r="CU124" s="229">
        <v>-0.1719</v>
      </c>
      <c r="CV124" s="230">
        <v>1550000</v>
      </c>
      <c r="CW124" s="230">
        <v>1763600</v>
      </c>
      <c r="CX124" s="230">
        <v>-213600</v>
      </c>
      <c r="CY124" s="229">
        <v>-0.1211</v>
      </c>
      <c r="CZ124" s="228">
        <v>37.49</v>
      </c>
      <c r="DA124" s="228">
        <v>42.22</v>
      </c>
      <c r="DB124" s="228">
        <v>-4.7300000000000004</v>
      </c>
      <c r="DC124" s="228">
        <v>-4.7300000000000004</v>
      </c>
      <c r="DD124" s="228">
        <v>58.88</v>
      </c>
      <c r="DE124" s="228">
        <v>57.5</v>
      </c>
      <c r="DF124" s="228">
        <v>-21.39</v>
      </c>
      <c r="DG124" s="228">
        <v>1.38</v>
      </c>
      <c r="DH124" s="228">
        <v>36.869999999999997</v>
      </c>
      <c r="DI124" s="228">
        <v>41.89</v>
      </c>
      <c r="DJ124" s="228">
        <v>-5.0199999999999996</v>
      </c>
      <c r="DK124" s="228">
        <v>-5.0199999999999996</v>
      </c>
      <c r="DL124" s="228">
        <v>39.22</v>
      </c>
      <c r="DM124" s="228">
        <v>43.35</v>
      </c>
      <c r="DN124" s="228">
        <v>-4.13</v>
      </c>
      <c r="DO124" s="228">
        <v>-4.13</v>
      </c>
      <c r="DP124" s="228">
        <v>0.67</v>
      </c>
      <c r="DQ124" s="228">
        <v>0.61</v>
      </c>
      <c r="DR124" s="228">
        <v>0.06</v>
      </c>
      <c r="DS124" s="229">
        <v>9.8400000000000001E-2</v>
      </c>
      <c r="DT124" s="231">
        <v>7000</v>
      </c>
      <c r="DU124" s="231">
        <v>6000</v>
      </c>
      <c r="DV124" s="228">
        <v>0.37</v>
      </c>
      <c r="DW124" s="228">
        <v>0.34</v>
      </c>
      <c r="DX124" s="228">
        <v>0.03</v>
      </c>
      <c r="DY124" s="229">
        <v>8.8200000000000001E-2</v>
      </c>
      <c r="DZ124" s="229">
        <v>0.89629999999999999</v>
      </c>
      <c r="EA124" s="230">
        <v>471900</v>
      </c>
      <c r="EB124" s="229">
        <v>5.1999999999999998E-3</v>
      </c>
      <c r="EC124" s="229">
        <v>0.89629999999999999</v>
      </c>
      <c r="ED124" s="228">
        <v>34.630000000000003</v>
      </c>
      <c r="EE124" s="229">
        <v>5.7999999999999996E-3</v>
      </c>
      <c r="EF124" s="230">
        <v>857541</v>
      </c>
      <c r="EG124" s="230">
        <v>130775</v>
      </c>
      <c r="EH124" s="229">
        <v>5.5574000000000003</v>
      </c>
      <c r="EI124" s="229">
        <v>0.20949999999999999</v>
      </c>
      <c r="EJ124" s="231">
        <v>754255.83</v>
      </c>
      <c r="EK124" s="231">
        <v>254734.77</v>
      </c>
      <c r="EL124" s="231">
        <v>169987.12</v>
      </c>
      <c r="EM124" s="228">
        <v>0</v>
      </c>
      <c r="EN124" s="231">
        <v>1178977.72</v>
      </c>
      <c r="EO124" s="231">
        <v>408190.42</v>
      </c>
      <c r="EP124" s="231">
        <v>770787.3</v>
      </c>
      <c r="EQ124" s="229">
        <v>1.8883000000000001</v>
      </c>
      <c r="ER124" s="231">
        <v>32853</v>
      </c>
      <c r="ES124" s="231">
        <v>19976</v>
      </c>
      <c r="ET124" s="231">
        <v>42752</v>
      </c>
      <c r="EU124" s="231">
        <v>5409447</v>
      </c>
      <c r="EV124" s="231">
        <v>95581</v>
      </c>
      <c r="EW124" s="231">
        <v>102365</v>
      </c>
      <c r="EX124" s="231">
        <v>-6784</v>
      </c>
      <c r="EY124" s="229">
        <v>-6.6299999999999998E-2</v>
      </c>
      <c r="EZ124" s="229">
        <v>0.28649999999999998</v>
      </c>
      <c r="FA124" s="227" t="s">
        <v>555</v>
      </c>
      <c r="FB124" s="161">
        <f t="shared" si="1"/>
        <v>608700</v>
      </c>
    </row>
    <row r="125" spans="1:158" ht="17.25" thickBot="1" x14ac:dyDescent="0.3">
      <c r="A125" s="226">
        <v>45869</v>
      </c>
      <c r="B125" s="227" t="s">
        <v>161</v>
      </c>
      <c r="C125" s="227" t="s">
        <v>611</v>
      </c>
      <c r="D125" s="228">
        <v>175</v>
      </c>
      <c r="E125" s="231">
        <v>3866.8</v>
      </c>
      <c r="F125" s="231">
        <v>3923.6</v>
      </c>
      <c r="G125" s="228">
        <v>-56.8</v>
      </c>
      <c r="H125" s="229">
        <v>-1.4500000000000001E-2</v>
      </c>
      <c r="I125" s="231">
        <v>3844.2</v>
      </c>
      <c r="J125" s="231">
        <v>3901.4</v>
      </c>
      <c r="K125" s="228">
        <v>-57.2</v>
      </c>
      <c r="L125" s="229">
        <v>-1.47E-2</v>
      </c>
      <c r="M125" s="231">
        <v>3853.3</v>
      </c>
      <c r="N125" s="231">
        <v>3904.1</v>
      </c>
      <c r="O125" s="228">
        <v>-50.8</v>
      </c>
      <c r="P125" s="229">
        <v>-1.2999999999999999E-2</v>
      </c>
      <c r="Q125" s="231">
        <v>3866.8</v>
      </c>
      <c r="R125" s="231">
        <v>3923.6</v>
      </c>
      <c r="S125" s="228">
        <v>-56.8</v>
      </c>
      <c r="T125" s="229">
        <v>-1.4500000000000001E-2</v>
      </c>
      <c r="U125" s="231">
        <v>3884.6</v>
      </c>
      <c r="V125" s="231">
        <v>3943.6</v>
      </c>
      <c r="W125" s="228">
        <v>-59</v>
      </c>
      <c r="X125" s="229">
        <v>-1.4999999999999999E-2</v>
      </c>
      <c r="Y125" s="228">
        <v>22.6</v>
      </c>
      <c r="Z125" s="228">
        <v>2.7</v>
      </c>
      <c r="AA125" s="228">
        <v>19.899999999999999</v>
      </c>
      <c r="AB125" s="229">
        <v>5.8999999999999999E-3</v>
      </c>
      <c r="AC125" s="228">
        <v>9.1</v>
      </c>
      <c r="AD125" s="228">
        <v>2.7</v>
      </c>
      <c r="AE125" s="228">
        <v>6.4</v>
      </c>
      <c r="AF125" s="229">
        <v>2.3999999999999998E-3</v>
      </c>
      <c r="AG125" s="228">
        <v>22.6</v>
      </c>
      <c r="AH125" s="228">
        <v>22.2</v>
      </c>
      <c r="AI125" s="228">
        <v>0.4</v>
      </c>
      <c r="AJ125" s="229">
        <v>5.8999999999999999E-3</v>
      </c>
      <c r="AK125" s="228">
        <v>40.4</v>
      </c>
      <c r="AL125" s="228">
        <v>42.2</v>
      </c>
      <c r="AM125" s="228">
        <v>-1.8</v>
      </c>
      <c r="AN125" s="229">
        <v>1.0500000000000001E-2</v>
      </c>
      <c r="AO125" s="231">
        <v>3836.42</v>
      </c>
      <c r="AP125" s="231">
        <v>3849.3</v>
      </c>
      <c r="AQ125" s="228">
        <v>0</v>
      </c>
      <c r="AR125" s="230">
        <v>1041600</v>
      </c>
      <c r="AS125" s="230">
        <v>741475</v>
      </c>
      <c r="AT125" s="230">
        <v>300125</v>
      </c>
      <c r="AU125" s="229">
        <v>0.40479999999999999</v>
      </c>
      <c r="AV125" s="230">
        <v>388150</v>
      </c>
      <c r="AW125" s="230">
        <v>363125</v>
      </c>
      <c r="AX125" s="230">
        <v>25025</v>
      </c>
      <c r="AY125" s="229">
        <v>6.8900000000000003E-2</v>
      </c>
      <c r="AZ125" s="230">
        <v>644525</v>
      </c>
      <c r="BA125" s="230">
        <v>376775</v>
      </c>
      <c r="BB125" s="230">
        <v>267750</v>
      </c>
      <c r="BC125" s="229">
        <v>0.71060000000000001</v>
      </c>
      <c r="BD125" s="230">
        <v>8925</v>
      </c>
      <c r="BE125" s="230">
        <v>1575</v>
      </c>
      <c r="BF125" s="230">
        <v>7350</v>
      </c>
      <c r="BG125" s="229">
        <v>4.6666999999999996</v>
      </c>
      <c r="BH125" s="230">
        <v>1073275</v>
      </c>
      <c r="BI125" s="230">
        <v>1318275</v>
      </c>
      <c r="BJ125" s="230">
        <v>-245000</v>
      </c>
      <c r="BK125" s="229">
        <v>-0.18579999999999999</v>
      </c>
      <c r="BL125" s="230">
        <v>436625</v>
      </c>
      <c r="BM125" s="230">
        <v>443100</v>
      </c>
      <c r="BN125" s="230">
        <v>-6475</v>
      </c>
      <c r="BO125" s="229">
        <v>-1.46E-2</v>
      </c>
      <c r="BP125" s="230">
        <v>2551500</v>
      </c>
      <c r="BQ125" s="230">
        <v>2502850</v>
      </c>
      <c r="BR125" s="230">
        <v>48650</v>
      </c>
      <c r="BS125" s="229">
        <v>1.9400000000000001E-2</v>
      </c>
      <c r="BT125" s="230">
        <v>365494</v>
      </c>
      <c r="BU125" s="230">
        <v>159698</v>
      </c>
      <c r="BV125" s="230">
        <v>205796</v>
      </c>
      <c r="BW125" s="229">
        <v>1.2887</v>
      </c>
      <c r="BX125" s="230">
        <v>881825</v>
      </c>
      <c r="BY125" s="230">
        <v>1109150</v>
      </c>
      <c r="BZ125" s="230">
        <v>-227325</v>
      </c>
      <c r="CA125" s="229">
        <v>-0.20499999999999999</v>
      </c>
      <c r="CB125" s="230">
        <v>210175</v>
      </c>
      <c r="CC125" s="230">
        <v>346150</v>
      </c>
      <c r="CD125" s="230">
        <v>-135975</v>
      </c>
      <c r="CE125" s="229">
        <v>-0.39279999999999998</v>
      </c>
      <c r="CF125" s="230">
        <v>868875</v>
      </c>
      <c r="CG125" s="230">
        <v>753550</v>
      </c>
      <c r="CH125" s="230">
        <v>115325</v>
      </c>
      <c r="CI125" s="229">
        <v>0.153</v>
      </c>
      <c r="CJ125" s="230">
        <v>12950</v>
      </c>
      <c r="CK125" s="230">
        <v>9450</v>
      </c>
      <c r="CL125" s="230">
        <v>3500</v>
      </c>
      <c r="CM125" s="229">
        <v>0.37040000000000001</v>
      </c>
      <c r="CN125" s="230">
        <v>189525</v>
      </c>
      <c r="CO125" s="230">
        <v>749875</v>
      </c>
      <c r="CP125" s="230">
        <v>-560350</v>
      </c>
      <c r="CQ125" s="229">
        <v>-0.74729999999999996</v>
      </c>
      <c r="CR125" s="230">
        <v>111125</v>
      </c>
      <c r="CS125" s="230">
        <v>421225</v>
      </c>
      <c r="CT125" s="230">
        <v>-310100</v>
      </c>
      <c r="CU125" s="229">
        <v>-0.73619999999999997</v>
      </c>
      <c r="CV125" s="230">
        <v>1182475</v>
      </c>
      <c r="CW125" s="230">
        <v>2280250</v>
      </c>
      <c r="CX125" s="230">
        <v>-1097775</v>
      </c>
      <c r="CY125" s="229">
        <v>-0.48139999999999999</v>
      </c>
      <c r="CZ125" s="228">
        <v>30.24</v>
      </c>
      <c r="DA125" s="228">
        <v>31.88</v>
      </c>
      <c r="DB125" s="228">
        <v>-1.64</v>
      </c>
      <c r="DC125" s="228">
        <v>-1.64</v>
      </c>
      <c r="DD125" s="228">
        <v>53.09</v>
      </c>
      <c r="DE125" s="228">
        <v>53.19</v>
      </c>
      <c r="DF125" s="228">
        <v>-22.85</v>
      </c>
      <c r="DG125" s="228">
        <v>-0.1</v>
      </c>
      <c r="DH125" s="228">
        <v>30.42</v>
      </c>
      <c r="DI125" s="228">
        <v>32.08</v>
      </c>
      <c r="DJ125" s="228">
        <v>-1.66</v>
      </c>
      <c r="DK125" s="228">
        <v>-1.66</v>
      </c>
      <c r="DL125" s="228">
        <v>29.95</v>
      </c>
      <c r="DM125" s="228">
        <v>31.66</v>
      </c>
      <c r="DN125" s="228">
        <v>-1.71</v>
      </c>
      <c r="DO125" s="228">
        <v>-1.71</v>
      </c>
      <c r="DP125" s="228">
        <v>0.59</v>
      </c>
      <c r="DQ125" s="228">
        <v>0.56000000000000005</v>
      </c>
      <c r="DR125" s="228">
        <v>0.03</v>
      </c>
      <c r="DS125" s="229">
        <v>5.3600000000000002E-2</v>
      </c>
      <c r="DT125" s="231">
        <v>4000</v>
      </c>
      <c r="DU125" s="231">
        <v>3800</v>
      </c>
      <c r="DV125" s="228">
        <v>0.41</v>
      </c>
      <c r="DW125" s="228">
        <v>0.34</v>
      </c>
      <c r="DX125" s="228">
        <v>7.0000000000000007E-2</v>
      </c>
      <c r="DY125" s="229">
        <v>0.2059</v>
      </c>
      <c r="DZ125" s="229">
        <v>0.8075</v>
      </c>
      <c r="EA125" s="230">
        <v>763000</v>
      </c>
      <c r="EB125" s="229">
        <v>3.5000000000000001E-3</v>
      </c>
      <c r="EC125" s="229">
        <v>0.8075</v>
      </c>
      <c r="ED125" s="228">
        <v>12.88</v>
      </c>
      <c r="EE125" s="229">
        <v>3.3999999999999998E-3</v>
      </c>
      <c r="EF125" s="230">
        <v>157299</v>
      </c>
      <c r="EG125" s="230">
        <v>62986</v>
      </c>
      <c r="EH125" s="229">
        <v>1.4974000000000001</v>
      </c>
      <c r="EI125" s="229">
        <v>0.4304</v>
      </c>
      <c r="EJ125" s="231">
        <v>42962.38</v>
      </c>
      <c r="EK125" s="231">
        <v>16920.8</v>
      </c>
      <c r="EL125" s="231">
        <v>40045.24</v>
      </c>
      <c r="EM125" s="228">
        <v>0</v>
      </c>
      <c r="EN125" s="231">
        <v>99928.42</v>
      </c>
      <c r="EO125" s="231">
        <v>99710.46</v>
      </c>
      <c r="EP125" s="228">
        <v>217.96</v>
      </c>
      <c r="EQ125" s="229">
        <v>2.2000000000000001E-3</v>
      </c>
      <c r="ER125" s="231">
        <v>7728</v>
      </c>
      <c r="ES125" s="231">
        <v>4293</v>
      </c>
      <c r="ET125" s="231">
        <v>34101</v>
      </c>
      <c r="EU125" s="231">
        <v>12418320</v>
      </c>
      <c r="EV125" s="231">
        <v>46121</v>
      </c>
      <c r="EW125" s="231">
        <v>89817</v>
      </c>
      <c r="EX125" s="231">
        <v>-43696</v>
      </c>
      <c r="EY125" s="229">
        <v>-0.48649999999999999</v>
      </c>
      <c r="EZ125" s="229">
        <v>9.5200000000000007E-2</v>
      </c>
      <c r="FA125" s="227" t="s">
        <v>568</v>
      </c>
      <c r="FB125" s="161">
        <f t="shared" si="1"/>
        <v>671650</v>
      </c>
    </row>
    <row r="126" spans="1:158" ht="17.25" thickBot="1" x14ac:dyDescent="0.3">
      <c r="A126" s="226">
        <v>45869</v>
      </c>
      <c r="B126" s="227" t="s">
        <v>175</v>
      </c>
      <c r="C126" s="227" t="s">
        <v>685</v>
      </c>
      <c r="D126" s="228">
        <v>450</v>
      </c>
      <c r="E126" s="231">
        <v>1081.4000000000001</v>
      </c>
      <c r="F126" s="231">
        <v>1109.0999999999999</v>
      </c>
      <c r="G126" s="228">
        <v>-27.7</v>
      </c>
      <c r="H126" s="229">
        <v>-2.5000000000000001E-2</v>
      </c>
      <c r="I126" s="231">
        <v>1082.9000000000001</v>
      </c>
      <c r="J126" s="231">
        <v>1109.2</v>
      </c>
      <c r="K126" s="228">
        <v>-26.3</v>
      </c>
      <c r="L126" s="229">
        <v>-2.3699999999999999E-2</v>
      </c>
      <c r="M126" s="231">
        <v>1084.3</v>
      </c>
      <c r="N126" s="231">
        <v>1110.7</v>
      </c>
      <c r="O126" s="228">
        <v>-26.4</v>
      </c>
      <c r="P126" s="229">
        <v>-2.3800000000000002E-2</v>
      </c>
      <c r="Q126" s="231">
        <v>1081.4000000000001</v>
      </c>
      <c r="R126" s="231">
        <v>1109.0999999999999</v>
      </c>
      <c r="S126" s="228">
        <v>-27.7</v>
      </c>
      <c r="T126" s="229">
        <v>-2.5000000000000001E-2</v>
      </c>
      <c r="U126" s="231">
        <v>1089.0999999999999</v>
      </c>
      <c r="V126" s="231">
        <v>1114.5</v>
      </c>
      <c r="W126" s="228">
        <v>-25.4</v>
      </c>
      <c r="X126" s="229">
        <v>-2.2800000000000001E-2</v>
      </c>
      <c r="Y126" s="228">
        <v>-1.5</v>
      </c>
      <c r="Z126" s="228">
        <v>1.5</v>
      </c>
      <c r="AA126" s="228">
        <v>-3</v>
      </c>
      <c r="AB126" s="229">
        <v>-1.4E-3</v>
      </c>
      <c r="AC126" s="228">
        <v>1.4</v>
      </c>
      <c r="AD126" s="228">
        <v>1.5</v>
      </c>
      <c r="AE126" s="228">
        <v>-0.1</v>
      </c>
      <c r="AF126" s="229">
        <v>1.2999999999999999E-3</v>
      </c>
      <c r="AG126" s="228">
        <v>-1.5</v>
      </c>
      <c r="AH126" s="228">
        <v>-0.1</v>
      </c>
      <c r="AI126" s="228">
        <v>-1.4</v>
      </c>
      <c r="AJ126" s="229">
        <v>-1.4E-3</v>
      </c>
      <c r="AK126" s="228">
        <v>6.2</v>
      </c>
      <c r="AL126" s="228">
        <v>5.3</v>
      </c>
      <c r="AM126" s="228">
        <v>0.9</v>
      </c>
      <c r="AN126" s="229">
        <v>5.7000000000000002E-3</v>
      </c>
      <c r="AO126" s="231">
        <v>1091.74</v>
      </c>
      <c r="AP126" s="231">
        <v>1089.58</v>
      </c>
      <c r="AQ126" s="228">
        <v>0</v>
      </c>
      <c r="AR126" s="230">
        <v>1699200</v>
      </c>
      <c r="AS126" s="230">
        <v>1518300</v>
      </c>
      <c r="AT126" s="230">
        <v>180900</v>
      </c>
      <c r="AU126" s="229">
        <v>0.1191</v>
      </c>
      <c r="AV126" s="230">
        <v>595800</v>
      </c>
      <c r="AW126" s="230">
        <v>509850</v>
      </c>
      <c r="AX126" s="230">
        <v>85950</v>
      </c>
      <c r="AY126" s="229">
        <v>0.1686</v>
      </c>
      <c r="AZ126" s="230">
        <v>1081350</v>
      </c>
      <c r="BA126" s="230">
        <v>992700</v>
      </c>
      <c r="BB126" s="230">
        <v>88650</v>
      </c>
      <c r="BC126" s="229">
        <v>8.9300000000000004E-2</v>
      </c>
      <c r="BD126" s="230">
        <v>22050</v>
      </c>
      <c r="BE126" s="230">
        <v>15750</v>
      </c>
      <c r="BF126" s="230">
        <v>6300</v>
      </c>
      <c r="BG126" s="229">
        <v>0.4</v>
      </c>
      <c r="BH126" s="230">
        <v>874350</v>
      </c>
      <c r="BI126" s="230">
        <v>1561050</v>
      </c>
      <c r="BJ126" s="230">
        <v>-686700</v>
      </c>
      <c r="BK126" s="229">
        <v>-0.43990000000000001</v>
      </c>
      <c r="BL126" s="230">
        <v>816300</v>
      </c>
      <c r="BM126" s="230">
        <v>655200</v>
      </c>
      <c r="BN126" s="230">
        <v>161100</v>
      </c>
      <c r="BO126" s="229">
        <v>0.24590000000000001</v>
      </c>
      <c r="BP126" s="230">
        <v>3389850</v>
      </c>
      <c r="BQ126" s="230">
        <v>3734550</v>
      </c>
      <c r="BR126" s="230">
        <v>-344700</v>
      </c>
      <c r="BS126" s="229">
        <v>-9.2299999999999993E-2</v>
      </c>
      <c r="BT126" s="230">
        <v>1397644</v>
      </c>
      <c r="BU126" s="230">
        <v>1341873</v>
      </c>
      <c r="BV126" s="230">
        <v>55771</v>
      </c>
      <c r="BW126" s="229">
        <v>4.1599999999999998E-2</v>
      </c>
      <c r="BX126" s="230">
        <v>2276100</v>
      </c>
      <c r="BY126" s="230">
        <v>2260350</v>
      </c>
      <c r="BZ126" s="230">
        <v>15750</v>
      </c>
      <c r="CA126" s="229">
        <v>7.0000000000000001E-3</v>
      </c>
      <c r="CB126" s="230">
        <v>88650</v>
      </c>
      <c r="CC126" s="230">
        <v>283050</v>
      </c>
      <c r="CD126" s="230">
        <v>-194400</v>
      </c>
      <c r="CE126" s="229">
        <v>-0.68679999999999997</v>
      </c>
      <c r="CF126" s="230">
        <v>2223000</v>
      </c>
      <c r="CG126" s="230">
        <v>1940850</v>
      </c>
      <c r="CH126" s="230">
        <v>282150</v>
      </c>
      <c r="CI126" s="229">
        <v>0.1454</v>
      </c>
      <c r="CJ126" s="230">
        <v>53100</v>
      </c>
      <c r="CK126" s="230">
        <v>36450</v>
      </c>
      <c r="CL126" s="230">
        <v>16650</v>
      </c>
      <c r="CM126" s="229">
        <v>0.45679999999999998</v>
      </c>
      <c r="CN126" s="230">
        <v>397800</v>
      </c>
      <c r="CO126" s="230">
        <v>1278450</v>
      </c>
      <c r="CP126" s="230">
        <v>-880650</v>
      </c>
      <c r="CQ126" s="229">
        <v>-0.68879999999999997</v>
      </c>
      <c r="CR126" s="230">
        <v>288450</v>
      </c>
      <c r="CS126" s="230">
        <v>608400</v>
      </c>
      <c r="CT126" s="230">
        <v>-319950</v>
      </c>
      <c r="CU126" s="229">
        <v>-0.52590000000000003</v>
      </c>
      <c r="CV126" s="230">
        <v>2962350</v>
      </c>
      <c r="CW126" s="230">
        <v>4147200</v>
      </c>
      <c r="CX126" s="230">
        <v>-1184850</v>
      </c>
      <c r="CY126" s="229">
        <v>-0.28570000000000001</v>
      </c>
      <c r="CZ126" s="228">
        <v>40.32</v>
      </c>
      <c r="DA126" s="228">
        <v>37.549999999999997</v>
      </c>
      <c r="DB126" s="228">
        <v>2.77</v>
      </c>
      <c r="DC126" s="228">
        <v>2.77</v>
      </c>
      <c r="DD126" s="228">
        <v>60.3</v>
      </c>
      <c r="DE126" s="228">
        <v>60.36</v>
      </c>
      <c r="DF126" s="228">
        <v>-19.98</v>
      </c>
      <c r="DG126" s="228">
        <v>-0.06</v>
      </c>
      <c r="DH126" s="228">
        <v>39.9</v>
      </c>
      <c r="DI126" s="228">
        <v>38.1</v>
      </c>
      <c r="DJ126" s="228">
        <v>1.8</v>
      </c>
      <c r="DK126" s="228">
        <v>1.8</v>
      </c>
      <c r="DL126" s="228">
        <v>40.78</v>
      </c>
      <c r="DM126" s="228">
        <v>36.979999999999997</v>
      </c>
      <c r="DN126" s="228">
        <v>3.8</v>
      </c>
      <c r="DO126" s="228">
        <v>3.8</v>
      </c>
      <c r="DP126" s="228">
        <v>0.73</v>
      </c>
      <c r="DQ126" s="228">
        <v>0.48</v>
      </c>
      <c r="DR126" s="228">
        <v>0.25</v>
      </c>
      <c r="DS126" s="229">
        <v>0.52080000000000004</v>
      </c>
      <c r="DT126" s="231">
        <v>1300</v>
      </c>
      <c r="DU126" s="231">
        <v>1100</v>
      </c>
      <c r="DV126" s="228">
        <v>0.93</v>
      </c>
      <c r="DW126" s="228">
        <v>0.42</v>
      </c>
      <c r="DX126" s="228">
        <v>0.51</v>
      </c>
      <c r="DY126" s="229">
        <v>1.2142999999999999</v>
      </c>
      <c r="DZ126" s="229">
        <v>0.96250000000000002</v>
      </c>
      <c r="EA126" s="230">
        <v>1977300</v>
      </c>
      <c r="EB126" s="229">
        <v>-2.7000000000000001E-3</v>
      </c>
      <c r="EC126" s="229">
        <v>0.96250000000000002</v>
      </c>
      <c r="ED126" s="228">
        <v>-2.16</v>
      </c>
      <c r="EE126" s="229">
        <v>-2E-3</v>
      </c>
      <c r="EF126" s="230">
        <v>665394</v>
      </c>
      <c r="EG126" s="230">
        <v>781039</v>
      </c>
      <c r="EH126" s="229">
        <v>-0.14810000000000001</v>
      </c>
      <c r="EI126" s="229">
        <v>0.47610000000000002</v>
      </c>
      <c r="EJ126" s="231">
        <v>10605.17</v>
      </c>
      <c r="EK126" s="231">
        <v>8922.73</v>
      </c>
      <c r="EL126" s="231">
        <v>18528.32</v>
      </c>
      <c r="EM126" s="228">
        <v>0</v>
      </c>
      <c r="EN126" s="231">
        <v>38056.22</v>
      </c>
      <c r="EO126" s="231">
        <v>43123.21</v>
      </c>
      <c r="EP126" s="231">
        <v>-5066.99</v>
      </c>
      <c r="EQ126" s="229">
        <v>-0.11749999999999999</v>
      </c>
      <c r="ER126" s="231">
        <v>4798</v>
      </c>
      <c r="ES126" s="231">
        <v>3160</v>
      </c>
      <c r="ET126" s="231">
        <v>24618</v>
      </c>
      <c r="EU126" s="231">
        <v>23088182</v>
      </c>
      <c r="EV126" s="231">
        <v>32576</v>
      </c>
      <c r="EW126" s="231">
        <v>48404</v>
      </c>
      <c r="EX126" s="231">
        <v>-15828</v>
      </c>
      <c r="EY126" s="229">
        <v>-0.32700000000000001</v>
      </c>
      <c r="EZ126" s="229">
        <v>0.1283</v>
      </c>
      <c r="FA126" s="227" t="s">
        <v>567</v>
      </c>
      <c r="FB126" s="161">
        <f t="shared" si="1"/>
        <v>2187450</v>
      </c>
    </row>
    <row r="127" spans="1:158" ht="17.25" thickBot="1" x14ac:dyDescent="0.3">
      <c r="A127" s="226">
        <v>45869</v>
      </c>
      <c r="B127" s="227" t="s">
        <v>172</v>
      </c>
      <c r="C127" s="227" t="s">
        <v>246</v>
      </c>
      <c r="D127" s="228">
        <v>400</v>
      </c>
      <c r="E127" s="231">
        <v>1990.3</v>
      </c>
      <c r="F127" s="231">
        <v>1971.5</v>
      </c>
      <c r="G127" s="228">
        <v>18.8</v>
      </c>
      <c r="H127" s="229">
        <v>9.4999999999999998E-3</v>
      </c>
      <c r="I127" s="231">
        <v>1978.6</v>
      </c>
      <c r="J127" s="231">
        <v>1959.7</v>
      </c>
      <c r="K127" s="228">
        <v>18.899999999999999</v>
      </c>
      <c r="L127" s="229">
        <v>9.5999999999999992E-3</v>
      </c>
      <c r="M127" s="231">
        <v>1978.6</v>
      </c>
      <c r="N127" s="231">
        <v>1960.7</v>
      </c>
      <c r="O127" s="228">
        <v>17.899999999999999</v>
      </c>
      <c r="P127" s="229">
        <v>9.1000000000000004E-3</v>
      </c>
      <c r="Q127" s="231">
        <v>1990.3</v>
      </c>
      <c r="R127" s="231">
        <v>1971.5</v>
      </c>
      <c r="S127" s="228">
        <v>18.8</v>
      </c>
      <c r="T127" s="229">
        <v>9.4999999999999998E-3</v>
      </c>
      <c r="U127" s="231">
        <v>2001.6</v>
      </c>
      <c r="V127" s="231">
        <v>1983.8</v>
      </c>
      <c r="W127" s="228">
        <v>17.8</v>
      </c>
      <c r="X127" s="229">
        <v>8.9999999999999993E-3</v>
      </c>
      <c r="Y127" s="228">
        <v>11.7</v>
      </c>
      <c r="Z127" s="228">
        <v>1</v>
      </c>
      <c r="AA127" s="228">
        <v>10.7</v>
      </c>
      <c r="AB127" s="229">
        <v>5.8999999999999999E-3</v>
      </c>
      <c r="AC127" s="228">
        <v>0</v>
      </c>
      <c r="AD127" s="228">
        <v>1</v>
      </c>
      <c r="AE127" s="228">
        <v>-1</v>
      </c>
      <c r="AF127" s="229">
        <v>0</v>
      </c>
      <c r="AG127" s="228">
        <v>11.7</v>
      </c>
      <c r="AH127" s="228">
        <v>11.8</v>
      </c>
      <c r="AI127" s="228">
        <v>-0.1</v>
      </c>
      <c r="AJ127" s="229">
        <v>5.8999999999999999E-3</v>
      </c>
      <c r="AK127" s="228">
        <v>23</v>
      </c>
      <c r="AL127" s="228">
        <v>24.1</v>
      </c>
      <c r="AM127" s="228">
        <v>-1.1000000000000001</v>
      </c>
      <c r="AN127" s="229">
        <v>1.1599999999999999E-2</v>
      </c>
      <c r="AO127" s="231">
        <v>1961.58</v>
      </c>
      <c r="AP127" s="231">
        <v>1977.17</v>
      </c>
      <c r="AQ127" s="228">
        <v>0</v>
      </c>
      <c r="AR127" s="230">
        <v>19550800</v>
      </c>
      <c r="AS127" s="230">
        <v>16038400</v>
      </c>
      <c r="AT127" s="230">
        <v>3512400</v>
      </c>
      <c r="AU127" s="229">
        <v>0.219</v>
      </c>
      <c r="AV127" s="230">
        <v>7316400</v>
      </c>
      <c r="AW127" s="230">
        <v>7274800</v>
      </c>
      <c r="AX127" s="230">
        <v>41600</v>
      </c>
      <c r="AY127" s="229">
        <v>5.7000000000000002E-3</v>
      </c>
      <c r="AZ127" s="230">
        <v>12004000</v>
      </c>
      <c r="BA127" s="230">
        <v>8617600</v>
      </c>
      <c r="BB127" s="230">
        <v>3386400</v>
      </c>
      <c r="BC127" s="229">
        <v>0.39300000000000002</v>
      </c>
      <c r="BD127" s="230">
        <v>230400</v>
      </c>
      <c r="BE127" s="230">
        <v>146000</v>
      </c>
      <c r="BF127" s="230">
        <v>84400</v>
      </c>
      <c r="BG127" s="229">
        <v>0.57809999999999995</v>
      </c>
      <c r="BH127" s="230">
        <v>28938000</v>
      </c>
      <c r="BI127" s="230">
        <v>20174000</v>
      </c>
      <c r="BJ127" s="230">
        <v>8764000</v>
      </c>
      <c r="BK127" s="229">
        <v>0.43440000000000001</v>
      </c>
      <c r="BL127" s="230">
        <v>16180800</v>
      </c>
      <c r="BM127" s="230">
        <v>9638400</v>
      </c>
      <c r="BN127" s="230">
        <v>6542400</v>
      </c>
      <c r="BO127" s="229">
        <v>0.67879999999999996</v>
      </c>
      <c r="BP127" s="230">
        <v>64669600</v>
      </c>
      <c r="BQ127" s="230">
        <v>45850800</v>
      </c>
      <c r="BR127" s="230">
        <v>18818800</v>
      </c>
      <c r="BS127" s="229">
        <v>0.41039999999999999</v>
      </c>
      <c r="BT127" s="230">
        <v>4406038</v>
      </c>
      <c r="BU127" s="230">
        <v>3642855</v>
      </c>
      <c r="BV127" s="230">
        <v>763183</v>
      </c>
      <c r="BW127" s="229">
        <v>0.20949999999999999</v>
      </c>
      <c r="BX127" s="230">
        <v>32031200</v>
      </c>
      <c r="BY127" s="230">
        <v>34045600</v>
      </c>
      <c r="BZ127" s="230">
        <v>-2014400</v>
      </c>
      <c r="CA127" s="229">
        <v>-5.9200000000000003E-2</v>
      </c>
      <c r="CB127" s="230">
        <v>3567600</v>
      </c>
      <c r="CC127" s="230">
        <v>6791600</v>
      </c>
      <c r="CD127" s="230">
        <v>-3224000</v>
      </c>
      <c r="CE127" s="229">
        <v>-0.47470000000000001</v>
      </c>
      <c r="CF127" s="230">
        <v>31554400</v>
      </c>
      <c r="CG127" s="230">
        <v>26799200</v>
      </c>
      <c r="CH127" s="230">
        <v>4755200</v>
      </c>
      <c r="CI127" s="229">
        <v>0.1774</v>
      </c>
      <c r="CJ127" s="230">
        <v>476800</v>
      </c>
      <c r="CK127" s="230">
        <v>454800</v>
      </c>
      <c r="CL127" s="230">
        <v>22000</v>
      </c>
      <c r="CM127" s="229">
        <v>4.8399999999999999E-2</v>
      </c>
      <c r="CN127" s="230">
        <v>6469600</v>
      </c>
      <c r="CO127" s="230">
        <v>15140000</v>
      </c>
      <c r="CP127" s="230">
        <v>-8670400</v>
      </c>
      <c r="CQ127" s="229">
        <v>-0.57269999999999999</v>
      </c>
      <c r="CR127" s="230">
        <v>4389600</v>
      </c>
      <c r="CS127" s="230">
        <v>8811600</v>
      </c>
      <c r="CT127" s="230">
        <v>-4422000</v>
      </c>
      <c r="CU127" s="229">
        <v>-0.50180000000000002</v>
      </c>
      <c r="CV127" s="230">
        <v>42890400</v>
      </c>
      <c r="CW127" s="230">
        <v>57997200</v>
      </c>
      <c r="CX127" s="230">
        <v>-15106800</v>
      </c>
      <c r="CY127" s="229">
        <v>-0.26050000000000001</v>
      </c>
      <c r="CZ127" s="228">
        <v>19.22</v>
      </c>
      <c r="DA127" s="228">
        <v>20.62</v>
      </c>
      <c r="DB127" s="228">
        <v>-1.4</v>
      </c>
      <c r="DC127" s="228">
        <v>-1.4</v>
      </c>
      <c r="DD127" s="228">
        <v>29.15</v>
      </c>
      <c r="DE127" s="228">
        <v>29.2</v>
      </c>
      <c r="DF127" s="228">
        <v>-9.93</v>
      </c>
      <c r="DG127" s="228">
        <v>-0.05</v>
      </c>
      <c r="DH127" s="228">
        <v>19.170000000000002</v>
      </c>
      <c r="DI127" s="228">
        <v>20.82</v>
      </c>
      <c r="DJ127" s="228">
        <v>-1.65</v>
      </c>
      <c r="DK127" s="228">
        <v>-1.65</v>
      </c>
      <c r="DL127" s="228">
        <v>19.309999999999999</v>
      </c>
      <c r="DM127" s="228">
        <v>20.16</v>
      </c>
      <c r="DN127" s="228">
        <v>-0.85</v>
      </c>
      <c r="DO127" s="228">
        <v>-0.85</v>
      </c>
      <c r="DP127" s="228">
        <v>0.68</v>
      </c>
      <c r="DQ127" s="228">
        <v>0.57999999999999996</v>
      </c>
      <c r="DR127" s="228">
        <v>0.1</v>
      </c>
      <c r="DS127" s="229">
        <v>0.1724</v>
      </c>
      <c r="DT127" s="231">
        <v>2000</v>
      </c>
      <c r="DU127" s="231">
        <v>2000</v>
      </c>
      <c r="DV127" s="228">
        <v>0.56000000000000005</v>
      </c>
      <c r="DW127" s="228">
        <v>0.48</v>
      </c>
      <c r="DX127" s="228">
        <v>0.08</v>
      </c>
      <c r="DY127" s="229">
        <v>0.16669999999999999</v>
      </c>
      <c r="DZ127" s="229">
        <v>0.89980000000000004</v>
      </c>
      <c r="EA127" s="230">
        <v>27254000</v>
      </c>
      <c r="EB127" s="229">
        <v>5.8999999999999999E-3</v>
      </c>
      <c r="EC127" s="229">
        <v>0.89980000000000004</v>
      </c>
      <c r="ED127" s="228">
        <v>15.59</v>
      </c>
      <c r="EE127" s="229">
        <v>7.9000000000000008E-3</v>
      </c>
      <c r="EF127" s="230">
        <v>2545630</v>
      </c>
      <c r="EG127" s="230">
        <v>2664220</v>
      </c>
      <c r="EH127" s="229">
        <v>-4.4499999999999998E-2</v>
      </c>
      <c r="EI127" s="229">
        <v>0.57779999999999998</v>
      </c>
      <c r="EJ127" s="231">
        <v>593502.71</v>
      </c>
      <c r="EK127" s="231">
        <v>321376.76</v>
      </c>
      <c r="EL127" s="231">
        <v>385435.22</v>
      </c>
      <c r="EM127" s="228">
        <v>0</v>
      </c>
      <c r="EN127" s="231">
        <v>1300314.69</v>
      </c>
      <c r="EO127" s="231">
        <v>918894.22</v>
      </c>
      <c r="EP127" s="231">
        <v>381420.47</v>
      </c>
      <c r="EQ127" s="229">
        <v>0.41510000000000002</v>
      </c>
      <c r="ER127" s="231">
        <v>136049</v>
      </c>
      <c r="ES127" s="231">
        <v>86083</v>
      </c>
      <c r="ET127" s="231">
        <v>637571</v>
      </c>
      <c r="EU127" s="231">
        <v>294716519</v>
      </c>
      <c r="EV127" s="231">
        <v>859703</v>
      </c>
      <c r="EW127" s="231">
        <v>1171293</v>
      </c>
      <c r="EX127" s="231">
        <v>-311590</v>
      </c>
      <c r="EY127" s="229">
        <v>-0.26600000000000001</v>
      </c>
      <c r="EZ127" s="229">
        <v>0.14549999999999999</v>
      </c>
      <c r="FA127" s="227" t="s">
        <v>556</v>
      </c>
      <c r="FB127" s="161">
        <f t="shared" si="1"/>
        <v>28463600</v>
      </c>
    </row>
    <row r="128" spans="1:158" ht="17.25" thickBot="1" x14ac:dyDescent="0.3">
      <c r="A128" s="226">
        <v>45869</v>
      </c>
      <c r="B128" s="227" t="s">
        <v>221</v>
      </c>
      <c r="C128" s="227" t="s">
        <v>578</v>
      </c>
      <c r="D128" s="228">
        <v>400</v>
      </c>
      <c r="E128" s="231">
        <v>1228.9000000000001</v>
      </c>
      <c r="F128" s="231">
        <v>1255.4000000000001</v>
      </c>
      <c r="G128" s="228">
        <v>-26.5</v>
      </c>
      <c r="H128" s="229">
        <v>-2.1100000000000001E-2</v>
      </c>
      <c r="I128" s="231">
        <v>1226.4000000000001</v>
      </c>
      <c r="J128" s="231">
        <v>1268.5</v>
      </c>
      <c r="K128" s="228">
        <v>-42.1</v>
      </c>
      <c r="L128" s="229">
        <v>-3.32E-2</v>
      </c>
      <c r="M128" s="231">
        <v>1226</v>
      </c>
      <c r="N128" s="231">
        <v>1264.4000000000001</v>
      </c>
      <c r="O128" s="228">
        <v>-38.4</v>
      </c>
      <c r="P128" s="229">
        <v>-3.04E-2</v>
      </c>
      <c r="Q128" s="231">
        <v>1228.9000000000001</v>
      </c>
      <c r="R128" s="231">
        <v>1255.4000000000001</v>
      </c>
      <c r="S128" s="228">
        <v>-26.5</v>
      </c>
      <c r="T128" s="229">
        <v>-2.1100000000000001E-2</v>
      </c>
      <c r="U128" s="231">
        <v>1229</v>
      </c>
      <c r="V128" s="231">
        <v>1258.5</v>
      </c>
      <c r="W128" s="228">
        <v>-29.5</v>
      </c>
      <c r="X128" s="229">
        <v>-2.3400000000000001E-2</v>
      </c>
      <c r="Y128" s="228">
        <v>2.5</v>
      </c>
      <c r="Z128" s="228">
        <v>-4.0999999999999996</v>
      </c>
      <c r="AA128" s="228">
        <v>6.6</v>
      </c>
      <c r="AB128" s="229">
        <v>2E-3</v>
      </c>
      <c r="AC128" s="228">
        <v>-0.4</v>
      </c>
      <c r="AD128" s="228">
        <v>-4.0999999999999996</v>
      </c>
      <c r="AE128" s="228">
        <v>3.7</v>
      </c>
      <c r="AF128" s="229">
        <v>-2.9999999999999997E-4</v>
      </c>
      <c r="AG128" s="228">
        <v>2.5</v>
      </c>
      <c r="AH128" s="228">
        <v>-13.1</v>
      </c>
      <c r="AI128" s="228">
        <v>15.6</v>
      </c>
      <c r="AJ128" s="229">
        <v>2E-3</v>
      </c>
      <c r="AK128" s="228">
        <v>2.6</v>
      </c>
      <c r="AL128" s="228">
        <v>-10</v>
      </c>
      <c r="AM128" s="228">
        <v>12.6</v>
      </c>
      <c r="AN128" s="229">
        <v>2.0999999999999999E-3</v>
      </c>
      <c r="AO128" s="231">
        <v>1241.82</v>
      </c>
      <c r="AP128" s="231">
        <v>1235.3</v>
      </c>
      <c r="AQ128" s="228">
        <v>0</v>
      </c>
      <c r="AR128" s="230">
        <v>6126400</v>
      </c>
      <c r="AS128" s="230">
        <v>9740800</v>
      </c>
      <c r="AT128" s="230">
        <v>-3614400</v>
      </c>
      <c r="AU128" s="229">
        <v>-0.37109999999999999</v>
      </c>
      <c r="AV128" s="230">
        <v>2829600</v>
      </c>
      <c r="AW128" s="230">
        <v>4616400</v>
      </c>
      <c r="AX128" s="230">
        <v>-1786800</v>
      </c>
      <c r="AY128" s="229">
        <v>-0.3871</v>
      </c>
      <c r="AZ128" s="230">
        <v>3199600</v>
      </c>
      <c r="BA128" s="230">
        <v>4961200</v>
      </c>
      <c r="BB128" s="230">
        <v>-1761600</v>
      </c>
      <c r="BC128" s="229">
        <v>-0.35510000000000003</v>
      </c>
      <c r="BD128" s="230">
        <v>97200</v>
      </c>
      <c r="BE128" s="230">
        <v>163200</v>
      </c>
      <c r="BF128" s="230">
        <v>-66000</v>
      </c>
      <c r="BG128" s="229">
        <v>-0.40439999999999998</v>
      </c>
      <c r="BH128" s="230">
        <v>8636000</v>
      </c>
      <c r="BI128" s="230">
        <v>31739200</v>
      </c>
      <c r="BJ128" s="230">
        <v>-23103200</v>
      </c>
      <c r="BK128" s="229">
        <v>-0.72789999999999999</v>
      </c>
      <c r="BL128" s="230">
        <v>6293200</v>
      </c>
      <c r="BM128" s="230">
        <v>20035600</v>
      </c>
      <c r="BN128" s="230">
        <v>-13742400</v>
      </c>
      <c r="BO128" s="229">
        <v>-0.68589999999999995</v>
      </c>
      <c r="BP128" s="230">
        <v>21055600</v>
      </c>
      <c r="BQ128" s="230">
        <v>61515600</v>
      </c>
      <c r="BR128" s="230">
        <v>-40460000</v>
      </c>
      <c r="BS128" s="229">
        <v>-0.65769999999999995</v>
      </c>
      <c r="BT128" s="230">
        <v>2102056</v>
      </c>
      <c r="BU128" s="230">
        <v>4299060</v>
      </c>
      <c r="BV128" s="230">
        <v>-2197004</v>
      </c>
      <c r="BW128" s="229">
        <v>-0.51100000000000001</v>
      </c>
      <c r="BX128" s="230">
        <v>4455600</v>
      </c>
      <c r="BY128" s="230">
        <v>5555200</v>
      </c>
      <c r="BZ128" s="230">
        <v>-1099600</v>
      </c>
      <c r="CA128" s="229">
        <v>-0.19789999999999999</v>
      </c>
      <c r="CB128" s="230">
        <v>477200</v>
      </c>
      <c r="CC128" s="230">
        <v>1351200</v>
      </c>
      <c r="CD128" s="230">
        <v>-874000</v>
      </c>
      <c r="CE128" s="229">
        <v>-0.64680000000000004</v>
      </c>
      <c r="CF128" s="230">
        <v>4308400</v>
      </c>
      <c r="CG128" s="230">
        <v>4084800</v>
      </c>
      <c r="CH128" s="230">
        <v>223600</v>
      </c>
      <c r="CI128" s="229">
        <v>5.4699999999999999E-2</v>
      </c>
      <c r="CJ128" s="230">
        <v>147200</v>
      </c>
      <c r="CK128" s="230">
        <v>119200</v>
      </c>
      <c r="CL128" s="230">
        <v>28000</v>
      </c>
      <c r="CM128" s="229">
        <v>0.2349</v>
      </c>
      <c r="CN128" s="230">
        <v>1542800</v>
      </c>
      <c r="CO128" s="230">
        <v>4486000</v>
      </c>
      <c r="CP128" s="230">
        <v>-2943200</v>
      </c>
      <c r="CQ128" s="229">
        <v>-0.65610000000000002</v>
      </c>
      <c r="CR128" s="230">
        <v>2022000</v>
      </c>
      <c r="CS128" s="230">
        <v>4953600</v>
      </c>
      <c r="CT128" s="230">
        <v>-2931600</v>
      </c>
      <c r="CU128" s="229">
        <v>-0.59179999999999999</v>
      </c>
      <c r="CV128" s="230">
        <v>8020400</v>
      </c>
      <c r="CW128" s="230">
        <v>14994800</v>
      </c>
      <c r="CX128" s="230">
        <v>-6974400</v>
      </c>
      <c r="CY128" s="229">
        <v>-0.46510000000000001</v>
      </c>
      <c r="CZ128" s="228">
        <v>31.44</v>
      </c>
      <c r="DA128" s="228">
        <v>35.43</v>
      </c>
      <c r="DB128" s="228">
        <v>-3.99</v>
      </c>
      <c r="DC128" s="228">
        <v>-3.99</v>
      </c>
      <c r="DD128" s="228">
        <v>46.51</v>
      </c>
      <c r="DE128" s="228">
        <v>46.4</v>
      </c>
      <c r="DF128" s="228">
        <v>-15.07</v>
      </c>
      <c r="DG128" s="228">
        <v>0.11</v>
      </c>
      <c r="DH128" s="228">
        <v>31.82</v>
      </c>
      <c r="DI128" s="228">
        <v>35.64</v>
      </c>
      <c r="DJ128" s="228">
        <v>-3.82</v>
      </c>
      <c r="DK128" s="228">
        <v>-3.82</v>
      </c>
      <c r="DL128" s="228">
        <v>30.84</v>
      </c>
      <c r="DM128" s="228">
        <v>35.11</v>
      </c>
      <c r="DN128" s="228">
        <v>-4.2699999999999996</v>
      </c>
      <c r="DO128" s="228">
        <v>-4.2699999999999996</v>
      </c>
      <c r="DP128" s="228">
        <v>1.31</v>
      </c>
      <c r="DQ128" s="228">
        <v>1.1000000000000001</v>
      </c>
      <c r="DR128" s="228">
        <v>0.21</v>
      </c>
      <c r="DS128" s="229">
        <v>0.19089999999999999</v>
      </c>
      <c r="DT128" s="231">
        <v>1300</v>
      </c>
      <c r="DU128" s="231">
        <v>1140</v>
      </c>
      <c r="DV128" s="228">
        <v>0.73</v>
      </c>
      <c r="DW128" s="228">
        <v>0.63</v>
      </c>
      <c r="DX128" s="228">
        <v>0.1</v>
      </c>
      <c r="DY128" s="229">
        <v>0.15870000000000001</v>
      </c>
      <c r="DZ128" s="229">
        <v>0.90329999999999999</v>
      </c>
      <c r="EA128" s="230">
        <v>4204000</v>
      </c>
      <c r="EB128" s="229">
        <v>2.3999999999999998E-3</v>
      </c>
      <c r="EC128" s="229">
        <v>0.90329999999999999</v>
      </c>
      <c r="ED128" s="228">
        <v>-6.52</v>
      </c>
      <c r="EE128" s="229">
        <v>-5.3E-3</v>
      </c>
      <c r="EF128" s="230">
        <v>803002</v>
      </c>
      <c r="EG128" s="230">
        <v>651741</v>
      </c>
      <c r="EH128" s="229">
        <v>0.2321</v>
      </c>
      <c r="EI128" s="229">
        <v>0.38200000000000001</v>
      </c>
      <c r="EJ128" s="231">
        <v>112735.75</v>
      </c>
      <c r="EK128" s="231">
        <v>76647.14</v>
      </c>
      <c r="EL128" s="231">
        <v>75862.009999999995</v>
      </c>
      <c r="EM128" s="228">
        <v>0</v>
      </c>
      <c r="EN128" s="231">
        <v>265244.90000000002</v>
      </c>
      <c r="EO128" s="231">
        <v>779124.95</v>
      </c>
      <c r="EP128" s="231">
        <v>-513880.05</v>
      </c>
      <c r="EQ128" s="229">
        <v>-0.65959999999999996</v>
      </c>
      <c r="ER128" s="231">
        <v>20220</v>
      </c>
      <c r="ES128" s="231">
        <v>23152</v>
      </c>
      <c r="ET128" s="231">
        <v>54755</v>
      </c>
      <c r="EU128" s="231">
        <v>32698512</v>
      </c>
      <c r="EV128" s="231">
        <v>98127</v>
      </c>
      <c r="EW128" s="231">
        <v>188264</v>
      </c>
      <c r="EX128" s="231">
        <v>-90137</v>
      </c>
      <c r="EY128" s="229">
        <v>-0.4788</v>
      </c>
      <c r="EZ128" s="229">
        <v>0.24529999999999999</v>
      </c>
      <c r="FA128" s="227" t="s">
        <v>568</v>
      </c>
      <c r="FB128" s="161">
        <f t="shared" si="1"/>
        <v>3978400</v>
      </c>
    </row>
    <row r="129" spans="1:158" ht="17.25" thickBot="1" x14ac:dyDescent="0.3">
      <c r="A129" s="226">
        <v>45869</v>
      </c>
      <c r="B129" s="227" t="s">
        <v>170</v>
      </c>
      <c r="C129" s="227" t="s">
        <v>535</v>
      </c>
      <c r="D129" s="228">
        <v>1700</v>
      </c>
      <c r="E129" s="228">
        <v>878</v>
      </c>
      <c r="F129" s="228">
        <v>886.8</v>
      </c>
      <c r="G129" s="228">
        <v>-8.8000000000000007</v>
      </c>
      <c r="H129" s="229">
        <v>-9.9000000000000008E-3</v>
      </c>
      <c r="I129" s="228">
        <v>874.35</v>
      </c>
      <c r="J129" s="228">
        <v>881.45</v>
      </c>
      <c r="K129" s="228">
        <v>-7.1</v>
      </c>
      <c r="L129" s="229">
        <v>-8.0999999999999996E-3</v>
      </c>
      <c r="M129" s="228">
        <v>876.7</v>
      </c>
      <c r="N129" s="228">
        <v>882.65</v>
      </c>
      <c r="O129" s="228">
        <v>-5.95</v>
      </c>
      <c r="P129" s="229">
        <v>-6.7000000000000002E-3</v>
      </c>
      <c r="Q129" s="228">
        <v>878</v>
      </c>
      <c r="R129" s="228">
        <v>886.8</v>
      </c>
      <c r="S129" s="228">
        <v>-8.8000000000000007</v>
      </c>
      <c r="T129" s="229">
        <v>-9.9000000000000008E-3</v>
      </c>
      <c r="U129" s="228">
        <v>882.25</v>
      </c>
      <c r="V129" s="228">
        <v>892.15</v>
      </c>
      <c r="W129" s="228">
        <v>-9.9</v>
      </c>
      <c r="X129" s="229">
        <v>-1.11E-2</v>
      </c>
      <c r="Y129" s="228">
        <v>3.65</v>
      </c>
      <c r="Z129" s="228">
        <v>1.2</v>
      </c>
      <c r="AA129" s="228">
        <v>2.4500000000000002</v>
      </c>
      <c r="AB129" s="229">
        <v>4.1999999999999997E-3</v>
      </c>
      <c r="AC129" s="228">
        <v>2.35</v>
      </c>
      <c r="AD129" s="228">
        <v>1.2</v>
      </c>
      <c r="AE129" s="228">
        <v>1.1499999999999999</v>
      </c>
      <c r="AF129" s="229">
        <v>2.7000000000000001E-3</v>
      </c>
      <c r="AG129" s="228">
        <v>3.65</v>
      </c>
      <c r="AH129" s="228">
        <v>5.35</v>
      </c>
      <c r="AI129" s="228">
        <v>-1.7</v>
      </c>
      <c r="AJ129" s="229">
        <v>4.1999999999999997E-3</v>
      </c>
      <c r="AK129" s="228">
        <v>7.9</v>
      </c>
      <c r="AL129" s="228">
        <v>10.7</v>
      </c>
      <c r="AM129" s="228">
        <v>-2.8</v>
      </c>
      <c r="AN129" s="229">
        <v>8.9999999999999993E-3</v>
      </c>
      <c r="AO129" s="228">
        <v>875.32</v>
      </c>
      <c r="AP129" s="228">
        <v>878.92</v>
      </c>
      <c r="AQ129" s="228">
        <v>0</v>
      </c>
      <c r="AR129" s="230">
        <v>10946300</v>
      </c>
      <c r="AS129" s="230">
        <v>16552900</v>
      </c>
      <c r="AT129" s="230">
        <v>-5606600</v>
      </c>
      <c r="AU129" s="229">
        <v>-0.3387</v>
      </c>
      <c r="AV129" s="230">
        <v>4445500</v>
      </c>
      <c r="AW129" s="230">
        <v>6152300</v>
      </c>
      <c r="AX129" s="230">
        <v>-1706800</v>
      </c>
      <c r="AY129" s="229">
        <v>-0.27739999999999998</v>
      </c>
      <c r="AZ129" s="230">
        <v>6313800</v>
      </c>
      <c r="BA129" s="230">
        <v>10045300</v>
      </c>
      <c r="BB129" s="230">
        <v>-3731500</v>
      </c>
      <c r="BC129" s="229">
        <v>-0.3715</v>
      </c>
      <c r="BD129" s="230">
        <v>187000</v>
      </c>
      <c r="BE129" s="230">
        <v>355300</v>
      </c>
      <c r="BF129" s="230">
        <v>-168300</v>
      </c>
      <c r="BG129" s="229">
        <v>-0.47370000000000001</v>
      </c>
      <c r="BH129" s="230">
        <v>15952800</v>
      </c>
      <c r="BI129" s="230">
        <v>60341500</v>
      </c>
      <c r="BJ129" s="230">
        <v>-44388700</v>
      </c>
      <c r="BK129" s="229">
        <v>-0.73560000000000003</v>
      </c>
      <c r="BL129" s="230">
        <v>15349300</v>
      </c>
      <c r="BM129" s="230">
        <v>47945100</v>
      </c>
      <c r="BN129" s="230">
        <v>-32595800</v>
      </c>
      <c r="BO129" s="229">
        <v>-0.67989999999999995</v>
      </c>
      <c r="BP129" s="230">
        <v>42248400</v>
      </c>
      <c r="BQ129" s="230">
        <v>124839500</v>
      </c>
      <c r="BR129" s="230">
        <v>-82591100</v>
      </c>
      <c r="BS129" s="229">
        <v>-0.66159999999999997</v>
      </c>
      <c r="BT129" s="230">
        <v>3258505</v>
      </c>
      <c r="BU129" s="230">
        <v>5670876</v>
      </c>
      <c r="BV129" s="230">
        <v>-2412371</v>
      </c>
      <c r="BW129" s="229">
        <v>-0.4254</v>
      </c>
      <c r="BX129" s="230">
        <v>15126600</v>
      </c>
      <c r="BY129" s="230">
        <v>22210500</v>
      </c>
      <c r="BZ129" s="230">
        <v>-7083900</v>
      </c>
      <c r="CA129" s="229">
        <v>-0.31890000000000002</v>
      </c>
      <c r="CB129" s="230">
        <v>6482100</v>
      </c>
      <c r="CC129" s="230">
        <v>7964500</v>
      </c>
      <c r="CD129" s="230">
        <v>-1482400</v>
      </c>
      <c r="CE129" s="229">
        <v>-0.18609999999999999</v>
      </c>
      <c r="CF129" s="230">
        <v>14485700</v>
      </c>
      <c r="CG129" s="230">
        <v>13637400</v>
      </c>
      <c r="CH129" s="230">
        <v>848300</v>
      </c>
      <c r="CI129" s="229">
        <v>6.2199999999999998E-2</v>
      </c>
      <c r="CJ129" s="230">
        <v>640900</v>
      </c>
      <c r="CK129" s="230">
        <v>608600</v>
      </c>
      <c r="CL129" s="230">
        <v>32300</v>
      </c>
      <c r="CM129" s="229">
        <v>5.3100000000000001E-2</v>
      </c>
      <c r="CN129" s="230">
        <v>8418400</v>
      </c>
      <c r="CO129" s="230">
        <v>20005600</v>
      </c>
      <c r="CP129" s="230">
        <v>-11587200</v>
      </c>
      <c r="CQ129" s="229">
        <v>-0.57920000000000005</v>
      </c>
      <c r="CR129" s="230">
        <v>5523300</v>
      </c>
      <c r="CS129" s="230">
        <v>17975800</v>
      </c>
      <c r="CT129" s="230">
        <v>-12452500</v>
      </c>
      <c r="CU129" s="229">
        <v>-0.69269999999999998</v>
      </c>
      <c r="CV129" s="230">
        <v>29068300</v>
      </c>
      <c r="CW129" s="230">
        <v>60191900</v>
      </c>
      <c r="CX129" s="230">
        <v>-31123600</v>
      </c>
      <c r="CY129" s="229">
        <v>-0.5171</v>
      </c>
      <c r="CZ129" s="228">
        <v>33.54</v>
      </c>
      <c r="DA129" s="228">
        <v>33.82</v>
      </c>
      <c r="DB129" s="228">
        <v>-0.28000000000000003</v>
      </c>
      <c r="DC129" s="228">
        <v>-0.28000000000000003</v>
      </c>
      <c r="DD129" s="228">
        <v>42.88</v>
      </c>
      <c r="DE129" s="228">
        <v>42.98</v>
      </c>
      <c r="DF129" s="228">
        <v>-9.34</v>
      </c>
      <c r="DG129" s="228">
        <v>-0.1</v>
      </c>
      <c r="DH129" s="228">
        <v>33.270000000000003</v>
      </c>
      <c r="DI129" s="228">
        <v>33.700000000000003</v>
      </c>
      <c r="DJ129" s="228">
        <v>-0.43</v>
      </c>
      <c r="DK129" s="228">
        <v>-0.43</v>
      </c>
      <c r="DL129" s="228">
        <v>33.880000000000003</v>
      </c>
      <c r="DM129" s="228">
        <v>34.01</v>
      </c>
      <c r="DN129" s="228">
        <v>-0.13</v>
      </c>
      <c r="DO129" s="228">
        <v>-0.13</v>
      </c>
      <c r="DP129" s="228">
        <v>0.66</v>
      </c>
      <c r="DQ129" s="228">
        <v>0.9</v>
      </c>
      <c r="DR129" s="228">
        <v>-0.24</v>
      </c>
      <c r="DS129" s="229">
        <v>-0.26669999999999999</v>
      </c>
      <c r="DT129" s="231">
        <v>1000</v>
      </c>
      <c r="DU129" s="228">
        <v>800</v>
      </c>
      <c r="DV129" s="228">
        <v>0.96</v>
      </c>
      <c r="DW129" s="228">
        <v>0.79</v>
      </c>
      <c r="DX129" s="228">
        <v>0.17</v>
      </c>
      <c r="DY129" s="229">
        <v>0.2152</v>
      </c>
      <c r="DZ129" s="229">
        <v>0.7</v>
      </c>
      <c r="EA129" s="230">
        <v>14246000</v>
      </c>
      <c r="EB129" s="229">
        <v>1.5E-3</v>
      </c>
      <c r="EC129" s="229">
        <v>0.7</v>
      </c>
      <c r="ED129" s="228">
        <v>3.6</v>
      </c>
      <c r="EE129" s="229">
        <v>4.1000000000000003E-3</v>
      </c>
      <c r="EF129" s="230">
        <v>1403516</v>
      </c>
      <c r="EG129" s="230">
        <v>2108983</v>
      </c>
      <c r="EH129" s="229">
        <v>-0.33450000000000002</v>
      </c>
      <c r="EI129" s="229">
        <v>0.43070000000000003</v>
      </c>
      <c r="EJ129" s="231">
        <v>146829.24</v>
      </c>
      <c r="EK129" s="231">
        <v>130598.04</v>
      </c>
      <c r="EL129" s="231">
        <v>96057.31</v>
      </c>
      <c r="EM129" s="228">
        <v>0</v>
      </c>
      <c r="EN129" s="231">
        <v>373484.59</v>
      </c>
      <c r="EO129" s="231">
        <v>1130119.3</v>
      </c>
      <c r="EP129" s="231">
        <v>-756634.71</v>
      </c>
      <c r="EQ129" s="229">
        <v>-0.66949999999999998</v>
      </c>
      <c r="ER129" s="231">
        <v>77572</v>
      </c>
      <c r="ES129" s="231">
        <v>45579</v>
      </c>
      <c r="ET129" s="231">
        <v>132839</v>
      </c>
      <c r="EU129" s="231">
        <v>78058155</v>
      </c>
      <c r="EV129" s="231">
        <v>255990</v>
      </c>
      <c r="EW129" s="231">
        <v>512573</v>
      </c>
      <c r="EX129" s="231">
        <v>-256583</v>
      </c>
      <c r="EY129" s="229">
        <v>-0.50060000000000004</v>
      </c>
      <c r="EZ129" s="229">
        <v>0.37240000000000001</v>
      </c>
      <c r="FA129" s="227" t="s">
        <v>568</v>
      </c>
      <c r="FB129" s="161">
        <f t="shared" si="1"/>
        <v>8644500</v>
      </c>
    </row>
    <row r="130" spans="1:158" ht="17.25" thickBot="1" x14ac:dyDescent="0.3">
      <c r="A130" s="226">
        <v>45869</v>
      </c>
      <c r="B130" s="227" t="s">
        <v>175</v>
      </c>
      <c r="C130" s="227" t="s">
        <v>248</v>
      </c>
      <c r="D130" s="228">
        <v>1000</v>
      </c>
      <c r="E130" s="228">
        <v>581.85</v>
      </c>
      <c r="F130" s="228">
        <v>586.5</v>
      </c>
      <c r="G130" s="228">
        <v>-4.6500000000000004</v>
      </c>
      <c r="H130" s="229">
        <v>-7.9000000000000008E-3</v>
      </c>
      <c r="I130" s="228">
        <v>586.04999999999995</v>
      </c>
      <c r="J130" s="228">
        <v>590.04999999999995</v>
      </c>
      <c r="K130" s="228">
        <v>-4</v>
      </c>
      <c r="L130" s="229">
        <v>-6.7999999999999996E-3</v>
      </c>
      <c r="M130" s="228">
        <v>586.04999999999995</v>
      </c>
      <c r="N130" s="228">
        <v>590.1</v>
      </c>
      <c r="O130" s="228">
        <v>-4.05</v>
      </c>
      <c r="P130" s="229">
        <v>-6.8999999999999999E-3</v>
      </c>
      <c r="Q130" s="228">
        <v>581.85</v>
      </c>
      <c r="R130" s="228">
        <v>586.5</v>
      </c>
      <c r="S130" s="228">
        <v>-4.6500000000000004</v>
      </c>
      <c r="T130" s="229">
        <v>-7.9000000000000008E-3</v>
      </c>
      <c r="U130" s="228">
        <v>581.29999999999995</v>
      </c>
      <c r="V130" s="228">
        <v>586.65</v>
      </c>
      <c r="W130" s="228">
        <v>-5.35</v>
      </c>
      <c r="X130" s="229">
        <v>-9.1000000000000004E-3</v>
      </c>
      <c r="Y130" s="228">
        <v>-4.2</v>
      </c>
      <c r="Z130" s="228">
        <v>0.05</v>
      </c>
      <c r="AA130" s="228">
        <v>-4.25</v>
      </c>
      <c r="AB130" s="229">
        <v>-7.1999999999999998E-3</v>
      </c>
      <c r="AC130" s="228">
        <v>0</v>
      </c>
      <c r="AD130" s="228">
        <v>0.05</v>
      </c>
      <c r="AE130" s="228">
        <v>-0.05</v>
      </c>
      <c r="AF130" s="229">
        <v>0</v>
      </c>
      <c r="AG130" s="228">
        <v>-4.2</v>
      </c>
      <c r="AH130" s="228">
        <v>-3.55</v>
      </c>
      <c r="AI130" s="228">
        <v>-0.65</v>
      </c>
      <c r="AJ130" s="229">
        <v>-7.1999999999999998E-3</v>
      </c>
      <c r="AK130" s="228">
        <v>-4.75</v>
      </c>
      <c r="AL130" s="228">
        <v>-3.4</v>
      </c>
      <c r="AM130" s="228">
        <v>-1.35</v>
      </c>
      <c r="AN130" s="229">
        <v>-8.0999999999999996E-3</v>
      </c>
      <c r="AO130" s="228">
        <v>587.71</v>
      </c>
      <c r="AP130" s="228">
        <v>584.23</v>
      </c>
      <c r="AQ130" s="228">
        <v>0</v>
      </c>
      <c r="AR130" s="230">
        <v>14012000</v>
      </c>
      <c r="AS130" s="230">
        <v>11890000</v>
      </c>
      <c r="AT130" s="230">
        <v>2122000</v>
      </c>
      <c r="AU130" s="229">
        <v>0.17849999999999999</v>
      </c>
      <c r="AV130" s="230">
        <v>5432000</v>
      </c>
      <c r="AW130" s="230">
        <v>5122000</v>
      </c>
      <c r="AX130" s="230">
        <v>310000</v>
      </c>
      <c r="AY130" s="229">
        <v>6.0499999999999998E-2</v>
      </c>
      <c r="AZ130" s="230">
        <v>7344000</v>
      </c>
      <c r="BA130" s="230">
        <v>6003000</v>
      </c>
      <c r="BB130" s="230">
        <v>1341000</v>
      </c>
      <c r="BC130" s="229">
        <v>0.22339999999999999</v>
      </c>
      <c r="BD130" s="230">
        <v>1236000</v>
      </c>
      <c r="BE130" s="230">
        <v>765000</v>
      </c>
      <c r="BF130" s="230">
        <v>471000</v>
      </c>
      <c r="BG130" s="229">
        <v>0.61570000000000003</v>
      </c>
      <c r="BH130" s="230">
        <v>9076000</v>
      </c>
      <c r="BI130" s="230">
        <v>6048000</v>
      </c>
      <c r="BJ130" s="230">
        <v>3028000</v>
      </c>
      <c r="BK130" s="229">
        <v>0.50070000000000003</v>
      </c>
      <c r="BL130" s="230">
        <v>5348000</v>
      </c>
      <c r="BM130" s="230">
        <v>4888000</v>
      </c>
      <c r="BN130" s="230">
        <v>460000</v>
      </c>
      <c r="BO130" s="229">
        <v>9.4100000000000003E-2</v>
      </c>
      <c r="BP130" s="230">
        <v>28436000</v>
      </c>
      <c r="BQ130" s="230">
        <v>22826000</v>
      </c>
      <c r="BR130" s="230">
        <v>5610000</v>
      </c>
      <c r="BS130" s="229">
        <v>0.24579999999999999</v>
      </c>
      <c r="BT130" s="230">
        <v>1658497</v>
      </c>
      <c r="BU130" s="230">
        <v>1222910</v>
      </c>
      <c r="BV130" s="230">
        <v>435587</v>
      </c>
      <c r="BW130" s="229">
        <v>0.35620000000000002</v>
      </c>
      <c r="BX130" s="230">
        <v>31981000</v>
      </c>
      <c r="BY130" s="230">
        <v>34894000</v>
      </c>
      <c r="BZ130" s="230">
        <v>-2913000</v>
      </c>
      <c r="CA130" s="229">
        <v>-8.3500000000000005E-2</v>
      </c>
      <c r="CB130" s="230">
        <v>6046000</v>
      </c>
      <c r="CC130" s="230">
        <v>7224000</v>
      </c>
      <c r="CD130" s="230">
        <v>-1178000</v>
      </c>
      <c r="CE130" s="229">
        <v>-0.16309999999999999</v>
      </c>
      <c r="CF130" s="230">
        <v>23607000</v>
      </c>
      <c r="CG130" s="230">
        <v>20194000</v>
      </c>
      <c r="CH130" s="230">
        <v>3413000</v>
      </c>
      <c r="CI130" s="229">
        <v>0.16900000000000001</v>
      </c>
      <c r="CJ130" s="230">
        <v>8374000</v>
      </c>
      <c r="CK130" s="230">
        <v>7476000</v>
      </c>
      <c r="CL130" s="230">
        <v>898000</v>
      </c>
      <c r="CM130" s="229">
        <v>0.1201</v>
      </c>
      <c r="CN130" s="230">
        <v>5733000</v>
      </c>
      <c r="CO130" s="230">
        <v>9022000</v>
      </c>
      <c r="CP130" s="230">
        <v>-3289000</v>
      </c>
      <c r="CQ130" s="229">
        <v>-0.36459999999999998</v>
      </c>
      <c r="CR130" s="230">
        <v>5694000</v>
      </c>
      <c r="CS130" s="230">
        <v>8301000</v>
      </c>
      <c r="CT130" s="230">
        <v>-2607000</v>
      </c>
      <c r="CU130" s="229">
        <v>-0.31409999999999999</v>
      </c>
      <c r="CV130" s="230">
        <v>43408000</v>
      </c>
      <c r="CW130" s="230">
        <v>52217000</v>
      </c>
      <c r="CX130" s="230">
        <v>-8809000</v>
      </c>
      <c r="CY130" s="229">
        <v>-0.16869999999999999</v>
      </c>
      <c r="CZ130" s="228">
        <v>28.88</v>
      </c>
      <c r="DA130" s="228">
        <v>27.9</v>
      </c>
      <c r="DB130" s="228">
        <v>0.98</v>
      </c>
      <c r="DC130" s="228">
        <v>0.98</v>
      </c>
      <c r="DD130" s="228">
        <v>37.369999999999997</v>
      </c>
      <c r="DE130" s="228">
        <v>37.450000000000003</v>
      </c>
      <c r="DF130" s="228">
        <v>-8.49</v>
      </c>
      <c r="DG130" s="228">
        <v>-0.08</v>
      </c>
      <c r="DH130" s="228">
        <v>29.13</v>
      </c>
      <c r="DI130" s="228">
        <v>28.46</v>
      </c>
      <c r="DJ130" s="228">
        <v>0.67</v>
      </c>
      <c r="DK130" s="228">
        <v>0.67</v>
      </c>
      <c r="DL130" s="228">
        <v>28.35</v>
      </c>
      <c r="DM130" s="228">
        <v>27.1</v>
      </c>
      <c r="DN130" s="228">
        <v>1.25</v>
      </c>
      <c r="DO130" s="228">
        <v>1.25</v>
      </c>
      <c r="DP130" s="228">
        <v>0.99</v>
      </c>
      <c r="DQ130" s="228">
        <v>0.92</v>
      </c>
      <c r="DR130" s="228">
        <v>7.0000000000000007E-2</v>
      </c>
      <c r="DS130" s="229">
        <v>7.6100000000000001E-2</v>
      </c>
      <c r="DT130" s="228">
        <v>600</v>
      </c>
      <c r="DU130" s="228">
        <v>580</v>
      </c>
      <c r="DV130" s="228">
        <v>0.59</v>
      </c>
      <c r="DW130" s="228">
        <v>0.81</v>
      </c>
      <c r="DX130" s="228">
        <v>-0.22</v>
      </c>
      <c r="DY130" s="229">
        <v>-0.27160000000000001</v>
      </c>
      <c r="DZ130" s="229">
        <v>0.84099999999999997</v>
      </c>
      <c r="EA130" s="230">
        <v>27670000</v>
      </c>
      <c r="EB130" s="229">
        <v>-7.1999999999999998E-3</v>
      </c>
      <c r="EC130" s="229">
        <v>0.84099999999999997</v>
      </c>
      <c r="ED130" s="228">
        <v>-3.48</v>
      </c>
      <c r="EE130" s="229">
        <v>-5.8999999999999999E-3</v>
      </c>
      <c r="EF130" s="230">
        <v>886961</v>
      </c>
      <c r="EG130" s="230">
        <v>632886</v>
      </c>
      <c r="EH130" s="229">
        <v>0.40150000000000002</v>
      </c>
      <c r="EI130" s="229">
        <v>0.53480000000000005</v>
      </c>
      <c r="EJ130" s="231">
        <v>56340.45</v>
      </c>
      <c r="EK130" s="231">
        <v>31975.75</v>
      </c>
      <c r="EL130" s="231">
        <v>82037.09</v>
      </c>
      <c r="EM130" s="228">
        <v>0</v>
      </c>
      <c r="EN130" s="231">
        <v>170353.29</v>
      </c>
      <c r="EO130" s="231">
        <v>138134.85</v>
      </c>
      <c r="EP130" s="231">
        <v>32218.44</v>
      </c>
      <c r="EQ130" s="229">
        <v>0.23319999999999999</v>
      </c>
      <c r="ER130" s="231">
        <v>35702</v>
      </c>
      <c r="ES130" s="231">
        <v>33455</v>
      </c>
      <c r="ET130" s="231">
        <v>186035</v>
      </c>
      <c r="EU130" s="231">
        <v>60244101</v>
      </c>
      <c r="EV130" s="231">
        <v>255192</v>
      </c>
      <c r="EW130" s="231">
        <v>311077</v>
      </c>
      <c r="EX130" s="231">
        <v>-55885</v>
      </c>
      <c r="EY130" s="229">
        <v>-0.1797</v>
      </c>
      <c r="EZ130" s="229">
        <v>0.72050000000000003</v>
      </c>
      <c r="FA130" s="227" t="s">
        <v>568</v>
      </c>
      <c r="FB130" s="161">
        <f t="shared" si="1"/>
        <v>25935000</v>
      </c>
    </row>
    <row r="131" spans="1:158" ht="17.25" thickBot="1" x14ac:dyDescent="0.3">
      <c r="A131" s="226">
        <v>45869</v>
      </c>
      <c r="B131" s="227" t="s">
        <v>175</v>
      </c>
      <c r="C131" s="227" t="s">
        <v>608</v>
      </c>
      <c r="D131" s="228">
        <v>700</v>
      </c>
      <c r="E131" s="228">
        <v>898.5</v>
      </c>
      <c r="F131" s="228">
        <v>904.65</v>
      </c>
      <c r="G131" s="228">
        <v>-6.15</v>
      </c>
      <c r="H131" s="229">
        <v>-6.7999999999999996E-3</v>
      </c>
      <c r="I131" s="228">
        <v>895</v>
      </c>
      <c r="J131" s="228">
        <v>902</v>
      </c>
      <c r="K131" s="228">
        <v>-7</v>
      </c>
      <c r="L131" s="229">
        <v>-7.7999999999999996E-3</v>
      </c>
      <c r="M131" s="228">
        <v>894.75</v>
      </c>
      <c r="N131" s="228">
        <v>902.55</v>
      </c>
      <c r="O131" s="228">
        <v>-7.8</v>
      </c>
      <c r="P131" s="229">
        <v>-8.6E-3</v>
      </c>
      <c r="Q131" s="228">
        <v>898.5</v>
      </c>
      <c r="R131" s="228">
        <v>904.65</v>
      </c>
      <c r="S131" s="228">
        <v>-6.15</v>
      </c>
      <c r="T131" s="229">
        <v>-6.7999999999999996E-3</v>
      </c>
      <c r="U131" s="228">
        <v>902.6</v>
      </c>
      <c r="V131" s="228">
        <v>909.1</v>
      </c>
      <c r="W131" s="228">
        <v>-6.5</v>
      </c>
      <c r="X131" s="229">
        <v>-7.1000000000000004E-3</v>
      </c>
      <c r="Y131" s="228">
        <v>3.5</v>
      </c>
      <c r="Z131" s="228">
        <v>0.55000000000000004</v>
      </c>
      <c r="AA131" s="228">
        <v>2.95</v>
      </c>
      <c r="AB131" s="229">
        <v>3.8999999999999998E-3</v>
      </c>
      <c r="AC131" s="228">
        <v>-0.25</v>
      </c>
      <c r="AD131" s="228">
        <v>0.55000000000000004</v>
      </c>
      <c r="AE131" s="228">
        <v>-0.8</v>
      </c>
      <c r="AF131" s="229">
        <v>-2.9999999999999997E-4</v>
      </c>
      <c r="AG131" s="228">
        <v>3.5</v>
      </c>
      <c r="AH131" s="228">
        <v>2.65</v>
      </c>
      <c r="AI131" s="228">
        <v>0.85</v>
      </c>
      <c r="AJ131" s="229">
        <v>3.8999999999999998E-3</v>
      </c>
      <c r="AK131" s="228">
        <v>7.6</v>
      </c>
      <c r="AL131" s="228">
        <v>7.1</v>
      </c>
      <c r="AM131" s="228">
        <v>0.5</v>
      </c>
      <c r="AN131" s="229">
        <v>8.5000000000000006E-3</v>
      </c>
      <c r="AO131" s="228">
        <v>893.66</v>
      </c>
      <c r="AP131" s="228">
        <v>897.39</v>
      </c>
      <c r="AQ131" s="228">
        <v>0</v>
      </c>
      <c r="AR131" s="230">
        <v>4381300</v>
      </c>
      <c r="AS131" s="230">
        <v>4236400</v>
      </c>
      <c r="AT131" s="230">
        <v>144900</v>
      </c>
      <c r="AU131" s="229">
        <v>3.4200000000000001E-2</v>
      </c>
      <c r="AV131" s="230">
        <v>2177000</v>
      </c>
      <c r="AW131" s="230">
        <v>2093700</v>
      </c>
      <c r="AX131" s="230">
        <v>83300</v>
      </c>
      <c r="AY131" s="229">
        <v>3.9800000000000002E-2</v>
      </c>
      <c r="AZ131" s="230">
        <v>2121700</v>
      </c>
      <c r="BA131" s="230">
        <v>2088800</v>
      </c>
      <c r="BB131" s="230">
        <v>32900</v>
      </c>
      <c r="BC131" s="229">
        <v>1.5800000000000002E-2</v>
      </c>
      <c r="BD131" s="230">
        <v>82600</v>
      </c>
      <c r="BE131" s="230">
        <v>53900</v>
      </c>
      <c r="BF131" s="230">
        <v>28700</v>
      </c>
      <c r="BG131" s="229">
        <v>0.53249999999999997</v>
      </c>
      <c r="BH131" s="230">
        <v>2190300</v>
      </c>
      <c r="BI131" s="230">
        <v>3836000</v>
      </c>
      <c r="BJ131" s="230">
        <v>-1645700</v>
      </c>
      <c r="BK131" s="229">
        <v>-0.42899999999999999</v>
      </c>
      <c r="BL131" s="230">
        <v>1369900</v>
      </c>
      <c r="BM131" s="230">
        <v>1227800</v>
      </c>
      <c r="BN131" s="230">
        <v>142100</v>
      </c>
      <c r="BO131" s="229">
        <v>0.1157</v>
      </c>
      <c r="BP131" s="230">
        <v>7941500</v>
      </c>
      <c r="BQ131" s="230">
        <v>9300200</v>
      </c>
      <c r="BR131" s="230">
        <v>-1358700</v>
      </c>
      <c r="BS131" s="229">
        <v>-0.14610000000000001</v>
      </c>
      <c r="BT131" s="230">
        <v>602443</v>
      </c>
      <c r="BU131" s="230">
        <v>614509</v>
      </c>
      <c r="BV131" s="230">
        <v>-12066</v>
      </c>
      <c r="BW131" s="229">
        <v>-1.9599999999999999E-2</v>
      </c>
      <c r="BX131" s="230">
        <v>6515600</v>
      </c>
      <c r="BY131" s="230">
        <v>8198400</v>
      </c>
      <c r="BZ131" s="230">
        <v>-1682800</v>
      </c>
      <c r="CA131" s="229">
        <v>-0.20530000000000001</v>
      </c>
      <c r="CB131" s="230">
        <v>1292900</v>
      </c>
      <c r="CC131" s="230">
        <v>2418500</v>
      </c>
      <c r="CD131" s="230">
        <v>-1125600</v>
      </c>
      <c r="CE131" s="229">
        <v>-0.46539999999999998</v>
      </c>
      <c r="CF131" s="230">
        <v>6247500</v>
      </c>
      <c r="CG131" s="230">
        <v>5562900</v>
      </c>
      <c r="CH131" s="230">
        <v>684600</v>
      </c>
      <c r="CI131" s="229">
        <v>0.1231</v>
      </c>
      <c r="CJ131" s="230">
        <v>268100</v>
      </c>
      <c r="CK131" s="230">
        <v>217000</v>
      </c>
      <c r="CL131" s="230">
        <v>51100</v>
      </c>
      <c r="CM131" s="229">
        <v>0.23549999999999999</v>
      </c>
      <c r="CN131" s="230">
        <v>1449000</v>
      </c>
      <c r="CO131" s="230">
        <v>4560500</v>
      </c>
      <c r="CP131" s="230">
        <v>-3111500</v>
      </c>
      <c r="CQ131" s="229">
        <v>-0.68230000000000002</v>
      </c>
      <c r="CR131" s="230">
        <v>1019900</v>
      </c>
      <c r="CS131" s="230">
        <v>2295300</v>
      </c>
      <c r="CT131" s="230">
        <v>-1275400</v>
      </c>
      <c r="CU131" s="229">
        <v>-0.55569999999999997</v>
      </c>
      <c r="CV131" s="230">
        <v>8984500</v>
      </c>
      <c r="CW131" s="230">
        <v>15054200</v>
      </c>
      <c r="CX131" s="230">
        <v>-6069700</v>
      </c>
      <c r="CY131" s="229">
        <v>-0.4032</v>
      </c>
      <c r="CZ131" s="228">
        <v>24.88</v>
      </c>
      <c r="DA131" s="228">
        <v>25.48</v>
      </c>
      <c r="DB131" s="228">
        <v>-0.6</v>
      </c>
      <c r="DC131" s="228">
        <v>-0.6</v>
      </c>
      <c r="DD131" s="228">
        <v>34.82</v>
      </c>
      <c r="DE131" s="228">
        <v>34.9</v>
      </c>
      <c r="DF131" s="228">
        <v>-9.94</v>
      </c>
      <c r="DG131" s="228">
        <v>-0.08</v>
      </c>
      <c r="DH131" s="228">
        <v>25.2</v>
      </c>
      <c r="DI131" s="228">
        <v>25.66</v>
      </c>
      <c r="DJ131" s="228">
        <v>-0.46</v>
      </c>
      <c r="DK131" s="228">
        <v>-0.46</v>
      </c>
      <c r="DL131" s="228">
        <v>24.34</v>
      </c>
      <c r="DM131" s="228">
        <v>24.78</v>
      </c>
      <c r="DN131" s="228">
        <v>-0.44</v>
      </c>
      <c r="DO131" s="228">
        <v>-0.44</v>
      </c>
      <c r="DP131" s="228">
        <v>0.7</v>
      </c>
      <c r="DQ131" s="228">
        <v>0.5</v>
      </c>
      <c r="DR131" s="228">
        <v>0.2</v>
      </c>
      <c r="DS131" s="229">
        <v>0.4</v>
      </c>
      <c r="DT131" s="231">
        <v>1000</v>
      </c>
      <c r="DU131" s="228">
        <v>900</v>
      </c>
      <c r="DV131" s="228">
        <v>0.63</v>
      </c>
      <c r="DW131" s="228">
        <v>0.32</v>
      </c>
      <c r="DX131" s="228">
        <v>0.31</v>
      </c>
      <c r="DY131" s="229">
        <v>0.96879999999999999</v>
      </c>
      <c r="DZ131" s="229">
        <v>0.83440000000000003</v>
      </c>
      <c r="EA131" s="230">
        <v>5779900</v>
      </c>
      <c r="EB131" s="229">
        <v>4.1999999999999997E-3</v>
      </c>
      <c r="EC131" s="229">
        <v>0.83440000000000003</v>
      </c>
      <c r="ED131" s="228">
        <v>3.73</v>
      </c>
      <c r="EE131" s="229">
        <v>4.1999999999999997E-3</v>
      </c>
      <c r="EF131" s="230">
        <v>280990</v>
      </c>
      <c r="EG131" s="230">
        <v>222463</v>
      </c>
      <c r="EH131" s="229">
        <v>0.2631</v>
      </c>
      <c r="EI131" s="229">
        <v>0.46639999999999998</v>
      </c>
      <c r="EJ131" s="231">
        <v>20609.71</v>
      </c>
      <c r="EK131" s="231">
        <v>12477.7</v>
      </c>
      <c r="EL131" s="231">
        <v>39239.449999999997</v>
      </c>
      <c r="EM131" s="228">
        <v>0</v>
      </c>
      <c r="EN131" s="231">
        <v>72326.86</v>
      </c>
      <c r="EO131" s="231">
        <v>85537.85</v>
      </c>
      <c r="EP131" s="231">
        <v>-13210.99</v>
      </c>
      <c r="EQ131" s="229">
        <v>-0.15440000000000001</v>
      </c>
      <c r="ER131" s="231">
        <v>13610</v>
      </c>
      <c r="ES131" s="231">
        <v>9035</v>
      </c>
      <c r="ET131" s="231">
        <v>58554</v>
      </c>
      <c r="EU131" s="231">
        <v>44274984</v>
      </c>
      <c r="EV131" s="231">
        <v>81198</v>
      </c>
      <c r="EW131" s="231">
        <v>138636</v>
      </c>
      <c r="EX131" s="231">
        <v>-57438</v>
      </c>
      <c r="EY131" s="229">
        <v>-0.4143</v>
      </c>
      <c r="EZ131" s="229">
        <v>0.2029</v>
      </c>
      <c r="FA131" s="227" t="s">
        <v>568</v>
      </c>
      <c r="FB131" s="161">
        <f t="shared" ref="FB131:FB138" si="2">BX131-CB131</f>
        <v>5222700</v>
      </c>
    </row>
    <row r="132" spans="1:158" ht="17.25" thickBot="1" x14ac:dyDescent="0.3">
      <c r="A132" s="226">
        <v>45869</v>
      </c>
      <c r="B132" s="227" t="s">
        <v>206</v>
      </c>
      <c r="C132" s="227" t="s">
        <v>589</v>
      </c>
      <c r="D132" s="228">
        <v>450</v>
      </c>
      <c r="E132" s="231">
        <v>1235.2</v>
      </c>
      <c r="F132" s="231">
        <v>1241.9000000000001</v>
      </c>
      <c r="G132" s="228">
        <v>-6.7</v>
      </c>
      <c r="H132" s="229">
        <v>-5.4000000000000003E-3</v>
      </c>
      <c r="I132" s="231">
        <v>1231.5999999999999</v>
      </c>
      <c r="J132" s="231">
        <v>1238.2</v>
      </c>
      <c r="K132" s="228">
        <v>-6.6</v>
      </c>
      <c r="L132" s="229">
        <v>-5.3E-3</v>
      </c>
      <c r="M132" s="231">
        <v>1231.4000000000001</v>
      </c>
      <c r="N132" s="231">
        <v>1238.4000000000001</v>
      </c>
      <c r="O132" s="228">
        <v>-7</v>
      </c>
      <c r="P132" s="229">
        <v>-5.7000000000000002E-3</v>
      </c>
      <c r="Q132" s="231">
        <v>1235.2</v>
      </c>
      <c r="R132" s="231">
        <v>1241.9000000000001</v>
      </c>
      <c r="S132" s="228">
        <v>-6.7</v>
      </c>
      <c r="T132" s="229">
        <v>-5.4000000000000003E-3</v>
      </c>
      <c r="U132" s="231">
        <v>1242.0999999999999</v>
      </c>
      <c r="V132" s="231">
        <v>1245.8</v>
      </c>
      <c r="W132" s="228">
        <v>-3.7</v>
      </c>
      <c r="X132" s="229">
        <v>-3.0000000000000001E-3</v>
      </c>
      <c r="Y132" s="228">
        <v>3.6</v>
      </c>
      <c r="Z132" s="228">
        <v>0.2</v>
      </c>
      <c r="AA132" s="228">
        <v>3.4</v>
      </c>
      <c r="AB132" s="229">
        <v>2.8999999999999998E-3</v>
      </c>
      <c r="AC132" s="228">
        <v>-0.2</v>
      </c>
      <c r="AD132" s="228">
        <v>0.2</v>
      </c>
      <c r="AE132" s="228">
        <v>-0.4</v>
      </c>
      <c r="AF132" s="229">
        <v>-2.0000000000000001E-4</v>
      </c>
      <c r="AG132" s="228">
        <v>3.6</v>
      </c>
      <c r="AH132" s="228">
        <v>3.7</v>
      </c>
      <c r="AI132" s="228">
        <v>-0.1</v>
      </c>
      <c r="AJ132" s="229">
        <v>2.8999999999999998E-3</v>
      </c>
      <c r="AK132" s="228">
        <v>10.5</v>
      </c>
      <c r="AL132" s="228">
        <v>7.6</v>
      </c>
      <c r="AM132" s="228">
        <v>2.9</v>
      </c>
      <c r="AN132" s="229">
        <v>8.5000000000000006E-3</v>
      </c>
      <c r="AO132" s="231">
        <v>1234.75</v>
      </c>
      <c r="AP132" s="231">
        <v>1238.49</v>
      </c>
      <c r="AQ132" s="228">
        <v>0</v>
      </c>
      <c r="AR132" s="230">
        <v>4230000</v>
      </c>
      <c r="AS132" s="230">
        <v>4456800</v>
      </c>
      <c r="AT132" s="230">
        <v>-226800</v>
      </c>
      <c r="AU132" s="229">
        <v>-5.0900000000000001E-2</v>
      </c>
      <c r="AV132" s="230">
        <v>1534050</v>
      </c>
      <c r="AW132" s="230">
        <v>2119050</v>
      </c>
      <c r="AX132" s="230">
        <v>-585000</v>
      </c>
      <c r="AY132" s="229">
        <v>-0.27610000000000001</v>
      </c>
      <c r="AZ132" s="230">
        <v>2652750</v>
      </c>
      <c r="BA132" s="230">
        <v>2314350</v>
      </c>
      <c r="BB132" s="230">
        <v>338400</v>
      </c>
      <c r="BC132" s="229">
        <v>0.1462</v>
      </c>
      <c r="BD132" s="230">
        <v>43200</v>
      </c>
      <c r="BE132" s="230">
        <v>23400</v>
      </c>
      <c r="BF132" s="230">
        <v>19800</v>
      </c>
      <c r="BG132" s="229">
        <v>0.84619999999999995</v>
      </c>
      <c r="BH132" s="230">
        <v>2389050</v>
      </c>
      <c r="BI132" s="230">
        <v>2965500</v>
      </c>
      <c r="BJ132" s="230">
        <v>-576450</v>
      </c>
      <c r="BK132" s="229">
        <v>-0.19439999999999999</v>
      </c>
      <c r="BL132" s="230">
        <v>1481400</v>
      </c>
      <c r="BM132" s="230">
        <v>1644300</v>
      </c>
      <c r="BN132" s="230">
        <v>-162900</v>
      </c>
      <c r="BO132" s="229">
        <v>-9.9099999999999994E-2</v>
      </c>
      <c r="BP132" s="230">
        <v>8100450</v>
      </c>
      <c r="BQ132" s="230">
        <v>9066600</v>
      </c>
      <c r="BR132" s="230">
        <v>-966150</v>
      </c>
      <c r="BS132" s="229">
        <v>-0.1066</v>
      </c>
      <c r="BT132" s="230">
        <v>1670925</v>
      </c>
      <c r="BU132" s="230">
        <v>1232601</v>
      </c>
      <c r="BV132" s="230">
        <v>438324</v>
      </c>
      <c r="BW132" s="229">
        <v>0.35560000000000003</v>
      </c>
      <c r="BX132" s="230">
        <v>9149850</v>
      </c>
      <c r="BY132" s="230">
        <v>9553050</v>
      </c>
      <c r="BZ132" s="230">
        <v>-403200</v>
      </c>
      <c r="CA132" s="229">
        <v>-4.2200000000000001E-2</v>
      </c>
      <c r="CB132" s="230">
        <v>1249650</v>
      </c>
      <c r="CC132" s="230">
        <v>1732500</v>
      </c>
      <c r="CD132" s="230">
        <v>-482850</v>
      </c>
      <c r="CE132" s="229">
        <v>-0.2787</v>
      </c>
      <c r="CF132" s="230">
        <v>9012600</v>
      </c>
      <c r="CG132" s="230">
        <v>7709400</v>
      </c>
      <c r="CH132" s="230">
        <v>1303200</v>
      </c>
      <c r="CI132" s="229">
        <v>0.16900000000000001</v>
      </c>
      <c r="CJ132" s="230">
        <v>137250</v>
      </c>
      <c r="CK132" s="230">
        <v>111150</v>
      </c>
      <c r="CL132" s="230">
        <v>26100</v>
      </c>
      <c r="CM132" s="229">
        <v>0.23480000000000001</v>
      </c>
      <c r="CN132" s="230">
        <v>1062450</v>
      </c>
      <c r="CO132" s="230">
        <v>3264750</v>
      </c>
      <c r="CP132" s="230">
        <v>-2202300</v>
      </c>
      <c r="CQ132" s="229">
        <v>-0.67459999999999998</v>
      </c>
      <c r="CR132" s="230">
        <v>903600</v>
      </c>
      <c r="CS132" s="230">
        <v>2101050</v>
      </c>
      <c r="CT132" s="230">
        <v>-1197450</v>
      </c>
      <c r="CU132" s="229">
        <v>-0.56989999999999996</v>
      </c>
      <c r="CV132" s="230">
        <v>11115900</v>
      </c>
      <c r="CW132" s="230">
        <v>14918850</v>
      </c>
      <c r="CX132" s="230">
        <v>-3802950</v>
      </c>
      <c r="CY132" s="229">
        <v>-0.25490000000000002</v>
      </c>
      <c r="CZ132" s="228">
        <v>35.39</v>
      </c>
      <c r="DA132" s="228">
        <v>35</v>
      </c>
      <c r="DB132" s="228">
        <v>0.39</v>
      </c>
      <c r="DC132" s="228">
        <v>0.39</v>
      </c>
      <c r="DD132" s="228">
        <v>51.94</v>
      </c>
      <c r="DE132" s="228">
        <v>52.07</v>
      </c>
      <c r="DF132" s="228">
        <v>-16.55</v>
      </c>
      <c r="DG132" s="228">
        <v>-0.13</v>
      </c>
      <c r="DH132" s="228">
        <v>35.729999999999997</v>
      </c>
      <c r="DI132" s="228">
        <v>34.94</v>
      </c>
      <c r="DJ132" s="228">
        <v>0.79</v>
      </c>
      <c r="DK132" s="228">
        <v>0.79</v>
      </c>
      <c r="DL132" s="228">
        <v>34.94</v>
      </c>
      <c r="DM132" s="228">
        <v>35.06</v>
      </c>
      <c r="DN132" s="228">
        <v>-0.12</v>
      </c>
      <c r="DO132" s="228">
        <v>-0.12</v>
      </c>
      <c r="DP132" s="228">
        <v>0.85</v>
      </c>
      <c r="DQ132" s="228">
        <v>0.64</v>
      </c>
      <c r="DR132" s="228">
        <v>0.21</v>
      </c>
      <c r="DS132" s="229">
        <v>0.3281</v>
      </c>
      <c r="DT132" s="231">
        <v>1400</v>
      </c>
      <c r="DU132" s="231">
        <v>1200</v>
      </c>
      <c r="DV132" s="228">
        <v>0.62</v>
      </c>
      <c r="DW132" s="228">
        <v>0.55000000000000004</v>
      </c>
      <c r="DX132" s="228">
        <v>7.0000000000000007E-2</v>
      </c>
      <c r="DY132" s="229">
        <v>0.1273</v>
      </c>
      <c r="DZ132" s="229">
        <v>0.87980000000000003</v>
      </c>
      <c r="EA132" s="230">
        <v>7820550</v>
      </c>
      <c r="EB132" s="229">
        <v>3.0999999999999999E-3</v>
      </c>
      <c r="EC132" s="229">
        <v>0.87980000000000003</v>
      </c>
      <c r="ED132" s="228">
        <v>3.74</v>
      </c>
      <c r="EE132" s="229">
        <v>3.0000000000000001E-3</v>
      </c>
      <c r="EF132" s="230">
        <v>1046818</v>
      </c>
      <c r="EG132" s="230">
        <v>761272</v>
      </c>
      <c r="EH132" s="229">
        <v>0.37509999999999999</v>
      </c>
      <c r="EI132" s="229">
        <v>0.62649999999999995</v>
      </c>
      <c r="EJ132" s="231">
        <v>31534.87</v>
      </c>
      <c r="EK132" s="231">
        <v>18636.77</v>
      </c>
      <c r="EL132" s="231">
        <v>52332.78</v>
      </c>
      <c r="EM132" s="228">
        <v>0</v>
      </c>
      <c r="EN132" s="231">
        <v>102504.42</v>
      </c>
      <c r="EO132" s="231">
        <v>115551.58</v>
      </c>
      <c r="EP132" s="231">
        <v>-13047.16</v>
      </c>
      <c r="EQ132" s="229">
        <v>-0.1129</v>
      </c>
      <c r="ER132" s="231">
        <v>14246</v>
      </c>
      <c r="ES132" s="231">
        <v>10989</v>
      </c>
      <c r="ET132" s="231">
        <v>113028</v>
      </c>
      <c r="EU132" s="231">
        <v>55985194</v>
      </c>
      <c r="EV132" s="231">
        <v>138264</v>
      </c>
      <c r="EW132" s="231">
        <v>190050</v>
      </c>
      <c r="EX132" s="231">
        <v>-51786</v>
      </c>
      <c r="EY132" s="229">
        <v>-0.27250000000000002</v>
      </c>
      <c r="EZ132" s="229">
        <v>0.1986</v>
      </c>
      <c r="FA132" s="227" t="s">
        <v>568</v>
      </c>
      <c r="FB132" s="161">
        <f t="shared" si="2"/>
        <v>7900200</v>
      </c>
    </row>
    <row r="133" spans="1:158" ht="17.25" thickBot="1" x14ac:dyDescent="0.3">
      <c r="A133" s="226">
        <v>45869</v>
      </c>
      <c r="B133" s="227" t="s">
        <v>184</v>
      </c>
      <c r="C133" s="227" t="s">
        <v>249</v>
      </c>
      <c r="D133" s="228">
        <v>175</v>
      </c>
      <c r="E133" s="231">
        <v>3650.5</v>
      </c>
      <c r="F133" s="231">
        <v>3679.2</v>
      </c>
      <c r="G133" s="228">
        <v>-28.7</v>
      </c>
      <c r="H133" s="229">
        <v>-7.7999999999999996E-3</v>
      </c>
      <c r="I133" s="231">
        <v>3636.5</v>
      </c>
      <c r="J133" s="231">
        <v>3665.1</v>
      </c>
      <c r="K133" s="228">
        <v>-28.6</v>
      </c>
      <c r="L133" s="229">
        <v>-7.7999999999999996E-3</v>
      </c>
      <c r="M133" s="231">
        <v>3630.2</v>
      </c>
      <c r="N133" s="231">
        <v>3657.1</v>
      </c>
      <c r="O133" s="228">
        <v>-26.9</v>
      </c>
      <c r="P133" s="229">
        <v>-7.4000000000000003E-3</v>
      </c>
      <c r="Q133" s="231">
        <v>3650.5</v>
      </c>
      <c r="R133" s="231">
        <v>3679.2</v>
      </c>
      <c r="S133" s="228">
        <v>-28.7</v>
      </c>
      <c r="T133" s="229">
        <v>-7.7999999999999996E-3</v>
      </c>
      <c r="U133" s="231">
        <v>3671.3</v>
      </c>
      <c r="V133" s="231">
        <v>3698.8</v>
      </c>
      <c r="W133" s="228">
        <v>-27.5</v>
      </c>
      <c r="X133" s="229">
        <v>-7.4000000000000003E-3</v>
      </c>
      <c r="Y133" s="228">
        <v>14</v>
      </c>
      <c r="Z133" s="228">
        <v>-8</v>
      </c>
      <c r="AA133" s="228">
        <v>22</v>
      </c>
      <c r="AB133" s="229">
        <v>3.8E-3</v>
      </c>
      <c r="AC133" s="228">
        <v>-6.3</v>
      </c>
      <c r="AD133" s="228">
        <v>-8</v>
      </c>
      <c r="AE133" s="228">
        <v>1.7</v>
      </c>
      <c r="AF133" s="229">
        <v>-1.6999999999999999E-3</v>
      </c>
      <c r="AG133" s="228">
        <v>14</v>
      </c>
      <c r="AH133" s="228">
        <v>14.1</v>
      </c>
      <c r="AI133" s="228">
        <v>-0.1</v>
      </c>
      <c r="AJ133" s="229">
        <v>3.8E-3</v>
      </c>
      <c r="AK133" s="228">
        <v>34.799999999999997</v>
      </c>
      <c r="AL133" s="228">
        <v>33.700000000000003</v>
      </c>
      <c r="AM133" s="228">
        <v>1.1000000000000001</v>
      </c>
      <c r="AN133" s="229">
        <v>9.5999999999999992E-3</v>
      </c>
      <c r="AO133" s="231">
        <v>3641.56</v>
      </c>
      <c r="AP133" s="231">
        <v>3662.15</v>
      </c>
      <c r="AQ133" s="228">
        <v>0</v>
      </c>
      <c r="AR133" s="230">
        <v>6950650</v>
      </c>
      <c r="AS133" s="230">
        <v>14553525</v>
      </c>
      <c r="AT133" s="230">
        <v>-7602875</v>
      </c>
      <c r="AU133" s="229">
        <v>-0.52239999999999998</v>
      </c>
      <c r="AV133" s="230">
        <v>3147725</v>
      </c>
      <c r="AW133" s="230">
        <v>7605850</v>
      </c>
      <c r="AX133" s="230">
        <v>-4458125</v>
      </c>
      <c r="AY133" s="229">
        <v>-0.58609999999999995</v>
      </c>
      <c r="AZ133" s="230">
        <v>3745525</v>
      </c>
      <c r="BA133" s="230">
        <v>6832175</v>
      </c>
      <c r="BB133" s="230">
        <v>-3086650</v>
      </c>
      <c r="BC133" s="229">
        <v>-0.45179999999999998</v>
      </c>
      <c r="BD133" s="230">
        <v>57400</v>
      </c>
      <c r="BE133" s="230">
        <v>115500</v>
      </c>
      <c r="BF133" s="230">
        <v>-58100</v>
      </c>
      <c r="BG133" s="229">
        <v>-0.503</v>
      </c>
      <c r="BH133" s="230">
        <v>12095650</v>
      </c>
      <c r="BI133" s="230">
        <v>76775125</v>
      </c>
      <c r="BJ133" s="230">
        <v>-64679475</v>
      </c>
      <c r="BK133" s="229">
        <v>-0.84250000000000003</v>
      </c>
      <c r="BL133" s="230">
        <v>6515425</v>
      </c>
      <c r="BM133" s="230">
        <v>27779675</v>
      </c>
      <c r="BN133" s="230">
        <v>-21264250</v>
      </c>
      <c r="BO133" s="229">
        <v>-0.76549999999999996</v>
      </c>
      <c r="BP133" s="230">
        <v>25561725</v>
      </c>
      <c r="BQ133" s="230">
        <v>119108325</v>
      </c>
      <c r="BR133" s="230">
        <v>-93546600</v>
      </c>
      <c r="BS133" s="229">
        <v>-0.78539999999999999</v>
      </c>
      <c r="BT133" s="230">
        <v>2001989</v>
      </c>
      <c r="BU133" s="230">
        <v>9012170</v>
      </c>
      <c r="BV133" s="230">
        <v>-7010181</v>
      </c>
      <c r="BW133" s="229">
        <v>-0.77790000000000004</v>
      </c>
      <c r="BX133" s="230">
        <v>16201675</v>
      </c>
      <c r="BY133" s="230">
        <v>18159750</v>
      </c>
      <c r="BZ133" s="230">
        <v>-1958075</v>
      </c>
      <c r="CA133" s="229">
        <v>-0.10780000000000001</v>
      </c>
      <c r="CB133" s="230">
        <v>2024575</v>
      </c>
      <c r="CC133" s="230">
        <v>3097325</v>
      </c>
      <c r="CD133" s="230">
        <v>-1072750</v>
      </c>
      <c r="CE133" s="229">
        <v>-0.3463</v>
      </c>
      <c r="CF133" s="230">
        <v>15558025</v>
      </c>
      <c r="CG133" s="230">
        <v>14435400</v>
      </c>
      <c r="CH133" s="230">
        <v>1122625</v>
      </c>
      <c r="CI133" s="229">
        <v>7.7799999999999994E-2</v>
      </c>
      <c r="CJ133" s="230">
        <v>643650</v>
      </c>
      <c r="CK133" s="230">
        <v>627025</v>
      </c>
      <c r="CL133" s="230">
        <v>16625</v>
      </c>
      <c r="CM133" s="229">
        <v>2.6499999999999999E-2</v>
      </c>
      <c r="CN133" s="230">
        <v>2453325</v>
      </c>
      <c r="CO133" s="230">
        <v>9630775</v>
      </c>
      <c r="CP133" s="230">
        <v>-7177450</v>
      </c>
      <c r="CQ133" s="229">
        <v>-0.74529999999999996</v>
      </c>
      <c r="CR133" s="230">
        <v>2126950</v>
      </c>
      <c r="CS133" s="230">
        <v>5726000</v>
      </c>
      <c r="CT133" s="230">
        <v>-3599050</v>
      </c>
      <c r="CU133" s="229">
        <v>-0.62849999999999995</v>
      </c>
      <c r="CV133" s="230">
        <v>20781950</v>
      </c>
      <c r="CW133" s="230">
        <v>33516525</v>
      </c>
      <c r="CX133" s="230">
        <v>-12734575</v>
      </c>
      <c r="CY133" s="229">
        <v>-0.37990000000000002</v>
      </c>
      <c r="CZ133" s="228">
        <v>19.04</v>
      </c>
      <c r="DA133" s="228">
        <v>19.75</v>
      </c>
      <c r="DB133" s="228">
        <v>-0.71</v>
      </c>
      <c r="DC133" s="228">
        <v>-0.71</v>
      </c>
      <c r="DD133" s="228">
        <v>30.38</v>
      </c>
      <c r="DE133" s="228">
        <v>30.44</v>
      </c>
      <c r="DF133" s="228">
        <v>-11.34</v>
      </c>
      <c r="DG133" s="228">
        <v>-0.06</v>
      </c>
      <c r="DH133" s="228">
        <v>19.149999999999999</v>
      </c>
      <c r="DI133" s="228">
        <v>19.36</v>
      </c>
      <c r="DJ133" s="228">
        <v>-0.21</v>
      </c>
      <c r="DK133" s="228">
        <v>-0.21</v>
      </c>
      <c r="DL133" s="228">
        <v>18.88</v>
      </c>
      <c r="DM133" s="228">
        <v>20.63</v>
      </c>
      <c r="DN133" s="228">
        <v>-1.75</v>
      </c>
      <c r="DO133" s="228">
        <v>-1.75</v>
      </c>
      <c r="DP133" s="228">
        <v>0.87</v>
      </c>
      <c r="DQ133" s="228">
        <v>0.59</v>
      </c>
      <c r="DR133" s="228">
        <v>0.28000000000000003</v>
      </c>
      <c r="DS133" s="229">
        <v>0.47460000000000002</v>
      </c>
      <c r="DT133" s="231">
        <v>3600</v>
      </c>
      <c r="DU133" s="231">
        <v>3600</v>
      </c>
      <c r="DV133" s="228">
        <v>0.54</v>
      </c>
      <c r="DW133" s="228">
        <v>0.36</v>
      </c>
      <c r="DX133" s="228">
        <v>0.18</v>
      </c>
      <c r="DY133" s="229">
        <v>0.5</v>
      </c>
      <c r="DZ133" s="229">
        <v>0.88890000000000002</v>
      </c>
      <c r="EA133" s="230">
        <v>15062425</v>
      </c>
      <c r="EB133" s="229">
        <v>5.5999999999999999E-3</v>
      </c>
      <c r="EC133" s="229">
        <v>0.88890000000000002</v>
      </c>
      <c r="ED133" s="228">
        <v>20.59</v>
      </c>
      <c r="EE133" s="229">
        <v>5.7000000000000002E-3</v>
      </c>
      <c r="EF133" s="230">
        <v>1081987</v>
      </c>
      <c r="EG133" s="230">
        <v>5180497</v>
      </c>
      <c r="EH133" s="229">
        <v>-0.79110000000000003</v>
      </c>
      <c r="EI133" s="229">
        <v>0.54049999999999998</v>
      </c>
      <c r="EJ133" s="231">
        <v>451610.1</v>
      </c>
      <c r="EK133" s="231">
        <v>234465.3</v>
      </c>
      <c r="EL133" s="231">
        <v>253906.21</v>
      </c>
      <c r="EM133" s="228">
        <v>0</v>
      </c>
      <c r="EN133" s="231">
        <v>939981.61</v>
      </c>
      <c r="EO133" s="231">
        <v>4374816.6100000003</v>
      </c>
      <c r="EP133" s="231">
        <v>-3434835</v>
      </c>
      <c r="EQ133" s="229">
        <v>-0.78510000000000002</v>
      </c>
      <c r="ER133" s="231">
        <v>92035</v>
      </c>
      <c r="ES133" s="231">
        <v>75038</v>
      </c>
      <c r="ET133" s="231">
        <v>591576</v>
      </c>
      <c r="EU133" s="231">
        <v>271909552</v>
      </c>
      <c r="EV133" s="231">
        <v>758650</v>
      </c>
      <c r="EW133" s="231">
        <v>1227077</v>
      </c>
      <c r="EX133" s="231">
        <v>-468427</v>
      </c>
      <c r="EY133" s="229">
        <v>-0.38169999999999998</v>
      </c>
      <c r="EZ133" s="229">
        <v>7.6399999999999996E-2</v>
      </c>
      <c r="FA133" s="227" t="s">
        <v>568</v>
      </c>
      <c r="FB133" s="161">
        <f t="shared" si="2"/>
        <v>14177100</v>
      </c>
    </row>
    <row r="134" spans="1:158" ht="17.25" thickBot="1" x14ac:dyDescent="0.3">
      <c r="A134" s="226">
        <v>45869</v>
      </c>
      <c r="B134" s="227" t="s">
        <v>175</v>
      </c>
      <c r="C134" s="227" t="s">
        <v>565</v>
      </c>
      <c r="D134" s="228">
        <v>4462</v>
      </c>
      <c r="E134" s="228">
        <v>203.68</v>
      </c>
      <c r="F134" s="228">
        <v>204.62</v>
      </c>
      <c r="G134" s="228">
        <v>-0.94</v>
      </c>
      <c r="H134" s="229">
        <v>-4.5999999999999999E-3</v>
      </c>
      <c r="I134" s="228">
        <v>202.59</v>
      </c>
      <c r="J134" s="228">
        <v>203.4</v>
      </c>
      <c r="K134" s="228">
        <v>-0.81</v>
      </c>
      <c r="L134" s="229">
        <v>-4.0000000000000001E-3</v>
      </c>
      <c r="M134" s="228">
        <v>202.72</v>
      </c>
      <c r="N134" s="228">
        <v>203.68</v>
      </c>
      <c r="O134" s="228">
        <v>-0.96</v>
      </c>
      <c r="P134" s="229">
        <v>-4.7000000000000002E-3</v>
      </c>
      <c r="Q134" s="228">
        <v>203.68</v>
      </c>
      <c r="R134" s="228">
        <v>204.62</v>
      </c>
      <c r="S134" s="228">
        <v>-0.94</v>
      </c>
      <c r="T134" s="229">
        <v>-4.5999999999999999E-3</v>
      </c>
      <c r="U134" s="228">
        <v>204.01</v>
      </c>
      <c r="V134" s="228">
        <v>205.15</v>
      </c>
      <c r="W134" s="228">
        <v>-1.1399999999999999</v>
      </c>
      <c r="X134" s="229">
        <v>-5.5999999999999999E-3</v>
      </c>
      <c r="Y134" s="228">
        <v>1.0900000000000001</v>
      </c>
      <c r="Z134" s="228">
        <v>0.28000000000000003</v>
      </c>
      <c r="AA134" s="228">
        <v>0.81</v>
      </c>
      <c r="AB134" s="229">
        <v>5.4000000000000003E-3</v>
      </c>
      <c r="AC134" s="228">
        <v>0.13</v>
      </c>
      <c r="AD134" s="228">
        <v>0.28000000000000003</v>
      </c>
      <c r="AE134" s="228">
        <v>-0.15</v>
      </c>
      <c r="AF134" s="229">
        <v>5.9999999999999995E-4</v>
      </c>
      <c r="AG134" s="228">
        <v>1.0900000000000001</v>
      </c>
      <c r="AH134" s="228">
        <v>1.22</v>
      </c>
      <c r="AI134" s="228">
        <v>-0.13</v>
      </c>
      <c r="AJ134" s="229">
        <v>5.4000000000000003E-3</v>
      </c>
      <c r="AK134" s="228">
        <v>1.42</v>
      </c>
      <c r="AL134" s="228">
        <v>1.75</v>
      </c>
      <c r="AM134" s="228">
        <v>-0.33</v>
      </c>
      <c r="AN134" s="229">
        <v>7.0000000000000001E-3</v>
      </c>
      <c r="AO134" s="228">
        <v>203.44</v>
      </c>
      <c r="AP134" s="228">
        <v>204.37</v>
      </c>
      <c r="AQ134" s="228">
        <v>0</v>
      </c>
      <c r="AR134" s="230">
        <v>35887866</v>
      </c>
      <c r="AS134" s="230">
        <v>38306270</v>
      </c>
      <c r="AT134" s="230">
        <v>-2418404</v>
      </c>
      <c r="AU134" s="229">
        <v>-6.3100000000000003E-2</v>
      </c>
      <c r="AV134" s="230">
        <v>16076586</v>
      </c>
      <c r="AW134" s="230">
        <v>17624900</v>
      </c>
      <c r="AX134" s="230">
        <v>-1548314</v>
      </c>
      <c r="AY134" s="229">
        <v>-8.7800000000000003E-2</v>
      </c>
      <c r="AZ134" s="230">
        <v>19570332</v>
      </c>
      <c r="BA134" s="230">
        <v>20382416</v>
      </c>
      <c r="BB134" s="230">
        <v>-812084</v>
      </c>
      <c r="BC134" s="229">
        <v>-3.9800000000000002E-2</v>
      </c>
      <c r="BD134" s="230">
        <v>240948</v>
      </c>
      <c r="BE134" s="230">
        <v>298954</v>
      </c>
      <c r="BF134" s="230">
        <v>-58006</v>
      </c>
      <c r="BG134" s="229">
        <v>-0.19400000000000001</v>
      </c>
      <c r="BH134" s="230">
        <v>23327336</v>
      </c>
      <c r="BI134" s="230">
        <v>41599226</v>
      </c>
      <c r="BJ134" s="230">
        <v>-18271890</v>
      </c>
      <c r="BK134" s="229">
        <v>-0.43919999999999998</v>
      </c>
      <c r="BL134" s="230">
        <v>12025090</v>
      </c>
      <c r="BM134" s="230">
        <v>26789848</v>
      </c>
      <c r="BN134" s="230">
        <v>-14764758</v>
      </c>
      <c r="BO134" s="229">
        <v>-0.55110000000000003</v>
      </c>
      <c r="BP134" s="230">
        <v>71240292</v>
      </c>
      <c r="BQ134" s="230">
        <v>106695344</v>
      </c>
      <c r="BR134" s="230">
        <v>-35455052</v>
      </c>
      <c r="BS134" s="229">
        <v>-0.33229999999999998</v>
      </c>
      <c r="BT134" s="230">
        <v>3782632</v>
      </c>
      <c r="BU134" s="230">
        <v>7450694</v>
      </c>
      <c r="BV134" s="230">
        <v>-3668062</v>
      </c>
      <c r="BW134" s="229">
        <v>-0.49230000000000002</v>
      </c>
      <c r="BX134" s="230">
        <v>50259968</v>
      </c>
      <c r="BY134" s="230">
        <v>56118574</v>
      </c>
      <c r="BZ134" s="230">
        <v>-5858606</v>
      </c>
      <c r="CA134" s="229">
        <v>-0.10440000000000001</v>
      </c>
      <c r="CB134" s="230">
        <v>2953844</v>
      </c>
      <c r="CC134" s="230">
        <v>13145052</v>
      </c>
      <c r="CD134" s="230">
        <v>-10191208</v>
      </c>
      <c r="CE134" s="229">
        <v>-0.77529999999999999</v>
      </c>
      <c r="CF134" s="230">
        <v>48863362</v>
      </c>
      <c r="CG134" s="230">
        <v>41679542</v>
      </c>
      <c r="CH134" s="230">
        <v>7183820</v>
      </c>
      <c r="CI134" s="229">
        <v>0.1724</v>
      </c>
      <c r="CJ134" s="230">
        <v>1396606</v>
      </c>
      <c r="CK134" s="230">
        <v>1293980</v>
      </c>
      <c r="CL134" s="230">
        <v>102626</v>
      </c>
      <c r="CM134" s="229">
        <v>7.9299999999999995E-2</v>
      </c>
      <c r="CN134" s="230">
        <v>19954064</v>
      </c>
      <c r="CO134" s="230">
        <v>43678518</v>
      </c>
      <c r="CP134" s="230">
        <v>-23724454</v>
      </c>
      <c r="CQ134" s="229">
        <v>-0.54320000000000002</v>
      </c>
      <c r="CR134" s="230">
        <v>13586790</v>
      </c>
      <c r="CS134" s="230">
        <v>29359960</v>
      </c>
      <c r="CT134" s="230">
        <v>-15773170</v>
      </c>
      <c r="CU134" s="229">
        <v>-0.53720000000000001</v>
      </c>
      <c r="CV134" s="230">
        <v>83800822</v>
      </c>
      <c r="CW134" s="230">
        <v>129157052</v>
      </c>
      <c r="CX134" s="230">
        <v>-45356230</v>
      </c>
      <c r="CY134" s="229">
        <v>-0.35120000000000001</v>
      </c>
      <c r="CZ134" s="228">
        <v>32.5</v>
      </c>
      <c r="DA134" s="228">
        <v>31.51</v>
      </c>
      <c r="DB134" s="228">
        <v>0.99</v>
      </c>
      <c r="DC134" s="228">
        <v>0.99</v>
      </c>
      <c r="DD134" s="228">
        <v>40.19</v>
      </c>
      <c r="DE134" s="228">
        <v>40.29</v>
      </c>
      <c r="DF134" s="228">
        <v>-7.69</v>
      </c>
      <c r="DG134" s="228">
        <v>-0.1</v>
      </c>
      <c r="DH134" s="228">
        <v>32.700000000000003</v>
      </c>
      <c r="DI134" s="228">
        <v>31.58</v>
      </c>
      <c r="DJ134" s="228">
        <v>1.1200000000000001</v>
      </c>
      <c r="DK134" s="228">
        <v>1.1200000000000001</v>
      </c>
      <c r="DL134" s="228">
        <v>31.99</v>
      </c>
      <c r="DM134" s="228">
        <v>31.41</v>
      </c>
      <c r="DN134" s="228">
        <v>0.57999999999999996</v>
      </c>
      <c r="DO134" s="228">
        <v>0.57999999999999996</v>
      </c>
      <c r="DP134" s="228">
        <v>0.68</v>
      </c>
      <c r="DQ134" s="228">
        <v>0.67</v>
      </c>
      <c r="DR134" s="228">
        <v>0.01</v>
      </c>
      <c r="DS134" s="229">
        <v>1.49E-2</v>
      </c>
      <c r="DT134" s="228">
        <v>220</v>
      </c>
      <c r="DU134" s="228">
        <v>200</v>
      </c>
      <c r="DV134" s="228">
        <v>0.52</v>
      </c>
      <c r="DW134" s="228">
        <v>0.64</v>
      </c>
      <c r="DX134" s="228">
        <v>-0.12</v>
      </c>
      <c r="DY134" s="229">
        <v>-0.1875</v>
      </c>
      <c r="DZ134" s="229">
        <v>0.94450000000000001</v>
      </c>
      <c r="EA134" s="230">
        <v>42973522</v>
      </c>
      <c r="EB134" s="229">
        <v>4.7000000000000002E-3</v>
      </c>
      <c r="EC134" s="229">
        <v>0.94450000000000001</v>
      </c>
      <c r="ED134" s="228">
        <v>0.93</v>
      </c>
      <c r="EE134" s="229">
        <v>4.5999999999999999E-3</v>
      </c>
      <c r="EF134" s="230">
        <v>1499612</v>
      </c>
      <c r="EG134" s="230">
        <v>4112675</v>
      </c>
      <c r="EH134" s="229">
        <v>-0.63539999999999996</v>
      </c>
      <c r="EI134" s="229">
        <v>0.39639999999999997</v>
      </c>
      <c r="EJ134" s="231">
        <v>49809.85</v>
      </c>
      <c r="EK134" s="231">
        <v>24303.13</v>
      </c>
      <c r="EL134" s="231">
        <v>73196.58</v>
      </c>
      <c r="EM134" s="228">
        <v>0</v>
      </c>
      <c r="EN134" s="231">
        <v>147309.56</v>
      </c>
      <c r="EO134" s="231">
        <v>221591.29</v>
      </c>
      <c r="EP134" s="231">
        <v>-74281.73</v>
      </c>
      <c r="EQ134" s="229">
        <v>-0.3352</v>
      </c>
      <c r="ER134" s="231">
        <v>42551</v>
      </c>
      <c r="ES134" s="231">
        <v>26907</v>
      </c>
      <c r="ET134" s="231">
        <v>102374</v>
      </c>
      <c r="EU134" s="231">
        <v>168467595</v>
      </c>
      <c r="EV134" s="231">
        <v>171832</v>
      </c>
      <c r="EW134" s="231">
        <v>265238</v>
      </c>
      <c r="EX134" s="231">
        <v>-93406</v>
      </c>
      <c r="EY134" s="229">
        <v>-0.35220000000000001</v>
      </c>
      <c r="EZ134" s="229">
        <v>0.49740000000000001</v>
      </c>
      <c r="FA134" s="227" t="s">
        <v>568</v>
      </c>
      <c r="FB134" s="161">
        <f t="shared" si="2"/>
        <v>47306124</v>
      </c>
    </row>
    <row r="135" spans="1:158" ht="17.25" thickBot="1" x14ac:dyDescent="0.3">
      <c r="A135" s="226">
        <v>45869</v>
      </c>
      <c r="B135" s="227" t="s">
        <v>221</v>
      </c>
      <c r="C135" s="227" t="s">
        <v>561</v>
      </c>
      <c r="D135" s="228">
        <v>150</v>
      </c>
      <c r="E135" s="231">
        <v>5109</v>
      </c>
      <c r="F135" s="231">
        <v>5126.5</v>
      </c>
      <c r="G135" s="228">
        <v>-17.5</v>
      </c>
      <c r="H135" s="229">
        <v>-3.3999999999999998E-3</v>
      </c>
      <c r="I135" s="231">
        <v>5106</v>
      </c>
      <c r="J135" s="231">
        <v>5139.5</v>
      </c>
      <c r="K135" s="228">
        <v>-33.5</v>
      </c>
      <c r="L135" s="229">
        <v>-6.4999999999999997E-3</v>
      </c>
      <c r="M135" s="231">
        <v>5104</v>
      </c>
      <c r="N135" s="231">
        <v>5146.5</v>
      </c>
      <c r="O135" s="228">
        <v>-42.5</v>
      </c>
      <c r="P135" s="229">
        <v>-8.3000000000000001E-3</v>
      </c>
      <c r="Q135" s="231">
        <v>5109</v>
      </c>
      <c r="R135" s="231">
        <v>5126.5</v>
      </c>
      <c r="S135" s="228">
        <v>-17.5</v>
      </c>
      <c r="T135" s="229">
        <v>-3.3999999999999998E-3</v>
      </c>
      <c r="U135" s="231">
        <v>5116</v>
      </c>
      <c r="V135" s="231">
        <v>5126</v>
      </c>
      <c r="W135" s="228">
        <v>-10</v>
      </c>
      <c r="X135" s="229">
        <v>-2E-3</v>
      </c>
      <c r="Y135" s="228">
        <v>3</v>
      </c>
      <c r="Z135" s="228">
        <v>7</v>
      </c>
      <c r="AA135" s="228">
        <v>-4</v>
      </c>
      <c r="AB135" s="229">
        <v>5.9999999999999995E-4</v>
      </c>
      <c r="AC135" s="228">
        <v>-2</v>
      </c>
      <c r="AD135" s="228">
        <v>7</v>
      </c>
      <c r="AE135" s="228">
        <v>-9</v>
      </c>
      <c r="AF135" s="229">
        <v>-4.0000000000000002E-4</v>
      </c>
      <c r="AG135" s="228">
        <v>3</v>
      </c>
      <c r="AH135" s="228">
        <v>-13</v>
      </c>
      <c r="AI135" s="228">
        <v>16</v>
      </c>
      <c r="AJ135" s="229">
        <v>5.9999999999999995E-4</v>
      </c>
      <c r="AK135" s="228">
        <v>10</v>
      </c>
      <c r="AL135" s="228">
        <v>-13.5</v>
      </c>
      <c r="AM135" s="228">
        <v>23.5</v>
      </c>
      <c r="AN135" s="229">
        <v>2E-3</v>
      </c>
      <c r="AO135" s="231">
        <v>5117.75</v>
      </c>
      <c r="AP135" s="231">
        <v>5108.22</v>
      </c>
      <c r="AQ135" s="228">
        <v>0</v>
      </c>
      <c r="AR135" s="230">
        <v>804450</v>
      </c>
      <c r="AS135" s="230">
        <v>1537500</v>
      </c>
      <c r="AT135" s="230">
        <v>-733050</v>
      </c>
      <c r="AU135" s="229">
        <v>-0.4768</v>
      </c>
      <c r="AV135" s="230">
        <v>315000</v>
      </c>
      <c r="AW135" s="230">
        <v>701400</v>
      </c>
      <c r="AX135" s="230">
        <v>-386400</v>
      </c>
      <c r="AY135" s="229">
        <v>-0.55089999999999995</v>
      </c>
      <c r="AZ135" s="230">
        <v>481650</v>
      </c>
      <c r="BA135" s="230">
        <v>813000</v>
      </c>
      <c r="BB135" s="230">
        <v>-331350</v>
      </c>
      <c r="BC135" s="229">
        <v>-0.40760000000000002</v>
      </c>
      <c r="BD135" s="230">
        <v>7800</v>
      </c>
      <c r="BE135" s="230">
        <v>23100</v>
      </c>
      <c r="BF135" s="230">
        <v>-15300</v>
      </c>
      <c r="BG135" s="229">
        <v>-0.6623</v>
      </c>
      <c r="BH135" s="230">
        <v>727050</v>
      </c>
      <c r="BI135" s="230">
        <v>1198050</v>
      </c>
      <c r="BJ135" s="230">
        <v>-471000</v>
      </c>
      <c r="BK135" s="229">
        <v>-0.3931</v>
      </c>
      <c r="BL135" s="230">
        <v>296400</v>
      </c>
      <c r="BM135" s="230">
        <v>439500</v>
      </c>
      <c r="BN135" s="230">
        <v>-143100</v>
      </c>
      <c r="BO135" s="229">
        <v>-0.3256</v>
      </c>
      <c r="BP135" s="230">
        <v>1827900</v>
      </c>
      <c r="BQ135" s="230">
        <v>3175050</v>
      </c>
      <c r="BR135" s="230">
        <v>-1347150</v>
      </c>
      <c r="BS135" s="229">
        <v>-0.42430000000000001</v>
      </c>
      <c r="BT135" s="230">
        <v>188571</v>
      </c>
      <c r="BU135" s="230">
        <v>157565</v>
      </c>
      <c r="BV135" s="230">
        <v>31006</v>
      </c>
      <c r="BW135" s="229">
        <v>0.1968</v>
      </c>
      <c r="BX135" s="230">
        <v>2490150</v>
      </c>
      <c r="BY135" s="230">
        <v>2682750</v>
      </c>
      <c r="BZ135" s="230">
        <v>-192600</v>
      </c>
      <c r="CA135" s="229">
        <v>-7.1800000000000003E-2</v>
      </c>
      <c r="CB135" s="230">
        <v>120150</v>
      </c>
      <c r="CC135" s="230">
        <v>242700</v>
      </c>
      <c r="CD135" s="230">
        <v>-122550</v>
      </c>
      <c r="CE135" s="229">
        <v>-0.50490000000000002</v>
      </c>
      <c r="CF135" s="230">
        <v>2450700</v>
      </c>
      <c r="CG135" s="230">
        <v>2404650</v>
      </c>
      <c r="CH135" s="230">
        <v>46050</v>
      </c>
      <c r="CI135" s="229">
        <v>1.9199999999999998E-2</v>
      </c>
      <c r="CJ135" s="230">
        <v>39450</v>
      </c>
      <c r="CK135" s="230">
        <v>35400</v>
      </c>
      <c r="CL135" s="230">
        <v>4050</v>
      </c>
      <c r="CM135" s="229">
        <v>0.1144</v>
      </c>
      <c r="CN135" s="230">
        <v>208950</v>
      </c>
      <c r="CO135" s="230">
        <v>883050</v>
      </c>
      <c r="CP135" s="230">
        <v>-674100</v>
      </c>
      <c r="CQ135" s="229">
        <v>-0.76339999999999997</v>
      </c>
      <c r="CR135" s="230">
        <v>158850</v>
      </c>
      <c r="CS135" s="230">
        <v>552150</v>
      </c>
      <c r="CT135" s="230">
        <v>-393300</v>
      </c>
      <c r="CU135" s="229">
        <v>-0.71230000000000004</v>
      </c>
      <c r="CV135" s="230">
        <v>2857950</v>
      </c>
      <c r="CW135" s="230">
        <v>4117950</v>
      </c>
      <c r="CX135" s="230">
        <v>-1260000</v>
      </c>
      <c r="CY135" s="229">
        <v>-0.30599999999999999</v>
      </c>
      <c r="CZ135" s="228">
        <v>24.48</v>
      </c>
      <c r="DA135" s="228">
        <v>24.98</v>
      </c>
      <c r="DB135" s="228">
        <v>-0.5</v>
      </c>
      <c r="DC135" s="228">
        <v>-0.5</v>
      </c>
      <c r="DD135" s="228">
        <v>35.1</v>
      </c>
      <c r="DE135" s="228">
        <v>35.18</v>
      </c>
      <c r="DF135" s="228">
        <v>-10.62</v>
      </c>
      <c r="DG135" s="228">
        <v>-0.08</v>
      </c>
      <c r="DH135" s="228">
        <v>24.12</v>
      </c>
      <c r="DI135" s="228">
        <v>24.72</v>
      </c>
      <c r="DJ135" s="228">
        <v>-0.6</v>
      </c>
      <c r="DK135" s="228">
        <v>-0.6</v>
      </c>
      <c r="DL135" s="228">
        <v>25.23</v>
      </c>
      <c r="DM135" s="228">
        <v>25.65</v>
      </c>
      <c r="DN135" s="228">
        <v>-0.42</v>
      </c>
      <c r="DO135" s="228">
        <v>-0.42</v>
      </c>
      <c r="DP135" s="228">
        <v>0.76</v>
      </c>
      <c r="DQ135" s="228">
        <v>0.63</v>
      </c>
      <c r="DR135" s="228">
        <v>0.13</v>
      </c>
      <c r="DS135" s="229">
        <v>0.20630000000000001</v>
      </c>
      <c r="DT135" s="231">
        <v>6200</v>
      </c>
      <c r="DU135" s="231">
        <v>4500</v>
      </c>
      <c r="DV135" s="228">
        <v>0.41</v>
      </c>
      <c r="DW135" s="228">
        <v>0.37</v>
      </c>
      <c r="DX135" s="228">
        <v>0.04</v>
      </c>
      <c r="DY135" s="229">
        <v>0.1081</v>
      </c>
      <c r="DZ135" s="229">
        <v>0.95399999999999996</v>
      </c>
      <c r="EA135" s="230">
        <v>2440050</v>
      </c>
      <c r="EB135" s="229">
        <v>1E-3</v>
      </c>
      <c r="EC135" s="229">
        <v>0.95399999999999996</v>
      </c>
      <c r="ED135" s="228">
        <v>-9.5299999999999994</v>
      </c>
      <c r="EE135" s="229">
        <v>-1.9E-3</v>
      </c>
      <c r="EF135" s="230">
        <v>120786</v>
      </c>
      <c r="EG135" s="230">
        <v>77406</v>
      </c>
      <c r="EH135" s="229">
        <v>0.56040000000000001</v>
      </c>
      <c r="EI135" s="229">
        <v>0.64049999999999996</v>
      </c>
      <c r="EJ135" s="231">
        <v>39085.22</v>
      </c>
      <c r="EK135" s="231">
        <v>14961.85</v>
      </c>
      <c r="EL135" s="231">
        <v>41123.440000000002</v>
      </c>
      <c r="EM135" s="228">
        <v>0</v>
      </c>
      <c r="EN135" s="231">
        <v>95170.51</v>
      </c>
      <c r="EO135" s="231">
        <v>164322.13</v>
      </c>
      <c r="EP135" s="231">
        <v>-69151.62</v>
      </c>
      <c r="EQ135" s="229">
        <v>-0.42080000000000001</v>
      </c>
      <c r="ER135" s="231">
        <v>11200</v>
      </c>
      <c r="ES135" s="231">
        <v>7911</v>
      </c>
      <c r="ET135" s="231">
        <v>127225</v>
      </c>
      <c r="EU135" s="231">
        <v>18620728</v>
      </c>
      <c r="EV135" s="231">
        <v>146335</v>
      </c>
      <c r="EW135" s="231">
        <v>213903</v>
      </c>
      <c r="EX135" s="231">
        <v>-67568</v>
      </c>
      <c r="EY135" s="229">
        <v>-0.31590000000000001</v>
      </c>
      <c r="EZ135" s="229">
        <v>0.1535</v>
      </c>
      <c r="FA135" s="227" t="s">
        <v>568</v>
      </c>
      <c r="FB135" s="161">
        <f t="shared" si="2"/>
        <v>2370000</v>
      </c>
    </row>
    <row r="136" spans="1:158" ht="17.25" thickBot="1" x14ac:dyDescent="0.3">
      <c r="A136" s="226">
        <v>45869</v>
      </c>
      <c r="B136" s="227" t="s">
        <v>170</v>
      </c>
      <c r="C136" s="227" t="s">
        <v>250</v>
      </c>
      <c r="D136" s="228">
        <v>425</v>
      </c>
      <c r="E136" s="231">
        <v>1935.1</v>
      </c>
      <c r="F136" s="231">
        <v>1995.1</v>
      </c>
      <c r="G136" s="228">
        <v>-60</v>
      </c>
      <c r="H136" s="229">
        <v>-3.0099999999999998E-2</v>
      </c>
      <c r="I136" s="231">
        <v>1929.1</v>
      </c>
      <c r="J136" s="231">
        <v>1984.6</v>
      </c>
      <c r="K136" s="228">
        <v>-55.5</v>
      </c>
      <c r="L136" s="229">
        <v>-2.8000000000000001E-2</v>
      </c>
      <c r="M136" s="231">
        <v>1925.3</v>
      </c>
      <c r="N136" s="231">
        <v>1982.8</v>
      </c>
      <c r="O136" s="228">
        <v>-57.5</v>
      </c>
      <c r="P136" s="229">
        <v>-2.9000000000000001E-2</v>
      </c>
      <c r="Q136" s="231">
        <v>1935.1</v>
      </c>
      <c r="R136" s="231">
        <v>1995.1</v>
      </c>
      <c r="S136" s="228">
        <v>-60</v>
      </c>
      <c r="T136" s="229">
        <v>-3.0099999999999998E-2</v>
      </c>
      <c r="U136" s="231">
        <v>1946</v>
      </c>
      <c r="V136" s="231">
        <v>2006.1</v>
      </c>
      <c r="W136" s="228">
        <v>-60.1</v>
      </c>
      <c r="X136" s="229">
        <v>-0.03</v>
      </c>
      <c r="Y136" s="228">
        <v>6</v>
      </c>
      <c r="Z136" s="228">
        <v>-1.8</v>
      </c>
      <c r="AA136" s="228">
        <v>7.8</v>
      </c>
      <c r="AB136" s="229">
        <v>3.0999999999999999E-3</v>
      </c>
      <c r="AC136" s="228">
        <v>-3.8</v>
      </c>
      <c r="AD136" s="228">
        <v>-1.8</v>
      </c>
      <c r="AE136" s="228">
        <v>-2</v>
      </c>
      <c r="AF136" s="229">
        <v>-2E-3</v>
      </c>
      <c r="AG136" s="228">
        <v>6</v>
      </c>
      <c r="AH136" s="228">
        <v>10.5</v>
      </c>
      <c r="AI136" s="228">
        <v>-4.5</v>
      </c>
      <c r="AJ136" s="229">
        <v>3.0999999999999999E-3</v>
      </c>
      <c r="AK136" s="228">
        <v>16.899999999999999</v>
      </c>
      <c r="AL136" s="228">
        <v>21.5</v>
      </c>
      <c r="AM136" s="228">
        <v>-4.5999999999999996</v>
      </c>
      <c r="AN136" s="229">
        <v>8.8000000000000005E-3</v>
      </c>
      <c r="AO136" s="231">
        <v>1935.25</v>
      </c>
      <c r="AP136" s="231">
        <v>1945.75</v>
      </c>
      <c r="AQ136" s="228">
        <v>0</v>
      </c>
      <c r="AR136" s="230">
        <v>8724400</v>
      </c>
      <c r="AS136" s="230">
        <v>7716725</v>
      </c>
      <c r="AT136" s="230">
        <v>1007675</v>
      </c>
      <c r="AU136" s="229">
        <v>0.13059999999999999</v>
      </c>
      <c r="AV136" s="230">
        <v>3618025</v>
      </c>
      <c r="AW136" s="230">
        <v>3754025</v>
      </c>
      <c r="AX136" s="230">
        <v>-136000</v>
      </c>
      <c r="AY136" s="229">
        <v>-3.6200000000000003E-2</v>
      </c>
      <c r="AZ136" s="230">
        <v>5043475</v>
      </c>
      <c r="BA136" s="230">
        <v>3937625</v>
      </c>
      <c r="BB136" s="230">
        <v>1105850</v>
      </c>
      <c r="BC136" s="229">
        <v>0.28079999999999999</v>
      </c>
      <c r="BD136" s="230">
        <v>62900</v>
      </c>
      <c r="BE136" s="230">
        <v>25075</v>
      </c>
      <c r="BF136" s="230">
        <v>37825</v>
      </c>
      <c r="BG136" s="229">
        <v>1.5085</v>
      </c>
      <c r="BH136" s="230">
        <v>3261025</v>
      </c>
      <c r="BI136" s="230">
        <v>3228725</v>
      </c>
      <c r="BJ136" s="230">
        <v>32300</v>
      </c>
      <c r="BK136" s="229">
        <v>0.01</v>
      </c>
      <c r="BL136" s="230">
        <v>3003050</v>
      </c>
      <c r="BM136" s="230">
        <v>1369350</v>
      </c>
      <c r="BN136" s="230">
        <v>1633700</v>
      </c>
      <c r="BO136" s="229">
        <v>1.1930000000000001</v>
      </c>
      <c r="BP136" s="230">
        <v>14988475</v>
      </c>
      <c r="BQ136" s="230">
        <v>12314800</v>
      </c>
      <c r="BR136" s="230">
        <v>2673675</v>
      </c>
      <c r="BS136" s="229">
        <v>0.21709999999999999</v>
      </c>
      <c r="BT136" s="230">
        <v>1122881</v>
      </c>
      <c r="BU136" s="230">
        <v>767344</v>
      </c>
      <c r="BV136" s="230">
        <v>355537</v>
      </c>
      <c r="BW136" s="229">
        <v>0.46329999999999999</v>
      </c>
      <c r="BX136" s="230">
        <v>11527275</v>
      </c>
      <c r="BY136" s="230">
        <v>13066200</v>
      </c>
      <c r="BZ136" s="230">
        <v>-1538925</v>
      </c>
      <c r="CA136" s="229">
        <v>-0.1178</v>
      </c>
      <c r="CB136" s="230">
        <v>323000</v>
      </c>
      <c r="CC136" s="230">
        <v>2830500</v>
      </c>
      <c r="CD136" s="230">
        <v>-2507500</v>
      </c>
      <c r="CE136" s="229">
        <v>-0.88590000000000002</v>
      </c>
      <c r="CF136" s="230">
        <v>11462675</v>
      </c>
      <c r="CG136" s="230">
        <v>10198725</v>
      </c>
      <c r="CH136" s="230">
        <v>1263950</v>
      </c>
      <c r="CI136" s="229">
        <v>0.1239</v>
      </c>
      <c r="CJ136" s="230">
        <v>64600</v>
      </c>
      <c r="CK136" s="230">
        <v>36975</v>
      </c>
      <c r="CL136" s="230">
        <v>27625</v>
      </c>
      <c r="CM136" s="229">
        <v>0.74709999999999999</v>
      </c>
      <c r="CN136" s="230">
        <v>1144950</v>
      </c>
      <c r="CO136" s="230">
        <v>2914225</v>
      </c>
      <c r="CP136" s="230">
        <v>-1769275</v>
      </c>
      <c r="CQ136" s="229">
        <v>-0.60709999999999997</v>
      </c>
      <c r="CR136" s="230">
        <v>902700</v>
      </c>
      <c r="CS136" s="230">
        <v>2407625</v>
      </c>
      <c r="CT136" s="230">
        <v>-1504925</v>
      </c>
      <c r="CU136" s="229">
        <v>-0.62509999999999999</v>
      </c>
      <c r="CV136" s="230">
        <v>13574925</v>
      </c>
      <c r="CW136" s="230">
        <v>18388050</v>
      </c>
      <c r="CX136" s="230">
        <v>-4813125</v>
      </c>
      <c r="CY136" s="229">
        <v>-0.26179999999999998</v>
      </c>
      <c r="CZ136" s="228">
        <v>32.24</v>
      </c>
      <c r="DA136" s="228">
        <v>31.32</v>
      </c>
      <c r="DB136" s="228">
        <v>0.92</v>
      </c>
      <c r="DC136" s="228">
        <v>0.92</v>
      </c>
      <c r="DD136" s="228">
        <v>33.26</v>
      </c>
      <c r="DE136" s="228">
        <v>33.130000000000003</v>
      </c>
      <c r="DF136" s="228">
        <v>-1.02</v>
      </c>
      <c r="DG136" s="228">
        <v>0.13</v>
      </c>
      <c r="DH136" s="228">
        <v>32.61</v>
      </c>
      <c r="DI136" s="228">
        <v>31.16</v>
      </c>
      <c r="DJ136" s="228">
        <v>1.45</v>
      </c>
      <c r="DK136" s="228">
        <v>1.45</v>
      </c>
      <c r="DL136" s="228">
        <v>31.75</v>
      </c>
      <c r="DM136" s="228">
        <v>31.68</v>
      </c>
      <c r="DN136" s="228">
        <v>7.0000000000000007E-2</v>
      </c>
      <c r="DO136" s="228">
        <v>7.0000000000000007E-2</v>
      </c>
      <c r="DP136" s="228">
        <v>0.79</v>
      </c>
      <c r="DQ136" s="228">
        <v>0.83</v>
      </c>
      <c r="DR136" s="228">
        <v>-0.04</v>
      </c>
      <c r="DS136" s="229">
        <v>-4.82E-2</v>
      </c>
      <c r="DT136" s="231">
        <v>2000</v>
      </c>
      <c r="DU136" s="231">
        <v>1800</v>
      </c>
      <c r="DV136" s="228">
        <v>0.92</v>
      </c>
      <c r="DW136" s="228">
        <v>0.42</v>
      </c>
      <c r="DX136" s="228">
        <v>0.5</v>
      </c>
      <c r="DY136" s="229">
        <v>1.1904999999999999</v>
      </c>
      <c r="DZ136" s="229">
        <v>0.97270000000000001</v>
      </c>
      <c r="EA136" s="230">
        <v>10235700</v>
      </c>
      <c r="EB136" s="229">
        <v>5.1000000000000004E-3</v>
      </c>
      <c r="EC136" s="229">
        <v>0.97270000000000001</v>
      </c>
      <c r="ED136" s="228">
        <v>10.5</v>
      </c>
      <c r="EE136" s="229">
        <v>5.4000000000000003E-3</v>
      </c>
      <c r="EF136" s="230">
        <v>486887</v>
      </c>
      <c r="EG136" s="230">
        <v>428525</v>
      </c>
      <c r="EH136" s="229">
        <v>0.13619999999999999</v>
      </c>
      <c r="EI136" s="229">
        <v>0.43359999999999999</v>
      </c>
      <c r="EJ136" s="231">
        <v>66678.460000000006</v>
      </c>
      <c r="EK136" s="231">
        <v>58305.78</v>
      </c>
      <c r="EL136" s="231">
        <v>169381.44</v>
      </c>
      <c r="EM136" s="228">
        <v>0</v>
      </c>
      <c r="EN136" s="231">
        <v>294365.68</v>
      </c>
      <c r="EO136" s="231">
        <v>246214.75</v>
      </c>
      <c r="EP136" s="231">
        <v>48150.93</v>
      </c>
      <c r="EQ136" s="229">
        <v>0.1956</v>
      </c>
      <c r="ER136" s="231">
        <v>23467</v>
      </c>
      <c r="ES136" s="231">
        <v>17154</v>
      </c>
      <c r="ET136" s="231">
        <v>223071</v>
      </c>
      <c r="EU136" s="231">
        <v>48471506</v>
      </c>
      <c r="EV136" s="231">
        <v>263692</v>
      </c>
      <c r="EW136" s="231">
        <v>365478</v>
      </c>
      <c r="EX136" s="231">
        <v>-101786</v>
      </c>
      <c r="EY136" s="229">
        <v>-0.27850000000000003</v>
      </c>
      <c r="EZ136" s="229">
        <v>0.28010000000000002</v>
      </c>
      <c r="FA136" s="227" t="s">
        <v>568</v>
      </c>
      <c r="FB136" s="161">
        <f t="shared" si="2"/>
        <v>11204275</v>
      </c>
    </row>
    <row r="137" spans="1:158" ht="17.25" thickBot="1" x14ac:dyDescent="0.3">
      <c r="A137" s="226">
        <v>45869</v>
      </c>
      <c r="B137" s="227" t="s">
        <v>162</v>
      </c>
      <c r="C137" s="227" t="s">
        <v>251</v>
      </c>
      <c r="D137" s="228">
        <v>200</v>
      </c>
      <c r="E137" s="231">
        <v>3215.6</v>
      </c>
      <c r="F137" s="231">
        <v>3228.2</v>
      </c>
      <c r="G137" s="228">
        <v>-12.6</v>
      </c>
      <c r="H137" s="229">
        <v>-3.8999999999999998E-3</v>
      </c>
      <c r="I137" s="231">
        <v>3203.1</v>
      </c>
      <c r="J137" s="231">
        <v>3208.9</v>
      </c>
      <c r="K137" s="228">
        <v>-5.8</v>
      </c>
      <c r="L137" s="229">
        <v>-1.8E-3</v>
      </c>
      <c r="M137" s="231">
        <v>3196</v>
      </c>
      <c r="N137" s="231">
        <v>3210.2</v>
      </c>
      <c r="O137" s="228">
        <v>-14.2</v>
      </c>
      <c r="P137" s="229">
        <v>-4.4000000000000003E-3</v>
      </c>
      <c r="Q137" s="231">
        <v>3215.6</v>
      </c>
      <c r="R137" s="231">
        <v>3228.2</v>
      </c>
      <c r="S137" s="228">
        <v>-12.6</v>
      </c>
      <c r="T137" s="229">
        <v>-3.8999999999999998E-3</v>
      </c>
      <c r="U137" s="231">
        <v>3232.8</v>
      </c>
      <c r="V137" s="231">
        <v>3251</v>
      </c>
      <c r="W137" s="228">
        <v>-18.2</v>
      </c>
      <c r="X137" s="229">
        <v>-5.5999999999999999E-3</v>
      </c>
      <c r="Y137" s="228">
        <v>12.5</v>
      </c>
      <c r="Z137" s="228">
        <v>1.3</v>
      </c>
      <c r="AA137" s="228">
        <v>11.2</v>
      </c>
      <c r="AB137" s="229">
        <v>3.8999999999999998E-3</v>
      </c>
      <c r="AC137" s="228">
        <v>-7.1</v>
      </c>
      <c r="AD137" s="228">
        <v>1.3</v>
      </c>
      <c r="AE137" s="228">
        <v>-8.4</v>
      </c>
      <c r="AF137" s="229">
        <v>-2.2000000000000001E-3</v>
      </c>
      <c r="AG137" s="228">
        <v>12.5</v>
      </c>
      <c r="AH137" s="228">
        <v>19.3</v>
      </c>
      <c r="AI137" s="228">
        <v>-6.8</v>
      </c>
      <c r="AJ137" s="229">
        <v>3.8999999999999998E-3</v>
      </c>
      <c r="AK137" s="228">
        <v>29.7</v>
      </c>
      <c r="AL137" s="228">
        <v>42.1</v>
      </c>
      <c r="AM137" s="228">
        <v>-12.4</v>
      </c>
      <c r="AN137" s="229">
        <v>9.2999999999999992E-3</v>
      </c>
      <c r="AO137" s="231">
        <v>3199.33</v>
      </c>
      <c r="AP137" s="231">
        <v>3208.73</v>
      </c>
      <c r="AQ137" s="228">
        <v>0</v>
      </c>
      <c r="AR137" s="230">
        <v>10710800</v>
      </c>
      <c r="AS137" s="230">
        <v>14710400</v>
      </c>
      <c r="AT137" s="230">
        <v>-3999600</v>
      </c>
      <c r="AU137" s="229">
        <v>-0.27189999999999998</v>
      </c>
      <c r="AV137" s="230">
        <v>3210000</v>
      </c>
      <c r="AW137" s="230">
        <v>6446200</v>
      </c>
      <c r="AX137" s="230">
        <v>-3236200</v>
      </c>
      <c r="AY137" s="229">
        <v>-0.502</v>
      </c>
      <c r="AZ137" s="230">
        <v>7353600</v>
      </c>
      <c r="BA137" s="230">
        <v>8201600</v>
      </c>
      <c r="BB137" s="230">
        <v>-848000</v>
      </c>
      <c r="BC137" s="229">
        <v>-0.10340000000000001</v>
      </c>
      <c r="BD137" s="230">
        <v>147200</v>
      </c>
      <c r="BE137" s="230">
        <v>62600</v>
      </c>
      <c r="BF137" s="230">
        <v>84600</v>
      </c>
      <c r="BG137" s="229">
        <v>1.3513999999999999</v>
      </c>
      <c r="BH137" s="230">
        <v>26863000</v>
      </c>
      <c r="BI137" s="230">
        <v>19473000</v>
      </c>
      <c r="BJ137" s="230">
        <v>7390000</v>
      </c>
      <c r="BK137" s="229">
        <v>0.3795</v>
      </c>
      <c r="BL137" s="230">
        <v>11604400</v>
      </c>
      <c r="BM137" s="230">
        <v>9041200</v>
      </c>
      <c r="BN137" s="230">
        <v>2563200</v>
      </c>
      <c r="BO137" s="229">
        <v>0.28349999999999997</v>
      </c>
      <c r="BP137" s="230">
        <v>49178200</v>
      </c>
      <c r="BQ137" s="230">
        <v>43224600</v>
      </c>
      <c r="BR137" s="230">
        <v>5953600</v>
      </c>
      <c r="BS137" s="229">
        <v>0.13769999999999999</v>
      </c>
      <c r="BT137" s="230">
        <v>4592637</v>
      </c>
      <c r="BU137" s="230">
        <v>2299965</v>
      </c>
      <c r="BV137" s="230">
        <v>2292672</v>
      </c>
      <c r="BW137" s="229">
        <v>0.99680000000000002</v>
      </c>
      <c r="BX137" s="230">
        <v>23340600</v>
      </c>
      <c r="BY137" s="230">
        <v>23699000</v>
      </c>
      <c r="BZ137" s="230">
        <v>-358400</v>
      </c>
      <c r="CA137" s="229">
        <v>-1.5100000000000001E-2</v>
      </c>
      <c r="CB137" s="230">
        <v>314600</v>
      </c>
      <c r="CC137" s="230">
        <v>1777000</v>
      </c>
      <c r="CD137" s="230">
        <v>-1462400</v>
      </c>
      <c r="CE137" s="229">
        <v>-0.82299999999999995</v>
      </c>
      <c r="CF137" s="230">
        <v>22357800</v>
      </c>
      <c r="CG137" s="230">
        <v>20983000</v>
      </c>
      <c r="CH137" s="230">
        <v>1374800</v>
      </c>
      <c r="CI137" s="229">
        <v>6.5500000000000003E-2</v>
      </c>
      <c r="CJ137" s="230">
        <v>982800</v>
      </c>
      <c r="CK137" s="230">
        <v>939000</v>
      </c>
      <c r="CL137" s="230">
        <v>43800</v>
      </c>
      <c r="CM137" s="229">
        <v>4.6600000000000003E-2</v>
      </c>
      <c r="CN137" s="230">
        <v>3336000</v>
      </c>
      <c r="CO137" s="230">
        <v>5817800</v>
      </c>
      <c r="CP137" s="230">
        <v>-2481800</v>
      </c>
      <c r="CQ137" s="229">
        <v>-0.42659999999999998</v>
      </c>
      <c r="CR137" s="230">
        <v>2084800</v>
      </c>
      <c r="CS137" s="230">
        <v>3448000</v>
      </c>
      <c r="CT137" s="230">
        <v>-1363200</v>
      </c>
      <c r="CU137" s="229">
        <v>-0.39539999999999997</v>
      </c>
      <c r="CV137" s="230">
        <v>28761400</v>
      </c>
      <c r="CW137" s="230">
        <v>32964800</v>
      </c>
      <c r="CX137" s="230">
        <v>-4203400</v>
      </c>
      <c r="CY137" s="229">
        <v>-0.1275</v>
      </c>
      <c r="CZ137" s="228">
        <v>29.4</v>
      </c>
      <c r="DA137" s="228">
        <v>31.3</v>
      </c>
      <c r="DB137" s="228">
        <v>-1.9</v>
      </c>
      <c r="DC137" s="228">
        <v>-1.9</v>
      </c>
      <c r="DD137" s="228">
        <v>34.369999999999997</v>
      </c>
      <c r="DE137" s="228">
        <v>34.46</v>
      </c>
      <c r="DF137" s="228">
        <v>-4.97</v>
      </c>
      <c r="DG137" s="228">
        <v>-0.09</v>
      </c>
      <c r="DH137" s="228">
        <v>29.23</v>
      </c>
      <c r="DI137" s="228">
        <v>31.26</v>
      </c>
      <c r="DJ137" s="228">
        <v>-2.0299999999999998</v>
      </c>
      <c r="DK137" s="228">
        <v>-2.0299999999999998</v>
      </c>
      <c r="DL137" s="228">
        <v>29.81</v>
      </c>
      <c r="DM137" s="228">
        <v>31.36</v>
      </c>
      <c r="DN137" s="228">
        <v>-1.55</v>
      </c>
      <c r="DO137" s="228">
        <v>-1.55</v>
      </c>
      <c r="DP137" s="228">
        <v>0.62</v>
      </c>
      <c r="DQ137" s="228">
        <v>0.59</v>
      </c>
      <c r="DR137" s="228">
        <v>0.03</v>
      </c>
      <c r="DS137" s="229">
        <v>5.0799999999999998E-2</v>
      </c>
      <c r="DT137" s="231">
        <v>3400</v>
      </c>
      <c r="DU137" s="231">
        <v>3200</v>
      </c>
      <c r="DV137" s="228">
        <v>0.43</v>
      </c>
      <c r="DW137" s="228">
        <v>0.46</v>
      </c>
      <c r="DX137" s="228">
        <v>-0.03</v>
      </c>
      <c r="DY137" s="229">
        <v>-6.5199999999999994E-2</v>
      </c>
      <c r="DZ137" s="229">
        <v>0.98670000000000002</v>
      </c>
      <c r="EA137" s="230">
        <v>21922000</v>
      </c>
      <c r="EB137" s="229">
        <v>6.1000000000000004E-3</v>
      </c>
      <c r="EC137" s="229">
        <v>0.98670000000000002</v>
      </c>
      <c r="ED137" s="228">
        <v>9.4</v>
      </c>
      <c r="EE137" s="229">
        <v>2.8999999999999998E-3</v>
      </c>
      <c r="EF137" s="230">
        <v>2060444</v>
      </c>
      <c r="EG137" s="230">
        <v>1265894</v>
      </c>
      <c r="EH137" s="229">
        <v>0.62770000000000004</v>
      </c>
      <c r="EI137" s="229">
        <v>0.4486</v>
      </c>
      <c r="EJ137" s="231">
        <v>898092.59</v>
      </c>
      <c r="EK137" s="231">
        <v>366384.68</v>
      </c>
      <c r="EL137" s="231">
        <v>343405.75</v>
      </c>
      <c r="EM137" s="228">
        <v>0</v>
      </c>
      <c r="EN137" s="231">
        <v>1607883.02</v>
      </c>
      <c r="EO137" s="231">
        <v>1408070.18</v>
      </c>
      <c r="EP137" s="231">
        <v>199812.84</v>
      </c>
      <c r="EQ137" s="229">
        <v>0.1419</v>
      </c>
      <c r="ER137" s="231">
        <v>111037</v>
      </c>
      <c r="ES137" s="231">
        <v>64383</v>
      </c>
      <c r="ET137" s="231">
        <v>750709</v>
      </c>
      <c r="EU137" s="231">
        <v>190580808</v>
      </c>
      <c r="EV137" s="231">
        <v>926129</v>
      </c>
      <c r="EW137" s="231">
        <v>1064943</v>
      </c>
      <c r="EX137" s="231">
        <v>-138814</v>
      </c>
      <c r="EY137" s="229">
        <v>-0.1303</v>
      </c>
      <c r="EZ137" s="229">
        <v>0.15090000000000001</v>
      </c>
      <c r="FA137" s="227" t="s">
        <v>568</v>
      </c>
      <c r="FB137" s="161">
        <f t="shared" si="2"/>
        <v>23026000</v>
      </c>
    </row>
    <row r="138" spans="1:158" ht="17.25" thickBot="1" x14ac:dyDescent="0.3">
      <c r="A138" s="226">
        <v>45869</v>
      </c>
      <c r="B138" s="227" t="s">
        <v>175</v>
      </c>
      <c r="C138" s="227" t="s">
        <v>252</v>
      </c>
      <c r="D138" s="228">
        <v>2056</v>
      </c>
      <c r="E138" s="228">
        <v>0</v>
      </c>
      <c r="F138" s="228">
        <v>0</v>
      </c>
      <c r="G138" s="228">
        <v>0</v>
      </c>
      <c r="H138" s="229">
        <v>0</v>
      </c>
      <c r="I138" s="228">
        <v>257.5</v>
      </c>
      <c r="J138" s="228">
        <v>257.64999999999998</v>
      </c>
      <c r="K138" s="228">
        <v>-0.15</v>
      </c>
      <c r="L138" s="229">
        <v>-5.9999999999999995E-4</v>
      </c>
      <c r="M138" s="228">
        <v>257.14999999999998</v>
      </c>
      <c r="N138" s="228">
        <v>257.35000000000002</v>
      </c>
      <c r="O138" s="228">
        <v>-0.2</v>
      </c>
      <c r="P138" s="229">
        <v>-8.0000000000000004E-4</v>
      </c>
      <c r="Q138" s="228">
        <v>0</v>
      </c>
      <c r="R138" s="228">
        <v>0</v>
      </c>
      <c r="S138" s="228">
        <v>0</v>
      </c>
      <c r="T138" s="229">
        <v>0</v>
      </c>
      <c r="U138" s="228">
        <v>0</v>
      </c>
      <c r="V138" s="228">
        <v>0</v>
      </c>
      <c r="W138" s="228">
        <v>0</v>
      </c>
      <c r="X138" s="229">
        <v>0</v>
      </c>
      <c r="Y138" s="228">
        <v>0</v>
      </c>
      <c r="Z138" s="228">
        <v>-0.3</v>
      </c>
      <c r="AA138" s="228">
        <v>0</v>
      </c>
      <c r="AB138" s="229">
        <v>0</v>
      </c>
      <c r="AC138" s="228">
        <v>-0.35</v>
      </c>
      <c r="AD138" s="228">
        <v>-0.3</v>
      </c>
      <c r="AE138" s="228">
        <v>-0.05</v>
      </c>
      <c r="AF138" s="229">
        <v>-1.4E-3</v>
      </c>
      <c r="AG138" s="228">
        <v>0</v>
      </c>
      <c r="AH138" s="228">
        <v>0</v>
      </c>
      <c r="AI138" s="228">
        <v>0</v>
      </c>
      <c r="AJ138" s="229">
        <v>0</v>
      </c>
      <c r="AK138" s="228">
        <v>0</v>
      </c>
      <c r="AL138" s="228">
        <v>0</v>
      </c>
      <c r="AM138" s="228">
        <v>0</v>
      </c>
      <c r="AN138" s="229">
        <v>0</v>
      </c>
      <c r="AO138" s="228">
        <v>256.33999999999997</v>
      </c>
      <c r="AP138" s="228">
        <v>0</v>
      </c>
      <c r="AQ138" s="228">
        <v>0</v>
      </c>
      <c r="AR138" s="230">
        <v>6509296</v>
      </c>
      <c r="AS138" s="230">
        <v>6087816</v>
      </c>
      <c r="AT138" s="230">
        <v>421480</v>
      </c>
      <c r="AU138" s="229">
        <v>6.9199999999999998E-2</v>
      </c>
      <c r="AV138" s="230">
        <v>6509296</v>
      </c>
      <c r="AW138" s="230">
        <v>6087816</v>
      </c>
      <c r="AX138" s="230">
        <v>421480</v>
      </c>
      <c r="AY138" s="229">
        <v>6.9199999999999998E-2</v>
      </c>
      <c r="AZ138" s="228">
        <v>0</v>
      </c>
      <c r="BA138" s="228">
        <v>0</v>
      </c>
      <c r="BB138" s="228">
        <v>0</v>
      </c>
      <c r="BC138" s="229">
        <v>0</v>
      </c>
      <c r="BD138" s="228">
        <v>0</v>
      </c>
      <c r="BE138" s="228">
        <v>0</v>
      </c>
      <c r="BF138" s="228">
        <v>0</v>
      </c>
      <c r="BG138" s="229">
        <v>0</v>
      </c>
      <c r="BH138" s="230">
        <v>4644504</v>
      </c>
      <c r="BI138" s="230">
        <v>8010176</v>
      </c>
      <c r="BJ138" s="230">
        <v>-3365672</v>
      </c>
      <c r="BK138" s="229">
        <v>-0.42020000000000002</v>
      </c>
      <c r="BL138" s="230">
        <v>1554336</v>
      </c>
      <c r="BM138" s="230">
        <v>2290384</v>
      </c>
      <c r="BN138" s="230">
        <v>-736048</v>
      </c>
      <c r="BO138" s="229">
        <v>-0.32140000000000002</v>
      </c>
      <c r="BP138" s="230">
        <v>12708136</v>
      </c>
      <c r="BQ138" s="230">
        <v>16388376</v>
      </c>
      <c r="BR138" s="230">
        <v>-3680240</v>
      </c>
      <c r="BS138" s="229">
        <v>-0.22459999999999999</v>
      </c>
      <c r="BT138" s="230">
        <v>6794339</v>
      </c>
      <c r="BU138" s="230">
        <v>6411027</v>
      </c>
      <c r="BV138" s="230">
        <v>383312</v>
      </c>
      <c r="BW138" s="229">
        <v>5.9799999999999999E-2</v>
      </c>
      <c r="BX138" s="228">
        <v>0</v>
      </c>
      <c r="BY138" s="230">
        <v>6198840</v>
      </c>
      <c r="BZ138" s="230">
        <v>-6198840</v>
      </c>
      <c r="CA138" s="229">
        <v>-1</v>
      </c>
      <c r="CB138" s="230">
        <v>2722144</v>
      </c>
      <c r="CC138" s="230">
        <v>6198840</v>
      </c>
      <c r="CD138" s="230">
        <v>-3476696</v>
      </c>
      <c r="CE138" s="229">
        <v>-0.56089999999999995</v>
      </c>
      <c r="CF138" s="228">
        <v>0</v>
      </c>
      <c r="CG138" s="228">
        <v>0</v>
      </c>
      <c r="CH138" s="228">
        <v>0</v>
      </c>
      <c r="CI138" s="229">
        <v>0</v>
      </c>
      <c r="CJ138" s="228">
        <v>0</v>
      </c>
      <c r="CK138" s="228">
        <v>0</v>
      </c>
      <c r="CL138" s="228">
        <v>0</v>
      </c>
      <c r="CM138" s="229">
        <v>0</v>
      </c>
      <c r="CN138" s="230">
        <v>7907376</v>
      </c>
      <c r="CO138" s="230">
        <v>9852352</v>
      </c>
      <c r="CP138" s="230">
        <v>-1944976</v>
      </c>
      <c r="CQ138" s="229">
        <v>-0.19739999999999999</v>
      </c>
      <c r="CR138" s="230">
        <v>3324552</v>
      </c>
      <c r="CS138" s="230">
        <v>3789208</v>
      </c>
      <c r="CT138" s="230">
        <v>-464656</v>
      </c>
      <c r="CU138" s="229">
        <v>-0.1226</v>
      </c>
      <c r="CV138" s="230">
        <v>11231928</v>
      </c>
      <c r="CW138" s="230">
        <v>19840400</v>
      </c>
      <c r="CX138" s="230">
        <v>-8608472</v>
      </c>
      <c r="CY138" s="229">
        <v>-0.43390000000000001</v>
      </c>
      <c r="CZ138" s="228">
        <v>36.92</v>
      </c>
      <c r="DA138" s="228">
        <v>36.92</v>
      </c>
      <c r="DB138" s="228">
        <v>0</v>
      </c>
      <c r="DC138" s="228">
        <v>0</v>
      </c>
      <c r="DD138" s="228">
        <v>36.92</v>
      </c>
      <c r="DE138" s="228">
        <v>36.92</v>
      </c>
      <c r="DF138" s="228">
        <v>0</v>
      </c>
      <c r="DG138" s="228">
        <v>0</v>
      </c>
      <c r="DH138" s="228">
        <v>36.92</v>
      </c>
      <c r="DI138" s="228">
        <v>36.92</v>
      </c>
      <c r="DJ138" s="228">
        <v>0</v>
      </c>
      <c r="DK138" s="228">
        <v>0</v>
      </c>
      <c r="DL138" s="228">
        <v>36.92</v>
      </c>
      <c r="DM138" s="228">
        <v>36.92</v>
      </c>
      <c r="DN138" s="228">
        <v>0</v>
      </c>
      <c r="DO138" s="228">
        <v>0</v>
      </c>
      <c r="DP138" s="228">
        <v>0.42</v>
      </c>
      <c r="DQ138" s="228">
        <v>0.38</v>
      </c>
      <c r="DR138" s="228">
        <v>0.04</v>
      </c>
      <c r="DS138" s="229">
        <v>0.1053</v>
      </c>
      <c r="DT138" s="228">
        <v>273.5</v>
      </c>
      <c r="DU138" s="228">
        <v>223.5</v>
      </c>
      <c r="DV138" s="228">
        <v>0.33</v>
      </c>
      <c r="DW138" s="228">
        <v>0.28999999999999998</v>
      </c>
      <c r="DX138" s="228">
        <v>0.04</v>
      </c>
      <c r="DY138" s="229">
        <v>0.13789999999999999</v>
      </c>
      <c r="DZ138" s="229">
        <v>0</v>
      </c>
      <c r="EA138" s="228">
        <v>0</v>
      </c>
      <c r="EB138" s="229">
        <v>0</v>
      </c>
      <c r="EC138" s="229">
        <v>0</v>
      </c>
      <c r="ED138" s="228">
        <v>0</v>
      </c>
      <c r="EE138" s="229">
        <v>0</v>
      </c>
      <c r="EF138" s="230">
        <v>4816772</v>
      </c>
      <c r="EG138" s="230">
        <v>4484907</v>
      </c>
      <c r="EH138" s="229">
        <v>7.3999999999999996E-2</v>
      </c>
      <c r="EI138" s="229">
        <v>0.70889999999999997</v>
      </c>
      <c r="EJ138" s="231">
        <v>12248.75</v>
      </c>
      <c r="EK138" s="231">
        <v>4056.47</v>
      </c>
      <c r="EL138" s="231">
        <v>16686</v>
      </c>
      <c r="EM138" s="228">
        <v>0</v>
      </c>
      <c r="EN138" s="231">
        <v>32991.22</v>
      </c>
      <c r="EO138" s="231">
        <v>42581.23</v>
      </c>
      <c r="EP138" s="231">
        <v>-9590.01</v>
      </c>
      <c r="EQ138" s="229">
        <v>-0.22520000000000001</v>
      </c>
      <c r="ER138" s="228">
        <v>0</v>
      </c>
      <c r="ES138" s="228">
        <v>0</v>
      </c>
      <c r="ET138" s="228">
        <v>0</v>
      </c>
      <c r="EU138" s="231">
        <v>131950203</v>
      </c>
      <c r="EV138" s="228">
        <v>0</v>
      </c>
      <c r="EW138" s="231">
        <v>52566</v>
      </c>
      <c r="EX138" s="231">
        <v>-52566</v>
      </c>
      <c r="EY138" s="229">
        <v>-1</v>
      </c>
      <c r="EZ138" s="229">
        <v>8.5099999999999995E-2</v>
      </c>
      <c r="FA138" s="227" t="s">
        <v>237</v>
      </c>
      <c r="FB138" s="161">
        <f t="shared" si="2"/>
        <v>-2722144</v>
      </c>
    </row>
    <row r="139" spans="1:158" ht="17.25" thickBot="1" x14ac:dyDescent="0.3">
      <c r="A139" s="226">
        <v>45869</v>
      </c>
      <c r="B139" s="227" t="s">
        <v>175</v>
      </c>
      <c r="C139" s="227" t="s">
        <v>253</v>
      </c>
      <c r="D139" s="228">
        <v>3000</v>
      </c>
      <c r="E139" s="228">
        <v>254.4</v>
      </c>
      <c r="F139" s="228">
        <v>257.25</v>
      </c>
      <c r="G139" s="228">
        <v>-2.85</v>
      </c>
      <c r="H139" s="229">
        <v>-1.11E-2</v>
      </c>
      <c r="I139" s="228">
        <v>253.05</v>
      </c>
      <c r="J139" s="228">
        <v>256.55</v>
      </c>
      <c r="K139" s="228">
        <v>-3.5</v>
      </c>
      <c r="L139" s="229">
        <v>-1.3599999999999999E-2</v>
      </c>
      <c r="M139" s="228">
        <v>253.35</v>
      </c>
      <c r="N139" s="228">
        <v>256.45</v>
      </c>
      <c r="O139" s="228">
        <v>-3.1</v>
      </c>
      <c r="P139" s="229">
        <v>-1.21E-2</v>
      </c>
      <c r="Q139" s="228">
        <v>254.4</v>
      </c>
      <c r="R139" s="228">
        <v>257.25</v>
      </c>
      <c r="S139" s="228">
        <v>-2.85</v>
      </c>
      <c r="T139" s="229">
        <v>-1.11E-2</v>
      </c>
      <c r="U139" s="228">
        <v>256.05</v>
      </c>
      <c r="V139" s="228">
        <v>258.3</v>
      </c>
      <c r="W139" s="228">
        <v>-2.25</v>
      </c>
      <c r="X139" s="229">
        <v>-8.6999999999999994E-3</v>
      </c>
      <c r="Y139" s="228">
        <v>1.35</v>
      </c>
      <c r="Z139" s="228">
        <v>-0.1</v>
      </c>
      <c r="AA139" s="228">
        <v>1.45</v>
      </c>
      <c r="AB139" s="229">
        <v>5.3E-3</v>
      </c>
      <c r="AC139" s="228">
        <v>0.3</v>
      </c>
      <c r="AD139" s="228">
        <v>-0.1</v>
      </c>
      <c r="AE139" s="228">
        <v>0.4</v>
      </c>
      <c r="AF139" s="229">
        <v>1.1999999999999999E-3</v>
      </c>
      <c r="AG139" s="228">
        <v>1.35</v>
      </c>
      <c r="AH139" s="228">
        <v>0.7</v>
      </c>
      <c r="AI139" s="228">
        <v>0.65</v>
      </c>
      <c r="AJ139" s="229">
        <v>5.3E-3</v>
      </c>
      <c r="AK139" s="228">
        <v>3</v>
      </c>
      <c r="AL139" s="228">
        <v>1.75</v>
      </c>
      <c r="AM139" s="228">
        <v>1.25</v>
      </c>
      <c r="AN139" s="229">
        <v>1.1900000000000001E-2</v>
      </c>
      <c r="AO139" s="228">
        <v>253.51</v>
      </c>
      <c r="AP139" s="228">
        <v>254.41</v>
      </c>
      <c r="AQ139" s="228">
        <v>0</v>
      </c>
      <c r="AR139" s="230">
        <v>14553000</v>
      </c>
      <c r="AS139" s="230">
        <v>18078000</v>
      </c>
      <c r="AT139" s="230">
        <v>-3525000</v>
      </c>
      <c r="AU139" s="229">
        <v>-0.19500000000000001</v>
      </c>
      <c r="AV139" s="230">
        <v>6519000</v>
      </c>
      <c r="AW139" s="230">
        <v>8769000</v>
      </c>
      <c r="AX139" s="230">
        <v>-2250000</v>
      </c>
      <c r="AY139" s="229">
        <v>-0.25659999999999999</v>
      </c>
      <c r="AZ139" s="230">
        <v>7995000</v>
      </c>
      <c r="BA139" s="230">
        <v>9222000</v>
      </c>
      <c r="BB139" s="230">
        <v>-1227000</v>
      </c>
      <c r="BC139" s="229">
        <v>-0.1331</v>
      </c>
      <c r="BD139" s="230">
        <v>39000</v>
      </c>
      <c r="BE139" s="230">
        <v>87000</v>
      </c>
      <c r="BF139" s="230">
        <v>-48000</v>
      </c>
      <c r="BG139" s="229">
        <v>-0.55169999999999997</v>
      </c>
      <c r="BH139" s="230">
        <v>9030000</v>
      </c>
      <c r="BI139" s="230">
        <v>13269000</v>
      </c>
      <c r="BJ139" s="230">
        <v>-4239000</v>
      </c>
      <c r="BK139" s="229">
        <v>-0.31950000000000001</v>
      </c>
      <c r="BL139" s="230">
        <v>10512000</v>
      </c>
      <c r="BM139" s="230">
        <v>14349000</v>
      </c>
      <c r="BN139" s="230">
        <v>-3837000</v>
      </c>
      <c r="BO139" s="229">
        <v>-0.26740000000000003</v>
      </c>
      <c r="BP139" s="230">
        <v>34095000</v>
      </c>
      <c r="BQ139" s="230">
        <v>45696000</v>
      </c>
      <c r="BR139" s="230">
        <v>-11601000</v>
      </c>
      <c r="BS139" s="229">
        <v>-0.25390000000000001</v>
      </c>
      <c r="BT139" s="230">
        <v>2806549</v>
      </c>
      <c r="BU139" s="230">
        <v>3418054</v>
      </c>
      <c r="BV139" s="230">
        <v>-611505</v>
      </c>
      <c r="BW139" s="229">
        <v>-0.1789</v>
      </c>
      <c r="BX139" s="230">
        <v>20775000</v>
      </c>
      <c r="BY139" s="230">
        <v>21693000</v>
      </c>
      <c r="BZ139" s="230">
        <v>-918000</v>
      </c>
      <c r="CA139" s="229">
        <v>-4.2299999999999997E-2</v>
      </c>
      <c r="CB139" s="230">
        <v>2703000</v>
      </c>
      <c r="CC139" s="230">
        <v>4737000</v>
      </c>
      <c r="CD139" s="230">
        <v>-2034000</v>
      </c>
      <c r="CE139" s="229">
        <v>-0.4294</v>
      </c>
      <c r="CF139" s="230">
        <v>20547000</v>
      </c>
      <c r="CG139" s="230">
        <v>16737000</v>
      </c>
      <c r="CH139" s="230">
        <v>3810000</v>
      </c>
      <c r="CI139" s="229">
        <v>0.2276</v>
      </c>
      <c r="CJ139" s="230">
        <v>228000</v>
      </c>
      <c r="CK139" s="230">
        <v>219000</v>
      </c>
      <c r="CL139" s="230">
        <v>9000</v>
      </c>
      <c r="CM139" s="229">
        <v>4.1099999999999998E-2</v>
      </c>
      <c r="CN139" s="230">
        <v>5952000</v>
      </c>
      <c r="CO139" s="230">
        <v>13830000</v>
      </c>
      <c r="CP139" s="230">
        <v>-7878000</v>
      </c>
      <c r="CQ139" s="229">
        <v>-0.5696</v>
      </c>
      <c r="CR139" s="230">
        <v>9174000</v>
      </c>
      <c r="CS139" s="230">
        <v>14541000</v>
      </c>
      <c r="CT139" s="230">
        <v>-5367000</v>
      </c>
      <c r="CU139" s="229">
        <v>-0.36909999999999998</v>
      </c>
      <c r="CV139" s="230">
        <v>35901000</v>
      </c>
      <c r="CW139" s="230">
        <v>50064000</v>
      </c>
      <c r="CX139" s="230">
        <v>-14163000</v>
      </c>
      <c r="CY139" s="229">
        <v>-0.28289999999999998</v>
      </c>
      <c r="CZ139" s="228">
        <v>26.7</v>
      </c>
      <c r="DA139" s="228">
        <v>28.57</v>
      </c>
      <c r="DB139" s="228">
        <v>-1.87</v>
      </c>
      <c r="DC139" s="228">
        <v>-1.87</v>
      </c>
      <c r="DD139" s="228">
        <v>45.41</v>
      </c>
      <c r="DE139" s="228">
        <v>45.48</v>
      </c>
      <c r="DF139" s="228">
        <v>-18.71</v>
      </c>
      <c r="DG139" s="228">
        <v>-7.0000000000000007E-2</v>
      </c>
      <c r="DH139" s="228">
        <v>27.04</v>
      </c>
      <c r="DI139" s="228">
        <v>29.43</v>
      </c>
      <c r="DJ139" s="228">
        <v>-2.39</v>
      </c>
      <c r="DK139" s="228">
        <v>-2.39</v>
      </c>
      <c r="DL139" s="228">
        <v>26.45</v>
      </c>
      <c r="DM139" s="228">
        <v>28.22</v>
      </c>
      <c r="DN139" s="228">
        <v>-1.77</v>
      </c>
      <c r="DO139" s="228">
        <v>-1.77</v>
      </c>
      <c r="DP139" s="228">
        <v>1.54</v>
      </c>
      <c r="DQ139" s="228">
        <v>1.05</v>
      </c>
      <c r="DR139" s="228">
        <v>0.49</v>
      </c>
      <c r="DS139" s="229">
        <v>0.4667</v>
      </c>
      <c r="DT139" s="228">
        <v>280</v>
      </c>
      <c r="DU139" s="228">
        <v>240</v>
      </c>
      <c r="DV139" s="228">
        <v>1.1599999999999999</v>
      </c>
      <c r="DW139" s="228">
        <v>1.08</v>
      </c>
      <c r="DX139" s="228">
        <v>0.08</v>
      </c>
      <c r="DY139" s="229">
        <v>7.4099999999999999E-2</v>
      </c>
      <c r="DZ139" s="229">
        <v>0.88490000000000002</v>
      </c>
      <c r="EA139" s="230">
        <v>16956000</v>
      </c>
      <c r="EB139" s="229">
        <v>4.1000000000000003E-3</v>
      </c>
      <c r="EC139" s="229">
        <v>0.88490000000000002</v>
      </c>
      <c r="ED139" s="228">
        <v>0.9</v>
      </c>
      <c r="EE139" s="229">
        <v>3.5999999999999999E-3</v>
      </c>
      <c r="EF139" s="230">
        <v>1335224</v>
      </c>
      <c r="EG139" s="230">
        <v>1556174</v>
      </c>
      <c r="EH139" s="229">
        <v>-0.14199999999999999</v>
      </c>
      <c r="EI139" s="229">
        <v>0.4758</v>
      </c>
      <c r="EJ139" s="231">
        <v>24167.06</v>
      </c>
      <c r="EK139" s="231">
        <v>26619.42</v>
      </c>
      <c r="EL139" s="231">
        <v>36966.01</v>
      </c>
      <c r="EM139" s="228">
        <v>0</v>
      </c>
      <c r="EN139" s="231">
        <v>87752.49</v>
      </c>
      <c r="EO139" s="231">
        <v>118283.07</v>
      </c>
      <c r="EP139" s="231">
        <v>-30530.58</v>
      </c>
      <c r="EQ139" s="229">
        <v>-0.2581</v>
      </c>
      <c r="ER139" s="231">
        <v>16336</v>
      </c>
      <c r="ES139" s="231">
        <v>22409</v>
      </c>
      <c r="ET139" s="231">
        <v>52855</v>
      </c>
      <c r="EU139" s="231">
        <v>109606743</v>
      </c>
      <c r="EV139" s="231">
        <v>91601</v>
      </c>
      <c r="EW139" s="231">
        <v>131062</v>
      </c>
      <c r="EX139" s="231">
        <v>-39461</v>
      </c>
      <c r="EY139" s="229">
        <v>-0.30109999999999998</v>
      </c>
      <c r="EZ139" s="229">
        <v>0.32750000000000001</v>
      </c>
      <c r="FA139" s="227" t="s">
        <v>568</v>
      </c>
      <c r="FB139" s="161">
        <f>BX139-CB139</f>
        <v>18072000</v>
      </c>
    </row>
    <row r="140" spans="1:158" ht="17.25" thickBot="1" x14ac:dyDescent="0.3">
      <c r="A140" s="226">
        <v>45869</v>
      </c>
      <c r="B140" s="227" t="s">
        <v>170</v>
      </c>
      <c r="C140" s="227" t="s">
        <v>674</v>
      </c>
      <c r="D140" s="228">
        <v>225</v>
      </c>
      <c r="E140" s="231">
        <v>2567.6</v>
      </c>
      <c r="F140" s="231">
        <v>2573.1</v>
      </c>
      <c r="G140" s="228">
        <v>-5.5</v>
      </c>
      <c r="H140" s="229">
        <v>-2.0999999999999999E-3</v>
      </c>
      <c r="I140" s="231">
        <v>2567.1999999999998</v>
      </c>
      <c r="J140" s="231">
        <v>2575.5</v>
      </c>
      <c r="K140" s="228">
        <v>-8.3000000000000007</v>
      </c>
      <c r="L140" s="229">
        <v>-3.2000000000000002E-3</v>
      </c>
      <c r="M140" s="231">
        <v>2572.1999999999998</v>
      </c>
      <c r="N140" s="231">
        <v>2571.4</v>
      </c>
      <c r="O140" s="228">
        <v>0.8</v>
      </c>
      <c r="P140" s="229">
        <v>2.9999999999999997E-4</v>
      </c>
      <c r="Q140" s="231">
        <v>2567.6</v>
      </c>
      <c r="R140" s="231">
        <v>2573.1</v>
      </c>
      <c r="S140" s="228">
        <v>-5.5</v>
      </c>
      <c r="T140" s="229">
        <v>-2.0999999999999999E-3</v>
      </c>
      <c r="U140" s="231">
        <v>2570.6</v>
      </c>
      <c r="V140" s="231">
        <v>2575.5</v>
      </c>
      <c r="W140" s="228">
        <v>-4.9000000000000004</v>
      </c>
      <c r="X140" s="229">
        <v>-1.9E-3</v>
      </c>
      <c r="Y140" s="228">
        <v>0.4</v>
      </c>
      <c r="Z140" s="228">
        <v>-4.0999999999999996</v>
      </c>
      <c r="AA140" s="228">
        <v>4.5</v>
      </c>
      <c r="AB140" s="229">
        <v>2.0000000000000001E-4</v>
      </c>
      <c r="AC140" s="228">
        <v>5</v>
      </c>
      <c r="AD140" s="228">
        <v>-4.0999999999999996</v>
      </c>
      <c r="AE140" s="228">
        <v>9.1</v>
      </c>
      <c r="AF140" s="229">
        <v>1.9E-3</v>
      </c>
      <c r="AG140" s="228">
        <v>0.4</v>
      </c>
      <c r="AH140" s="228">
        <v>-2.4</v>
      </c>
      <c r="AI140" s="228">
        <v>2.8</v>
      </c>
      <c r="AJ140" s="229">
        <v>2.0000000000000001E-4</v>
      </c>
      <c r="AK140" s="228">
        <v>3.4</v>
      </c>
      <c r="AL140" s="228">
        <v>0</v>
      </c>
      <c r="AM140" s="228">
        <v>3.4</v>
      </c>
      <c r="AN140" s="229">
        <v>1.2999999999999999E-3</v>
      </c>
      <c r="AO140" s="231">
        <v>2573.54</v>
      </c>
      <c r="AP140" s="231">
        <v>2572.4499999999998</v>
      </c>
      <c r="AQ140" s="228">
        <v>0</v>
      </c>
      <c r="AR140" s="230">
        <v>1939275</v>
      </c>
      <c r="AS140" s="230">
        <v>1620225</v>
      </c>
      <c r="AT140" s="230">
        <v>319050</v>
      </c>
      <c r="AU140" s="229">
        <v>0.19689999999999999</v>
      </c>
      <c r="AV140" s="230">
        <v>679275</v>
      </c>
      <c r="AW140" s="230">
        <v>680400</v>
      </c>
      <c r="AX140" s="230">
        <v>-1125</v>
      </c>
      <c r="AY140" s="229">
        <v>-1.6999999999999999E-3</v>
      </c>
      <c r="AZ140" s="230">
        <v>1251225</v>
      </c>
      <c r="BA140" s="230">
        <v>938700</v>
      </c>
      <c r="BB140" s="230">
        <v>312525</v>
      </c>
      <c r="BC140" s="229">
        <v>0.33289999999999997</v>
      </c>
      <c r="BD140" s="230">
        <v>8775</v>
      </c>
      <c r="BE140" s="230">
        <v>1125</v>
      </c>
      <c r="BF140" s="230">
        <v>7650</v>
      </c>
      <c r="BG140" s="229">
        <v>6.8</v>
      </c>
      <c r="BH140" s="230">
        <v>1849725</v>
      </c>
      <c r="BI140" s="230">
        <v>1944450</v>
      </c>
      <c r="BJ140" s="230">
        <v>-94725</v>
      </c>
      <c r="BK140" s="229">
        <v>-4.87E-2</v>
      </c>
      <c r="BL140" s="230">
        <v>961875</v>
      </c>
      <c r="BM140" s="230">
        <v>653850</v>
      </c>
      <c r="BN140" s="230">
        <v>308025</v>
      </c>
      <c r="BO140" s="229">
        <v>0.47110000000000002</v>
      </c>
      <c r="BP140" s="230">
        <v>4750875</v>
      </c>
      <c r="BQ140" s="230">
        <v>4218525</v>
      </c>
      <c r="BR140" s="230">
        <v>532350</v>
      </c>
      <c r="BS140" s="229">
        <v>0.12620000000000001</v>
      </c>
      <c r="BT140" s="230">
        <v>466670</v>
      </c>
      <c r="BU140" s="230">
        <v>774538</v>
      </c>
      <c r="BV140" s="230">
        <v>-307868</v>
      </c>
      <c r="BW140" s="229">
        <v>-0.39750000000000002</v>
      </c>
      <c r="BX140" s="230">
        <v>1610775</v>
      </c>
      <c r="BY140" s="230">
        <v>1845675</v>
      </c>
      <c r="BZ140" s="230">
        <v>-234900</v>
      </c>
      <c r="CA140" s="229">
        <v>-0.1273</v>
      </c>
      <c r="CB140" s="230">
        <v>193950</v>
      </c>
      <c r="CC140" s="230">
        <v>405450</v>
      </c>
      <c r="CD140" s="230">
        <v>-211500</v>
      </c>
      <c r="CE140" s="229">
        <v>-0.52159999999999995</v>
      </c>
      <c r="CF140" s="230">
        <v>1595025</v>
      </c>
      <c r="CG140" s="230">
        <v>1428975</v>
      </c>
      <c r="CH140" s="230">
        <v>166050</v>
      </c>
      <c r="CI140" s="229">
        <v>0.1162</v>
      </c>
      <c r="CJ140" s="230">
        <v>15750</v>
      </c>
      <c r="CK140" s="230">
        <v>11250</v>
      </c>
      <c r="CL140" s="230">
        <v>4500</v>
      </c>
      <c r="CM140" s="229">
        <v>0.4</v>
      </c>
      <c r="CN140" s="230">
        <v>312750</v>
      </c>
      <c r="CO140" s="230">
        <v>967050</v>
      </c>
      <c r="CP140" s="230">
        <v>-654300</v>
      </c>
      <c r="CQ140" s="229">
        <v>-0.67659999999999998</v>
      </c>
      <c r="CR140" s="230">
        <v>176850</v>
      </c>
      <c r="CS140" s="230">
        <v>677700</v>
      </c>
      <c r="CT140" s="230">
        <v>-500850</v>
      </c>
      <c r="CU140" s="229">
        <v>-0.73899999999999999</v>
      </c>
      <c r="CV140" s="230">
        <v>2100375</v>
      </c>
      <c r="CW140" s="230">
        <v>3490425</v>
      </c>
      <c r="CX140" s="230">
        <v>-1390050</v>
      </c>
      <c r="CY140" s="229">
        <v>-0.3982</v>
      </c>
      <c r="CZ140" s="228">
        <v>37.68</v>
      </c>
      <c r="DA140" s="228">
        <v>38.950000000000003</v>
      </c>
      <c r="DB140" s="228">
        <v>-1.27</v>
      </c>
      <c r="DC140" s="228">
        <v>-1.27</v>
      </c>
      <c r="DD140" s="228">
        <v>37.03</v>
      </c>
      <c r="DE140" s="228">
        <v>37.119999999999997</v>
      </c>
      <c r="DF140" s="228">
        <v>0.65</v>
      </c>
      <c r="DG140" s="228">
        <v>-0.09</v>
      </c>
      <c r="DH140" s="228">
        <v>37.450000000000003</v>
      </c>
      <c r="DI140" s="228">
        <v>39.18</v>
      </c>
      <c r="DJ140" s="228">
        <v>-1.73</v>
      </c>
      <c r="DK140" s="228">
        <v>-1.73</v>
      </c>
      <c r="DL140" s="228">
        <v>38.159999999999997</v>
      </c>
      <c r="DM140" s="228">
        <v>38.450000000000003</v>
      </c>
      <c r="DN140" s="228">
        <v>-0.28999999999999998</v>
      </c>
      <c r="DO140" s="228">
        <v>-0.28999999999999998</v>
      </c>
      <c r="DP140" s="228">
        <v>0.56999999999999995</v>
      </c>
      <c r="DQ140" s="228">
        <v>0.7</v>
      </c>
      <c r="DR140" s="228">
        <v>-0.13</v>
      </c>
      <c r="DS140" s="229">
        <v>-0.1857</v>
      </c>
      <c r="DT140" s="231">
        <v>2600</v>
      </c>
      <c r="DU140" s="231">
        <v>2500</v>
      </c>
      <c r="DV140" s="228">
        <v>0.52</v>
      </c>
      <c r="DW140" s="228">
        <v>0.34</v>
      </c>
      <c r="DX140" s="228">
        <v>0.18</v>
      </c>
      <c r="DY140" s="229">
        <v>0.52939999999999998</v>
      </c>
      <c r="DZ140" s="229">
        <v>0.89249999999999996</v>
      </c>
      <c r="EA140" s="230">
        <v>1440225</v>
      </c>
      <c r="EB140" s="229">
        <v>-1.8E-3</v>
      </c>
      <c r="EC140" s="229">
        <v>0.89249999999999996</v>
      </c>
      <c r="ED140" s="228">
        <v>-1.0900000000000001</v>
      </c>
      <c r="EE140" s="229">
        <v>-4.0000000000000002E-4</v>
      </c>
      <c r="EF140" s="230">
        <v>129557</v>
      </c>
      <c r="EG140" s="230">
        <v>429513</v>
      </c>
      <c r="EH140" s="229">
        <v>-0.69840000000000002</v>
      </c>
      <c r="EI140" s="229">
        <v>0.27760000000000001</v>
      </c>
      <c r="EJ140" s="231">
        <v>50392.09</v>
      </c>
      <c r="EK140" s="231">
        <v>24605.68</v>
      </c>
      <c r="EL140" s="231">
        <v>49894.62</v>
      </c>
      <c r="EM140" s="228">
        <v>0</v>
      </c>
      <c r="EN140" s="231">
        <v>124892.39</v>
      </c>
      <c r="EO140" s="231">
        <v>111675.36</v>
      </c>
      <c r="EP140" s="231">
        <v>13217.03</v>
      </c>
      <c r="EQ140" s="229">
        <v>0.11840000000000001</v>
      </c>
      <c r="ER140" s="231">
        <v>8441</v>
      </c>
      <c r="ES140" s="231">
        <v>4317</v>
      </c>
      <c r="ET140" s="231">
        <v>41359</v>
      </c>
      <c r="EU140" s="231">
        <v>22523583</v>
      </c>
      <c r="EV140" s="231">
        <v>54117</v>
      </c>
      <c r="EW140" s="231">
        <v>89937</v>
      </c>
      <c r="EX140" s="231">
        <v>-35820</v>
      </c>
      <c r="EY140" s="229">
        <v>-0.39829999999999999</v>
      </c>
      <c r="EZ140" s="229">
        <v>9.3299999999999994E-2</v>
      </c>
      <c r="FA140" s="227" t="s">
        <v>568</v>
      </c>
      <c r="FB140" s="161">
        <f>BX140-CB140</f>
        <v>1416825</v>
      </c>
    </row>
    <row r="141" spans="1:158" ht="17.25" thickBot="1" x14ac:dyDescent="0.3">
      <c r="A141" s="226">
        <v>45869</v>
      </c>
      <c r="B141" s="227" t="s">
        <v>168</v>
      </c>
      <c r="C141" s="227" t="s">
        <v>254</v>
      </c>
      <c r="D141" s="228">
        <v>1200</v>
      </c>
      <c r="E141" s="228">
        <v>705.25</v>
      </c>
      <c r="F141" s="228">
        <v>700.25</v>
      </c>
      <c r="G141" s="228">
        <v>5</v>
      </c>
      <c r="H141" s="229">
        <v>7.1000000000000004E-3</v>
      </c>
      <c r="I141" s="228">
        <v>709.8</v>
      </c>
      <c r="J141" s="228">
        <v>703.05</v>
      </c>
      <c r="K141" s="228">
        <v>6.75</v>
      </c>
      <c r="L141" s="229">
        <v>9.5999999999999992E-3</v>
      </c>
      <c r="M141" s="228">
        <v>708.15</v>
      </c>
      <c r="N141" s="228">
        <v>703.15</v>
      </c>
      <c r="O141" s="228">
        <v>5</v>
      </c>
      <c r="P141" s="229">
        <v>7.1000000000000004E-3</v>
      </c>
      <c r="Q141" s="228">
        <v>705.25</v>
      </c>
      <c r="R141" s="228">
        <v>700.25</v>
      </c>
      <c r="S141" s="228">
        <v>5</v>
      </c>
      <c r="T141" s="229">
        <v>7.1000000000000004E-3</v>
      </c>
      <c r="U141" s="228">
        <v>710</v>
      </c>
      <c r="V141" s="228">
        <v>704</v>
      </c>
      <c r="W141" s="228">
        <v>6</v>
      </c>
      <c r="X141" s="229">
        <v>8.5000000000000006E-3</v>
      </c>
      <c r="Y141" s="228">
        <v>-4.55</v>
      </c>
      <c r="Z141" s="228">
        <v>0.1</v>
      </c>
      <c r="AA141" s="228">
        <v>-4.6500000000000004</v>
      </c>
      <c r="AB141" s="229">
        <v>-6.4000000000000003E-3</v>
      </c>
      <c r="AC141" s="228">
        <v>-1.65</v>
      </c>
      <c r="AD141" s="228">
        <v>0.1</v>
      </c>
      <c r="AE141" s="228">
        <v>-1.75</v>
      </c>
      <c r="AF141" s="229">
        <v>-2.3E-3</v>
      </c>
      <c r="AG141" s="228">
        <v>-4.55</v>
      </c>
      <c r="AH141" s="228">
        <v>-2.8</v>
      </c>
      <c r="AI141" s="228">
        <v>-1.75</v>
      </c>
      <c r="AJ141" s="229">
        <v>-6.4000000000000003E-3</v>
      </c>
      <c r="AK141" s="228">
        <v>0.2</v>
      </c>
      <c r="AL141" s="228">
        <v>0.95</v>
      </c>
      <c r="AM141" s="228">
        <v>-0.75</v>
      </c>
      <c r="AN141" s="229">
        <v>2.9999999999999997E-4</v>
      </c>
      <c r="AO141" s="228">
        <v>707.63</v>
      </c>
      <c r="AP141" s="228">
        <v>705.03</v>
      </c>
      <c r="AQ141" s="228">
        <v>0</v>
      </c>
      <c r="AR141" s="230">
        <v>7082400</v>
      </c>
      <c r="AS141" s="230">
        <v>10802400</v>
      </c>
      <c r="AT141" s="230">
        <v>-3720000</v>
      </c>
      <c r="AU141" s="229">
        <v>-0.34439999999999998</v>
      </c>
      <c r="AV141" s="230">
        <v>2571600</v>
      </c>
      <c r="AW141" s="230">
        <v>5112000</v>
      </c>
      <c r="AX141" s="230">
        <v>-2540400</v>
      </c>
      <c r="AY141" s="229">
        <v>-0.49690000000000001</v>
      </c>
      <c r="AZ141" s="230">
        <v>4476000</v>
      </c>
      <c r="BA141" s="230">
        <v>5671200</v>
      </c>
      <c r="BB141" s="230">
        <v>-1195200</v>
      </c>
      <c r="BC141" s="229">
        <v>-0.2107</v>
      </c>
      <c r="BD141" s="230">
        <v>34800</v>
      </c>
      <c r="BE141" s="230">
        <v>19200</v>
      </c>
      <c r="BF141" s="230">
        <v>15600</v>
      </c>
      <c r="BG141" s="229">
        <v>0.8125</v>
      </c>
      <c r="BH141" s="230">
        <v>5470800</v>
      </c>
      <c r="BI141" s="230">
        <v>3196800</v>
      </c>
      <c r="BJ141" s="230">
        <v>2274000</v>
      </c>
      <c r="BK141" s="229">
        <v>0.71130000000000004</v>
      </c>
      <c r="BL141" s="230">
        <v>1928400</v>
      </c>
      <c r="BM141" s="230">
        <v>1748400</v>
      </c>
      <c r="BN141" s="230">
        <v>180000</v>
      </c>
      <c r="BO141" s="229">
        <v>0.10299999999999999</v>
      </c>
      <c r="BP141" s="230">
        <v>14481600</v>
      </c>
      <c r="BQ141" s="230">
        <v>15747600</v>
      </c>
      <c r="BR141" s="230">
        <v>-1266000</v>
      </c>
      <c r="BS141" s="229">
        <v>-8.0399999999999999E-2</v>
      </c>
      <c r="BT141" s="230">
        <v>2907932</v>
      </c>
      <c r="BU141" s="230">
        <v>2219628</v>
      </c>
      <c r="BV141" s="230">
        <v>688304</v>
      </c>
      <c r="BW141" s="229">
        <v>0.31009999999999999</v>
      </c>
      <c r="BX141" s="230">
        <v>20955600</v>
      </c>
      <c r="BY141" s="230">
        <v>21289200</v>
      </c>
      <c r="BZ141" s="230">
        <v>-333600</v>
      </c>
      <c r="CA141" s="229">
        <v>-1.5699999999999999E-2</v>
      </c>
      <c r="CB141" s="230">
        <v>433200</v>
      </c>
      <c r="CC141" s="230">
        <v>1350000</v>
      </c>
      <c r="CD141" s="230">
        <v>-916800</v>
      </c>
      <c r="CE141" s="229">
        <v>-0.67910000000000004</v>
      </c>
      <c r="CF141" s="230">
        <v>20872800</v>
      </c>
      <c r="CG141" s="230">
        <v>19860000</v>
      </c>
      <c r="CH141" s="230">
        <v>1012800</v>
      </c>
      <c r="CI141" s="229">
        <v>5.0999999999999997E-2</v>
      </c>
      <c r="CJ141" s="230">
        <v>82800</v>
      </c>
      <c r="CK141" s="230">
        <v>79200</v>
      </c>
      <c r="CL141" s="230">
        <v>3600</v>
      </c>
      <c r="CM141" s="229">
        <v>4.5499999999999999E-2</v>
      </c>
      <c r="CN141" s="230">
        <v>1222800</v>
      </c>
      <c r="CO141" s="230">
        <v>5904000</v>
      </c>
      <c r="CP141" s="230">
        <v>-4681200</v>
      </c>
      <c r="CQ141" s="229">
        <v>-0.79290000000000005</v>
      </c>
      <c r="CR141" s="230">
        <v>928800</v>
      </c>
      <c r="CS141" s="230">
        <v>3392400</v>
      </c>
      <c r="CT141" s="230">
        <v>-2463600</v>
      </c>
      <c r="CU141" s="229">
        <v>-0.72619999999999996</v>
      </c>
      <c r="CV141" s="230">
        <v>23107200</v>
      </c>
      <c r="CW141" s="230">
        <v>30585600</v>
      </c>
      <c r="CX141" s="230">
        <v>-7478400</v>
      </c>
      <c r="CY141" s="229">
        <v>-0.2445</v>
      </c>
      <c r="CZ141" s="228">
        <v>27.04</v>
      </c>
      <c r="DA141" s="228">
        <v>27.11</v>
      </c>
      <c r="DB141" s="228">
        <v>-7.0000000000000007E-2</v>
      </c>
      <c r="DC141" s="228">
        <v>-7.0000000000000007E-2</v>
      </c>
      <c r="DD141" s="228">
        <v>27.4</v>
      </c>
      <c r="DE141" s="228">
        <v>27.44</v>
      </c>
      <c r="DF141" s="228">
        <v>-0.36</v>
      </c>
      <c r="DG141" s="228">
        <v>-0.04</v>
      </c>
      <c r="DH141" s="228">
        <v>27.07</v>
      </c>
      <c r="DI141" s="228">
        <v>27.16</v>
      </c>
      <c r="DJ141" s="228">
        <v>-0.09</v>
      </c>
      <c r="DK141" s="228">
        <v>-0.09</v>
      </c>
      <c r="DL141" s="228">
        <v>26.9</v>
      </c>
      <c r="DM141" s="228">
        <v>26.99</v>
      </c>
      <c r="DN141" s="228">
        <v>-0.09</v>
      </c>
      <c r="DO141" s="228">
        <v>-0.09</v>
      </c>
      <c r="DP141" s="228">
        <v>0.76</v>
      </c>
      <c r="DQ141" s="228">
        <v>0.56999999999999995</v>
      </c>
      <c r="DR141" s="228">
        <v>0.19</v>
      </c>
      <c r="DS141" s="229">
        <v>0.33329999999999999</v>
      </c>
      <c r="DT141" s="228">
        <v>740</v>
      </c>
      <c r="DU141" s="228">
        <v>640</v>
      </c>
      <c r="DV141" s="228">
        <v>0.35</v>
      </c>
      <c r="DW141" s="228">
        <v>0.55000000000000004</v>
      </c>
      <c r="DX141" s="228">
        <v>-0.2</v>
      </c>
      <c r="DY141" s="229">
        <v>-0.36359999999999998</v>
      </c>
      <c r="DZ141" s="229">
        <v>0.97970000000000002</v>
      </c>
      <c r="EA141" s="230">
        <v>19939200</v>
      </c>
      <c r="EB141" s="229">
        <v>-4.1000000000000003E-3</v>
      </c>
      <c r="EC141" s="229">
        <v>0.97970000000000002</v>
      </c>
      <c r="ED141" s="228">
        <v>-2.6</v>
      </c>
      <c r="EE141" s="229">
        <v>-3.7000000000000002E-3</v>
      </c>
      <c r="EF141" s="230">
        <v>1617324</v>
      </c>
      <c r="EG141" s="230">
        <v>1597529</v>
      </c>
      <c r="EH141" s="229">
        <v>1.24E-2</v>
      </c>
      <c r="EI141" s="229">
        <v>0.55620000000000003</v>
      </c>
      <c r="EJ141" s="231">
        <v>40121.42</v>
      </c>
      <c r="EK141" s="231">
        <v>13566.53</v>
      </c>
      <c r="EL141" s="231">
        <v>50001.14</v>
      </c>
      <c r="EM141" s="228">
        <v>0</v>
      </c>
      <c r="EN141" s="231">
        <v>103689.09</v>
      </c>
      <c r="EO141" s="231">
        <v>111081.14</v>
      </c>
      <c r="EP141" s="231">
        <v>-7392.05</v>
      </c>
      <c r="EQ141" s="229">
        <v>-6.6500000000000004E-2</v>
      </c>
      <c r="ER141" s="231">
        <v>8912</v>
      </c>
      <c r="ES141" s="231">
        <v>6357</v>
      </c>
      <c r="ET141" s="231">
        <v>147793</v>
      </c>
      <c r="EU141" s="231">
        <v>105777701</v>
      </c>
      <c r="EV141" s="231">
        <v>163062</v>
      </c>
      <c r="EW141" s="231">
        <v>217077</v>
      </c>
      <c r="EX141" s="231">
        <v>-54015</v>
      </c>
      <c r="EY141" s="229">
        <v>-0.24879999999999999</v>
      </c>
      <c r="EZ141" s="229">
        <v>0.2185</v>
      </c>
      <c r="FA141" s="227" t="s">
        <v>556</v>
      </c>
      <c r="FB141" s="161">
        <f>BX231-CB231</f>
        <v>8151300</v>
      </c>
    </row>
    <row r="142" spans="1:158" ht="17.25" thickBot="1" x14ac:dyDescent="0.3">
      <c r="A142" s="226">
        <v>45869</v>
      </c>
      <c r="B142" s="227" t="s">
        <v>162</v>
      </c>
      <c r="C142" s="227" t="s">
        <v>255</v>
      </c>
      <c r="D142" s="228">
        <v>50</v>
      </c>
      <c r="E142" s="231">
        <v>12551</v>
      </c>
      <c r="F142" s="231">
        <v>12542</v>
      </c>
      <c r="G142" s="228">
        <v>9</v>
      </c>
      <c r="H142" s="229">
        <v>6.9999999999999999E-4</v>
      </c>
      <c r="I142" s="231">
        <v>12608</v>
      </c>
      <c r="J142" s="231">
        <v>12618</v>
      </c>
      <c r="K142" s="228">
        <v>-10</v>
      </c>
      <c r="L142" s="229">
        <v>-8.0000000000000004E-4</v>
      </c>
      <c r="M142" s="231">
        <v>12624</v>
      </c>
      <c r="N142" s="231">
        <v>12621</v>
      </c>
      <c r="O142" s="228">
        <v>3</v>
      </c>
      <c r="P142" s="229">
        <v>2.0000000000000001E-4</v>
      </c>
      <c r="Q142" s="231">
        <v>12551</v>
      </c>
      <c r="R142" s="231">
        <v>12542</v>
      </c>
      <c r="S142" s="228">
        <v>9</v>
      </c>
      <c r="T142" s="229">
        <v>6.9999999999999999E-4</v>
      </c>
      <c r="U142" s="231">
        <v>12611</v>
      </c>
      <c r="V142" s="231">
        <v>12601</v>
      </c>
      <c r="W142" s="228">
        <v>10</v>
      </c>
      <c r="X142" s="229">
        <v>8.0000000000000004E-4</v>
      </c>
      <c r="Y142" s="228">
        <v>-57</v>
      </c>
      <c r="Z142" s="228">
        <v>3</v>
      </c>
      <c r="AA142" s="228">
        <v>-60</v>
      </c>
      <c r="AB142" s="229">
        <v>-4.4999999999999997E-3</v>
      </c>
      <c r="AC142" s="228">
        <v>16</v>
      </c>
      <c r="AD142" s="228">
        <v>3</v>
      </c>
      <c r="AE142" s="228">
        <v>13</v>
      </c>
      <c r="AF142" s="229">
        <v>1.2999999999999999E-3</v>
      </c>
      <c r="AG142" s="228">
        <v>-57</v>
      </c>
      <c r="AH142" s="228">
        <v>-76</v>
      </c>
      <c r="AI142" s="228">
        <v>19</v>
      </c>
      <c r="AJ142" s="229">
        <v>-4.4999999999999997E-3</v>
      </c>
      <c r="AK142" s="228">
        <v>3</v>
      </c>
      <c r="AL142" s="228">
        <v>-17</v>
      </c>
      <c r="AM142" s="228">
        <v>20</v>
      </c>
      <c r="AN142" s="229">
        <v>2.0000000000000001E-4</v>
      </c>
      <c r="AO142" s="231">
        <v>12580.4</v>
      </c>
      <c r="AP142" s="231">
        <v>12517.63</v>
      </c>
      <c r="AQ142" s="228">
        <v>0</v>
      </c>
      <c r="AR142" s="230">
        <v>2188300</v>
      </c>
      <c r="AS142" s="230">
        <v>2203850</v>
      </c>
      <c r="AT142" s="230">
        <v>-15550</v>
      </c>
      <c r="AU142" s="229">
        <v>-7.1000000000000004E-3</v>
      </c>
      <c r="AV142" s="230">
        <v>533900</v>
      </c>
      <c r="AW142" s="230">
        <v>1042450</v>
      </c>
      <c r="AX142" s="230">
        <v>-508550</v>
      </c>
      <c r="AY142" s="229">
        <v>-0.48780000000000001</v>
      </c>
      <c r="AZ142" s="230">
        <v>1638200</v>
      </c>
      <c r="BA142" s="230">
        <v>1155900</v>
      </c>
      <c r="BB142" s="230">
        <v>482300</v>
      </c>
      <c r="BC142" s="229">
        <v>0.4173</v>
      </c>
      <c r="BD142" s="230">
        <v>16200</v>
      </c>
      <c r="BE142" s="230">
        <v>5500</v>
      </c>
      <c r="BF142" s="230">
        <v>10700</v>
      </c>
      <c r="BG142" s="229">
        <v>1.9455</v>
      </c>
      <c r="BH142" s="230">
        <v>7180300</v>
      </c>
      <c r="BI142" s="230">
        <v>5347550</v>
      </c>
      <c r="BJ142" s="230">
        <v>1832750</v>
      </c>
      <c r="BK142" s="229">
        <v>0.3427</v>
      </c>
      <c r="BL142" s="230">
        <v>3088150</v>
      </c>
      <c r="BM142" s="230">
        <v>1967200</v>
      </c>
      <c r="BN142" s="230">
        <v>1120950</v>
      </c>
      <c r="BO142" s="229">
        <v>0.56979999999999997</v>
      </c>
      <c r="BP142" s="230">
        <v>12456750</v>
      </c>
      <c r="BQ142" s="230">
        <v>9518600</v>
      </c>
      <c r="BR142" s="230">
        <v>2938150</v>
      </c>
      <c r="BS142" s="229">
        <v>0.30869999999999997</v>
      </c>
      <c r="BT142" s="230">
        <v>718581</v>
      </c>
      <c r="BU142" s="230">
        <v>209599</v>
      </c>
      <c r="BV142" s="230">
        <v>508982</v>
      </c>
      <c r="BW142" s="229">
        <v>2.4283999999999999</v>
      </c>
      <c r="BX142" s="230">
        <v>3083900</v>
      </c>
      <c r="BY142" s="230">
        <v>2999900</v>
      </c>
      <c r="BZ142" s="230">
        <v>84000</v>
      </c>
      <c r="CA142" s="229">
        <v>2.8000000000000001E-2</v>
      </c>
      <c r="CB142" s="230">
        <v>72350</v>
      </c>
      <c r="CC142" s="230">
        <v>254200</v>
      </c>
      <c r="CD142" s="230">
        <v>-181850</v>
      </c>
      <c r="CE142" s="229">
        <v>-0.71540000000000004</v>
      </c>
      <c r="CF142" s="230">
        <v>3064600</v>
      </c>
      <c r="CG142" s="230">
        <v>2729300</v>
      </c>
      <c r="CH142" s="230">
        <v>335300</v>
      </c>
      <c r="CI142" s="229">
        <v>0.1229</v>
      </c>
      <c r="CJ142" s="230">
        <v>19300</v>
      </c>
      <c r="CK142" s="230">
        <v>16400</v>
      </c>
      <c r="CL142" s="230">
        <v>2900</v>
      </c>
      <c r="CM142" s="229">
        <v>0.17680000000000001</v>
      </c>
      <c r="CN142" s="230">
        <v>838500</v>
      </c>
      <c r="CO142" s="230">
        <v>2865450</v>
      </c>
      <c r="CP142" s="230">
        <v>-2026950</v>
      </c>
      <c r="CQ142" s="229">
        <v>-0.70740000000000003</v>
      </c>
      <c r="CR142" s="230">
        <v>430800</v>
      </c>
      <c r="CS142" s="230">
        <v>945700</v>
      </c>
      <c r="CT142" s="230">
        <v>-514900</v>
      </c>
      <c r="CU142" s="229">
        <v>-0.54449999999999998</v>
      </c>
      <c r="CV142" s="230">
        <v>4353200</v>
      </c>
      <c r="CW142" s="230">
        <v>6811050</v>
      </c>
      <c r="CX142" s="230">
        <v>-2457850</v>
      </c>
      <c r="CY142" s="229">
        <v>-0.3609</v>
      </c>
      <c r="CZ142" s="228">
        <v>22.13</v>
      </c>
      <c r="DA142" s="228">
        <v>22.66</v>
      </c>
      <c r="DB142" s="228">
        <v>-0.53</v>
      </c>
      <c r="DC142" s="228">
        <v>-0.53</v>
      </c>
      <c r="DD142" s="228">
        <v>24.69</v>
      </c>
      <c r="DE142" s="228">
        <v>24.76</v>
      </c>
      <c r="DF142" s="228">
        <v>-2.56</v>
      </c>
      <c r="DG142" s="228">
        <v>-7.0000000000000007E-2</v>
      </c>
      <c r="DH142" s="228">
        <v>21.8</v>
      </c>
      <c r="DI142" s="228">
        <v>22.61</v>
      </c>
      <c r="DJ142" s="228">
        <v>-0.81</v>
      </c>
      <c r="DK142" s="228">
        <v>-0.81</v>
      </c>
      <c r="DL142" s="228">
        <v>22.93</v>
      </c>
      <c r="DM142" s="228">
        <v>22.8</v>
      </c>
      <c r="DN142" s="228">
        <v>0.13</v>
      </c>
      <c r="DO142" s="228">
        <v>0.13</v>
      </c>
      <c r="DP142" s="228">
        <v>0.51</v>
      </c>
      <c r="DQ142" s="228">
        <v>0.33</v>
      </c>
      <c r="DR142" s="228">
        <v>0.18</v>
      </c>
      <c r="DS142" s="229">
        <v>0.54549999999999998</v>
      </c>
      <c r="DT142" s="231">
        <v>12800</v>
      </c>
      <c r="DU142" s="231">
        <v>12000</v>
      </c>
      <c r="DV142" s="228">
        <v>0.43</v>
      </c>
      <c r="DW142" s="228">
        <v>0.37</v>
      </c>
      <c r="DX142" s="228">
        <v>0.06</v>
      </c>
      <c r="DY142" s="229">
        <v>0.16220000000000001</v>
      </c>
      <c r="DZ142" s="229">
        <v>0.97709999999999997</v>
      </c>
      <c r="EA142" s="230">
        <v>2745700</v>
      </c>
      <c r="EB142" s="229">
        <v>-5.7999999999999996E-3</v>
      </c>
      <c r="EC142" s="229">
        <v>0.97709999999999997</v>
      </c>
      <c r="ED142" s="228">
        <v>-62.77</v>
      </c>
      <c r="EE142" s="229">
        <v>-5.0000000000000001E-3</v>
      </c>
      <c r="EF142" s="230">
        <v>374923</v>
      </c>
      <c r="EG142" s="230">
        <v>96018</v>
      </c>
      <c r="EH142" s="229">
        <v>2.9047000000000001</v>
      </c>
      <c r="EI142" s="229">
        <v>0.52180000000000004</v>
      </c>
      <c r="EJ142" s="231">
        <v>931263.7</v>
      </c>
      <c r="EK142" s="231">
        <v>381281.35</v>
      </c>
      <c r="EL142" s="231">
        <v>274268.09999999998</v>
      </c>
      <c r="EM142" s="228">
        <v>0</v>
      </c>
      <c r="EN142" s="231">
        <v>1586813.15</v>
      </c>
      <c r="EO142" s="231">
        <v>1207964.02</v>
      </c>
      <c r="EP142" s="231">
        <v>378849.13</v>
      </c>
      <c r="EQ142" s="229">
        <v>0.31359999999999999</v>
      </c>
      <c r="ER142" s="231">
        <v>109056</v>
      </c>
      <c r="ES142" s="231">
        <v>51859</v>
      </c>
      <c r="ET142" s="231">
        <v>387072</v>
      </c>
      <c r="EU142" s="231">
        <v>26231219</v>
      </c>
      <c r="EV142" s="231">
        <v>547987</v>
      </c>
      <c r="EW142" s="231">
        <v>862280</v>
      </c>
      <c r="EX142" s="231">
        <v>-314293</v>
      </c>
      <c r="EY142" s="229">
        <v>-0.36449999999999999</v>
      </c>
      <c r="EZ142" s="229">
        <v>0.16600000000000001</v>
      </c>
      <c r="FA142" s="227" t="s">
        <v>555</v>
      </c>
      <c r="FB142" s="161">
        <f t="shared" ref="FB142:FB161" si="3">BX232-CB232</f>
        <v>0</v>
      </c>
    </row>
    <row r="143" spans="1:158" ht="17.25" thickBot="1" x14ac:dyDescent="0.3">
      <c r="A143" s="226">
        <v>45869</v>
      </c>
      <c r="B143" s="227" t="s">
        <v>170</v>
      </c>
      <c r="C143" s="227" t="s">
        <v>604</v>
      </c>
      <c r="D143" s="228">
        <v>525</v>
      </c>
      <c r="E143" s="231">
        <v>1251.5</v>
      </c>
      <c r="F143" s="231">
        <v>1270.8</v>
      </c>
      <c r="G143" s="228">
        <v>-19.3</v>
      </c>
      <c r="H143" s="229">
        <v>-1.52E-2</v>
      </c>
      <c r="I143" s="231">
        <v>1246</v>
      </c>
      <c r="J143" s="231">
        <v>1264.5999999999999</v>
      </c>
      <c r="K143" s="228">
        <v>-18.600000000000001</v>
      </c>
      <c r="L143" s="229">
        <v>-1.47E-2</v>
      </c>
      <c r="M143" s="231">
        <v>1244.4000000000001</v>
      </c>
      <c r="N143" s="231">
        <v>1263.3</v>
      </c>
      <c r="O143" s="228">
        <v>-18.899999999999999</v>
      </c>
      <c r="P143" s="229">
        <v>-1.4999999999999999E-2</v>
      </c>
      <c r="Q143" s="231">
        <v>1251.5</v>
      </c>
      <c r="R143" s="231">
        <v>1270.8</v>
      </c>
      <c r="S143" s="228">
        <v>-19.3</v>
      </c>
      <c r="T143" s="229">
        <v>-1.52E-2</v>
      </c>
      <c r="U143" s="231">
        <v>1252.3</v>
      </c>
      <c r="V143" s="231">
        <v>1275.0999999999999</v>
      </c>
      <c r="W143" s="228">
        <v>-22.8</v>
      </c>
      <c r="X143" s="229">
        <v>-1.7899999999999999E-2</v>
      </c>
      <c r="Y143" s="228">
        <v>5.5</v>
      </c>
      <c r="Z143" s="228">
        <v>-1.3</v>
      </c>
      <c r="AA143" s="228">
        <v>6.8</v>
      </c>
      <c r="AB143" s="229">
        <v>4.4000000000000003E-3</v>
      </c>
      <c r="AC143" s="228">
        <v>-1.6</v>
      </c>
      <c r="AD143" s="228">
        <v>-1.3</v>
      </c>
      <c r="AE143" s="228">
        <v>-0.3</v>
      </c>
      <c r="AF143" s="229">
        <v>-1.2999999999999999E-3</v>
      </c>
      <c r="AG143" s="228">
        <v>5.5</v>
      </c>
      <c r="AH143" s="228">
        <v>6.2</v>
      </c>
      <c r="AI143" s="228">
        <v>-0.7</v>
      </c>
      <c r="AJ143" s="229">
        <v>4.4000000000000003E-3</v>
      </c>
      <c r="AK143" s="228">
        <v>6.3</v>
      </c>
      <c r="AL143" s="228">
        <v>10.5</v>
      </c>
      <c r="AM143" s="228">
        <v>-4.2</v>
      </c>
      <c r="AN143" s="229">
        <v>5.1000000000000004E-3</v>
      </c>
      <c r="AO143" s="231">
        <v>1250.8800000000001</v>
      </c>
      <c r="AP143" s="231">
        <v>1258.33</v>
      </c>
      <c r="AQ143" s="228">
        <v>0</v>
      </c>
      <c r="AR143" s="230">
        <v>5548725</v>
      </c>
      <c r="AS143" s="230">
        <v>7746900</v>
      </c>
      <c r="AT143" s="230">
        <v>-2198175</v>
      </c>
      <c r="AU143" s="229">
        <v>-0.28370000000000001</v>
      </c>
      <c r="AV143" s="230">
        <v>2078475</v>
      </c>
      <c r="AW143" s="230">
        <v>3720150</v>
      </c>
      <c r="AX143" s="230">
        <v>-1641675</v>
      </c>
      <c r="AY143" s="229">
        <v>-0.44130000000000003</v>
      </c>
      <c r="AZ143" s="230">
        <v>3368400</v>
      </c>
      <c r="BA143" s="230">
        <v>4019925</v>
      </c>
      <c r="BB143" s="230">
        <v>-651525</v>
      </c>
      <c r="BC143" s="229">
        <v>-0.16209999999999999</v>
      </c>
      <c r="BD143" s="230">
        <v>101850</v>
      </c>
      <c r="BE143" s="230">
        <v>6825</v>
      </c>
      <c r="BF143" s="230">
        <v>95025</v>
      </c>
      <c r="BG143" s="229">
        <v>13.9231</v>
      </c>
      <c r="BH143" s="230">
        <v>1696275</v>
      </c>
      <c r="BI143" s="230">
        <v>2252775</v>
      </c>
      <c r="BJ143" s="230">
        <v>-556500</v>
      </c>
      <c r="BK143" s="229">
        <v>-0.247</v>
      </c>
      <c r="BL143" s="230">
        <v>908775</v>
      </c>
      <c r="BM143" s="230">
        <v>977550</v>
      </c>
      <c r="BN143" s="230">
        <v>-68775</v>
      </c>
      <c r="BO143" s="229">
        <v>-7.0400000000000004E-2</v>
      </c>
      <c r="BP143" s="230">
        <v>8153775</v>
      </c>
      <c r="BQ143" s="230">
        <v>10977225</v>
      </c>
      <c r="BR143" s="230">
        <v>-2823450</v>
      </c>
      <c r="BS143" s="229">
        <v>-0.25719999999999998</v>
      </c>
      <c r="BT143" s="230">
        <v>2305823</v>
      </c>
      <c r="BU143" s="230">
        <v>892383</v>
      </c>
      <c r="BV143" s="230">
        <v>1413440</v>
      </c>
      <c r="BW143" s="229">
        <v>1.5839000000000001</v>
      </c>
      <c r="BX143" s="230">
        <v>10678500</v>
      </c>
      <c r="BY143" s="230">
        <v>11471775</v>
      </c>
      <c r="BZ143" s="230">
        <v>-793275</v>
      </c>
      <c r="CA143" s="229">
        <v>-6.9199999999999998E-2</v>
      </c>
      <c r="CB143" s="230">
        <v>1523550</v>
      </c>
      <c r="CC143" s="230">
        <v>1864275</v>
      </c>
      <c r="CD143" s="230">
        <v>-340725</v>
      </c>
      <c r="CE143" s="229">
        <v>-0.18279999999999999</v>
      </c>
      <c r="CF143" s="230">
        <v>10587675</v>
      </c>
      <c r="CG143" s="230">
        <v>9566025</v>
      </c>
      <c r="CH143" s="230">
        <v>1021650</v>
      </c>
      <c r="CI143" s="229">
        <v>0.10680000000000001</v>
      </c>
      <c r="CJ143" s="230">
        <v>90825</v>
      </c>
      <c r="CK143" s="230">
        <v>41475</v>
      </c>
      <c r="CL143" s="230">
        <v>49350</v>
      </c>
      <c r="CM143" s="229">
        <v>1.1899</v>
      </c>
      <c r="CN143" s="230">
        <v>692475</v>
      </c>
      <c r="CO143" s="230">
        <v>2325750</v>
      </c>
      <c r="CP143" s="230">
        <v>-1633275</v>
      </c>
      <c r="CQ143" s="229">
        <v>-0.70230000000000004</v>
      </c>
      <c r="CR143" s="230">
        <v>479850</v>
      </c>
      <c r="CS143" s="230">
        <v>1066800</v>
      </c>
      <c r="CT143" s="230">
        <v>-586950</v>
      </c>
      <c r="CU143" s="229">
        <v>-0.55020000000000002</v>
      </c>
      <c r="CV143" s="230">
        <v>11850825</v>
      </c>
      <c r="CW143" s="230">
        <v>14864325</v>
      </c>
      <c r="CX143" s="230">
        <v>-3013500</v>
      </c>
      <c r="CY143" s="229">
        <v>-0.20269999999999999</v>
      </c>
      <c r="CZ143" s="228">
        <v>30.24</v>
      </c>
      <c r="DA143" s="228">
        <v>29.57</v>
      </c>
      <c r="DB143" s="228">
        <v>0.67</v>
      </c>
      <c r="DC143" s="228">
        <v>0.67</v>
      </c>
      <c r="DD143" s="228">
        <v>43.39</v>
      </c>
      <c r="DE143" s="228">
        <v>43.45</v>
      </c>
      <c r="DF143" s="228">
        <v>-13.15</v>
      </c>
      <c r="DG143" s="228">
        <v>-0.06</v>
      </c>
      <c r="DH143" s="228">
        <v>30.25</v>
      </c>
      <c r="DI143" s="228">
        <v>29.52</v>
      </c>
      <c r="DJ143" s="228">
        <v>0.73</v>
      </c>
      <c r="DK143" s="228">
        <v>0.73</v>
      </c>
      <c r="DL143" s="228">
        <v>30.21</v>
      </c>
      <c r="DM143" s="228">
        <v>29.66</v>
      </c>
      <c r="DN143" s="228">
        <v>0.55000000000000004</v>
      </c>
      <c r="DO143" s="228">
        <v>0.55000000000000004</v>
      </c>
      <c r="DP143" s="228">
        <v>0.69</v>
      </c>
      <c r="DQ143" s="228">
        <v>0.46</v>
      </c>
      <c r="DR143" s="228">
        <v>0.23</v>
      </c>
      <c r="DS143" s="229">
        <v>0.5</v>
      </c>
      <c r="DT143" s="231">
        <v>1400</v>
      </c>
      <c r="DU143" s="231">
        <v>1300</v>
      </c>
      <c r="DV143" s="228">
        <v>0.54</v>
      </c>
      <c r="DW143" s="228">
        <v>0.43</v>
      </c>
      <c r="DX143" s="228">
        <v>0.11</v>
      </c>
      <c r="DY143" s="229">
        <v>0.25580000000000003</v>
      </c>
      <c r="DZ143" s="229">
        <v>0.87509999999999999</v>
      </c>
      <c r="EA143" s="230">
        <v>9607500</v>
      </c>
      <c r="EB143" s="229">
        <v>5.7000000000000002E-3</v>
      </c>
      <c r="EC143" s="229">
        <v>0.87509999999999999</v>
      </c>
      <c r="ED143" s="228">
        <v>7.45</v>
      </c>
      <c r="EE143" s="229">
        <v>6.0000000000000001E-3</v>
      </c>
      <c r="EF143" s="230">
        <v>1002807</v>
      </c>
      <c r="EG143" s="230">
        <v>513137</v>
      </c>
      <c r="EH143" s="229">
        <v>0.95430000000000004</v>
      </c>
      <c r="EI143" s="229">
        <v>0.43490000000000001</v>
      </c>
      <c r="EJ143" s="231">
        <v>22632.76</v>
      </c>
      <c r="EK143" s="231">
        <v>11380.44</v>
      </c>
      <c r="EL143" s="231">
        <v>69669.53</v>
      </c>
      <c r="EM143" s="228">
        <v>0</v>
      </c>
      <c r="EN143" s="231">
        <v>103682.73</v>
      </c>
      <c r="EO143" s="231">
        <v>140072.6</v>
      </c>
      <c r="EP143" s="231">
        <v>-36389.870000000003</v>
      </c>
      <c r="EQ143" s="229">
        <v>-0.25979999999999998</v>
      </c>
      <c r="ER143" s="231">
        <v>9103</v>
      </c>
      <c r="ES143" s="231">
        <v>5950</v>
      </c>
      <c r="ET143" s="231">
        <v>133642</v>
      </c>
      <c r="EU143" s="231">
        <v>148272870</v>
      </c>
      <c r="EV143" s="231">
        <v>148694</v>
      </c>
      <c r="EW143" s="231">
        <v>189811</v>
      </c>
      <c r="EX143" s="231">
        <v>-41117</v>
      </c>
      <c r="EY143" s="229">
        <v>-0.21659999999999999</v>
      </c>
      <c r="EZ143" s="229">
        <v>7.9899999999999999E-2</v>
      </c>
      <c r="FA143" s="227" t="s">
        <v>568</v>
      </c>
      <c r="FB143" s="161">
        <f t="shared" si="3"/>
        <v>0</v>
      </c>
    </row>
    <row r="144" spans="1:158" ht="17.25" thickBot="1" x14ac:dyDescent="0.3">
      <c r="A144" s="226">
        <v>45869</v>
      </c>
      <c r="B144" s="227" t="s">
        <v>215</v>
      </c>
      <c r="C144" s="227" t="s">
        <v>675</v>
      </c>
      <c r="D144" s="228">
        <v>175</v>
      </c>
      <c r="E144" s="231">
        <v>2779</v>
      </c>
      <c r="F144" s="231">
        <v>2774.2</v>
      </c>
      <c r="G144" s="228">
        <v>4.8</v>
      </c>
      <c r="H144" s="229">
        <v>1.6999999999999999E-3</v>
      </c>
      <c r="I144" s="231">
        <v>2771.2</v>
      </c>
      <c r="J144" s="231">
        <v>2759.7</v>
      </c>
      <c r="K144" s="228">
        <v>11.5</v>
      </c>
      <c r="L144" s="229">
        <v>4.1999999999999997E-3</v>
      </c>
      <c r="M144" s="231">
        <v>2764.3</v>
      </c>
      <c r="N144" s="231">
        <v>2760</v>
      </c>
      <c r="O144" s="228">
        <v>4.3</v>
      </c>
      <c r="P144" s="229">
        <v>1.6000000000000001E-3</v>
      </c>
      <c r="Q144" s="231">
        <v>2779</v>
      </c>
      <c r="R144" s="231">
        <v>2774.2</v>
      </c>
      <c r="S144" s="228">
        <v>4.8</v>
      </c>
      <c r="T144" s="229">
        <v>1.6999999999999999E-3</v>
      </c>
      <c r="U144" s="231">
        <v>2794.7</v>
      </c>
      <c r="V144" s="231">
        <v>2789.1</v>
      </c>
      <c r="W144" s="228">
        <v>5.6</v>
      </c>
      <c r="X144" s="229">
        <v>2E-3</v>
      </c>
      <c r="Y144" s="228">
        <v>7.8</v>
      </c>
      <c r="Z144" s="228">
        <v>0.3</v>
      </c>
      <c r="AA144" s="228">
        <v>7.5</v>
      </c>
      <c r="AB144" s="229">
        <v>2.8E-3</v>
      </c>
      <c r="AC144" s="228">
        <v>-6.9</v>
      </c>
      <c r="AD144" s="228">
        <v>0.3</v>
      </c>
      <c r="AE144" s="228">
        <v>-7.2</v>
      </c>
      <c r="AF144" s="229">
        <v>-2.5000000000000001E-3</v>
      </c>
      <c r="AG144" s="228">
        <v>7.8</v>
      </c>
      <c r="AH144" s="228">
        <v>14.5</v>
      </c>
      <c r="AI144" s="228">
        <v>-6.7</v>
      </c>
      <c r="AJ144" s="229">
        <v>2.8E-3</v>
      </c>
      <c r="AK144" s="228">
        <v>23.5</v>
      </c>
      <c r="AL144" s="228">
        <v>29.4</v>
      </c>
      <c r="AM144" s="228">
        <v>-5.9</v>
      </c>
      <c r="AN144" s="229">
        <v>8.5000000000000006E-3</v>
      </c>
      <c r="AO144" s="231">
        <v>2777.87</v>
      </c>
      <c r="AP144" s="231">
        <v>2792.41</v>
      </c>
      <c r="AQ144" s="228">
        <v>0</v>
      </c>
      <c r="AR144" s="230">
        <v>2387875</v>
      </c>
      <c r="AS144" s="230">
        <v>2838500</v>
      </c>
      <c r="AT144" s="230">
        <v>-450625</v>
      </c>
      <c r="AU144" s="229">
        <v>-0.1588</v>
      </c>
      <c r="AV144" s="230">
        <v>901075</v>
      </c>
      <c r="AW144" s="230">
        <v>1242675</v>
      </c>
      <c r="AX144" s="230">
        <v>-341600</v>
      </c>
      <c r="AY144" s="229">
        <v>-0.27489999999999998</v>
      </c>
      <c r="AZ144" s="230">
        <v>1442525</v>
      </c>
      <c r="BA144" s="230">
        <v>1578150</v>
      </c>
      <c r="BB144" s="230">
        <v>-135625</v>
      </c>
      <c r="BC144" s="229">
        <v>-8.5900000000000004E-2</v>
      </c>
      <c r="BD144" s="230">
        <v>44275</v>
      </c>
      <c r="BE144" s="230">
        <v>17675</v>
      </c>
      <c r="BF144" s="230">
        <v>26600</v>
      </c>
      <c r="BG144" s="229">
        <v>1.5049999999999999</v>
      </c>
      <c r="BH144" s="230">
        <v>5301975</v>
      </c>
      <c r="BI144" s="230">
        <v>5403125</v>
      </c>
      <c r="BJ144" s="230">
        <v>-101150</v>
      </c>
      <c r="BK144" s="229">
        <v>-1.8700000000000001E-2</v>
      </c>
      <c r="BL144" s="230">
        <v>1666350</v>
      </c>
      <c r="BM144" s="230">
        <v>1905575</v>
      </c>
      <c r="BN144" s="230">
        <v>-239225</v>
      </c>
      <c r="BO144" s="229">
        <v>-0.1255</v>
      </c>
      <c r="BP144" s="230">
        <v>9356200</v>
      </c>
      <c r="BQ144" s="230">
        <v>10147200</v>
      </c>
      <c r="BR144" s="230">
        <v>-791000</v>
      </c>
      <c r="BS144" s="229">
        <v>-7.8E-2</v>
      </c>
      <c r="BT144" s="230">
        <v>2293686</v>
      </c>
      <c r="BU144" s="230">
        <v>1620446</v>
      </c>
      <c r="BV144" s="230">
        <v>673240</v>
      </c>
      <c r="BW144" s="229">
        <v>0.41549999999999998</v>
      </c>
      <c r="BX144" s="230">
        <v>3063375</v>
      </c>
      <c r="BY144" s="230">
        <v>3355275</v>
      </c>
      <c r="BZ144" s="230">
        <v>-291900</v>
      </c>
      <c r="CA144" s="229">
        <v>-8.6999999999999994E-2</v>
      </c>
      <c r="CB144" s="230">
        <v>225050</v>
      </c>
      <c r="CC144" s="230">
        <v>691425</v>
      </c>
      <c r="CD144" s="230">
        <v>-466375</v>
      </c>
      <c r="CE144" s="229">
        <v>-0.67449999999999999</v>
      </c>
      <c r="CF144" s="230">
        <v>2963450</v>
      </c>
      <c r="CG144" s="230">
        <v>2580550</v>
      </c>
      <c r="CH144" s="230">
        <v>382900</v>
      </c>
      <c r="CI144" s="229">
        <v>0.1484</v>
      </c>
      <c r="CJ144" s="230">
        <v>99925</v>
      </c>
      <c r="CK144" s="230">
        <v>83300</v>
      </c>
      <c r="CL144" s="230">
        <v>16625</v>
      </c>
      <c r="CM144" s="229">
        <v>0.1996</v>
      </c>
      <c r="CN144" s="230">
        <v>1040025</v>
      </c>
      <c r="CO144" s="230">
        <v>3018400</v>
      </c>
      <c r="CP144" s="230">
        <v>-1978375</v>
      </c>
      <c r="CQ144" s="229">
        <v>-0.65539999999999998</v>
      </c>
      <c r="CR144" s="230">
        <v>575575</v>
      </c>
      <c r="CS144" s="230">
        <v>1397025</v>
      </c>
      <c r="CT144" s="230">
        <v>-821450</v>
      </c>
      <c r="CU144" s="229">
        <v>-0.58799999999999997</v>
      </c>
      <c r="CV144" s="230">
        <v>4678975</v>
      </c>
      <c r="CW144" s="230">
        <v>7770700</v>
      </c>
      <c r="CX144" s="230">
        <v>-3091725</v>
      </c>
      <c r="CY144" s="229">
        <v>-0.39789999999999998</v>
      </c>
      <c r="CZ144" s="228">
        <v>37.340000000000003</v>
      </c>
      <c r="DA144" s="228">
        <v>36.79</v>
      </c>
      <c r="DB144" s="228">
        <v>0.55000000000000004</v>
      </c>
      <c r="DC144" s="228">
        <v>0.55000000000000004</v>
      </c>
      <c r="DD144" s="228">
        <v>65.180000000000007</v>
      </c>
      <c r="DE144" s="228">
        <v>65.34</v>
      </c>
      <c r="DF144" s="228">
        <v>-27.84</v>
      </c>
      <c r="DG144" s="228">
        <v>-0.16</v>
      </c>
      <c r="DH144" s="228">
        <v>37.06</v>
      </c>
      <c r="DI144" s="228">
        <v>36.659999999999997</v>
      </c>
      <c r="DJ144" s="228">
        <v>0.4</v>
      </c>
      <c r="DK144" s="228">
        <v>0.4</v>
      </c>
      <c r="DL144" s="228">
        <v>38.19</v>
      </c>
      <c r="DM144" s="228">
        <v>37.25</v>
      </c>
      <c r="DN144" s="228">
        <v>0.94</v>
      </c>
      <c r="DO144" s="228">
        <v>0.94</v>
      </c>
      <c r="DP144" s="228">
        <v>0.55000000000000004</v>
      </c>
      <c r="DQ144" s="228">
        <v>0.46</v>
      </c>
      <c r="DR144" s="228">
        <v>0.09</v>
      </c>
      <c r="DS144" s="229">
        <v>0.19570000000000001</v>
      </c>
      <c r="DT144" s="231">
        <v>3000</v>
      </c>
      <c r="DU144" s="231">
        <v>2600</v>
      </c>
      <c r="DV144" s="228">
        <v>0.31</v>
      </c>
      <c r="DW144" s="228">
        <v>0.35</v>
      </c>
      <c r="DX144" s="228">
        <v>-0.04</v>
      </c>
      <c r="DY144" s="229">
        <v>-0.1143</v>
      </c>
      <c r="DZ144" s="229">
        <v>0.93159999999999998</v>
      </c>
      <c r="EA144" s="230">
        <v>2663850</v>
      </c>
      <c r="EB144" s="229">
        <v>5.3E-3</v>
      </c>
      <c r="EC144" s="229">
        <v>0.93159999999999998</v>
      </c>
      <c r="ED144" s="228">
        <v>14.54</v>
      </c>
      <c r="EE144" s="229">
        <v>5.1999999999999998E-3</v>
      </c>
      <c r="EF144" s="230">
        <v>372848</v>
      </c>
      <c r="EG144" s="230">
        <v>293012</v>
      </c>
      <c r="EH144" s="229">
        <v>0.27250000000000002</v>
      </c>
      <c r="EI144" s="229">
        <v>0.16259999999999999</v>
      </c>
      <c r="EJ144" s="231">
        <v>159535.18</v>
      </c>
      <c r="EK144" s="231">
        <v>45822.12</v>
      </c>
      <c r="EL144" s="231">
        <v>66555.990000000005</v>
      </c>
      <c r="EM144" s="228">
        <v>0</v>
      </c>
      <c r="EN144" s="231">
        <v>271913.28999999998</v>
      </c>
      <c r="EO144" s="231">
        <v>289871.7</v>
      </c>
      <c r="EP144" s="231">
        <v>-17958.41</v>
      </c>
      <c r="EQ144" s="229">
        <v>-6.2E-2</v>
      </c>
      <c r="ER144" s="231">
        <v>31717</v>
      </c>
      <c r="ES144" s="231">
        <v>16221</v>
      </c>
      <c r="ET144" s="231">
        <v>85147</v>
      </c>
      <c r="EU144" s="231">
        <v>12239606</v>
      </c>
      <c r="EV144" s="231">
        <v>133086</v>
      </c>
      <c r="EW144" s="231">
        <v>229180</v>
      </c>
      <c r="EX144" s="231">
        <v>-96094</v>
      </c>
      <c r="EY144" s="229">
        <v>-0.41930000000000001</v>
      </c>
      <c r="EZ144" s="229">
        <v>0.38229999999999997</v>
      </c>
      <c r="FA144" s="227" t="s">
        <v>556</v>
      </c>
      <c r="FB144" s="161">
        <f t="shared" si="3"/>
        <v>0</v>
      </c>
    </row>
    <row r="145" spans="1:158" ht="17.25" thickBot="1" x14ac:dyDescent="0.3">
      <c r="A145" s="226">
        <v>45869</v>
      </c>
      <c r="B145" s="227" t="s">
        <v>175</v>
      </c>
      <c r="C145" s="227" t="s">
        <v>517</v>
      </c>
      <c r="D145" s="228">
        <v>125</v>
      </c>
      <c r="E145" s="231">
        <v>7697.5</v>
      </c>
      <c r="F145" s="231">
        <v>7793.5</v>
      </c>
      <c r="G145" s="228">
        <v>-96</v>
      </c>
      <c r="H145" s="229">
        <v>-1.23E-2</v>
      </c>
      <c r="I145" s="231">
        <v>7693</v>
      </c>
      <c r="J145" s="231">
        <v>7787</v>
      </c>
      <c r="K145" s="228">
        <v>-94</v>
      </c>
      <c r="L145" s="229">
        <v>-1.21E-2</v>
      </c>
      <c r="M145" s="231">
        <v>7682.5</v>
      </c>
      <c r="N145" s="231">
        <v>7783</v>
      </c>
      <c r="O145" s="228">
        <v>-100.5</v>
      </c>
      <c r="P145" s="229">
        <v>-1.29E-2</v>
      </c>
      <c r="Q145" s="231">
        <v>7697.5</v>
      </c>
      <c r="R145" s="231">
        <v>7793.5</v>
      </c>
      <c r="S145" s="228">
        <v>-96</v>
      </c>
      <c r="T145" s="229">
        <v>-1.23E-2</v>
      </c>
      <c r="U145" s="231">
        <v>7744.5</v>
      </c>
      <c r="V145" s="231">
        <v>7837.5</v>
      </c>
      <c r="W145" s="228">
        <v>-93</v>
      </c>
      <c r="X145" s="229">
        <v>-1.1900000000000001E-2</v>
      </c>
      <c r="Y145" s="228">
        <v>4.5</v>
      </c>
      <c r="Z145" s="228">
        <v>-4</v>
      </c>
      <c r="AA145" s="228">
        <v>8.5</v>
      </c>
      <c r="AB145" s="229">
        <v>5.9999999999999995E-4</v>
      </c>
      <c r="AC145" s="228">
        <v>-10.5</v>
      </c>
      <c r="AD145" s="228">
        <v>-4</v>
      </c>
      <c r="AE145" s="228">
        <v>-6.5</v>
      </c>
      <c r="AF145" s="229">
        <v>-1.4E-3</v>
      </c>
      <c r="AG145" s="228">
        <v>4.5</v>
      </c>
      <c r="AH145" s="228">
        <v>6.5</v>
      </c>
      <c r="AI145" s="228">
        <v>-2</v>
      </c>
      <c r="AJ145" s="229">
        <v>5.9999999999999995E-4</v>
      </c>
      <c r="AK145" s="228">
        <v>51.5</v>
      </c>
      <c r="AL145" s="228">
        <v>50.5</v>
      </c>
      <c r="AM145" s="228">
        <v>1</v>
      </c>
      <c r="AN145" s="229">
        <v>6.7000000000000002E-3</v>
      </c>
      <c r="AO145" s="231">
        <v>7733.79</v>
      </c>
      <c r="AP145" s="231">
        <v>7744.11</v>
      </c>
      <c r="AQ145" s="228">
        <v>0</v>
      </c>
      <c r="AR145" s="230">
        <v>1472625</v>
      </c>
      <c r="AS145" s="230">
        <v>1442250</v>
      </c>
      <c r="AT145" s="230">
        <v>30375</v>
      </c>
      <c r="AU145" s="229">
        <v>2.1100000000000001E-2</v>
      </c>
      <c r="AV145" s="230">
        <v>633500</v>
      </c>
      <c r="AW145" s="230">
        <v>688500</v>
      </c>
      <c r="AX145" s="230">
        <v>-55000</v>
      </c>
      <c r="AY145" s="229">
        <v>-7.9899999999999999E-2</v>
      </c>
      <c r="AZ145" s="230">
        <v>822250</v>
      </c>
      <c r="BA145" s="230">
        <v>738875</v>
      </c>
      <c r="BB145" s="230">
        <v>83375</v>
      </c>
      <c r="BC145" s="229">
        <v>0.1128</v>
      </c>
      <c r="BD145" s="230">
        <v>16875</v>
      </c>
      <c r="BE145" s="230">
        <v>14875</v>
      </c>
      <c r="BF145" s="230">
        <v>2000</v>
      </c>
      <c r="BG145" s="229">
        <v>0.13450000000000001</v>
      </c>
      <c r="BH145" s="230">
        <v>3435875</v>
      </c>
      <c r="BI145" s="230">
        <v>3859500</v>
      </c>
      <c r="BJ145" s="230">
        <v>-423625</v>
      </c>
      <c r="BK145" s="229">
        <v>-0.10979999999999999</v>
      </c>
      <c r="BL145" s="230">
        <v>1989625</v>
      </c>
      <c r="BM145" s="230">
        <v>2633125</v>
      </c>
      <c r="BN145" s="230">
        <v>-643500</v>
      </c>
      <c r="BO145" s="229">
        <v>-0.24440000000000001</v>
      </c>
      <c r="BP145" s="230">
        <v>6898125</v>
      </c>
      <c r="BQ145" s="230">
        <v>7934875</v>
      </c>
      <c r="BR145" s="230">
        <v>-1036750</v>
      </c>
      <c r="BS145" s="229">
        <v>-0.13070000000000001</v>
      </c>
      <c r="BT145" s="230">
        <v>318438</v>
      </c>
      <c r="BU145" s="230">
        <v>288950</v>
      </c>
      <c r="BV145" s="230">
        <v>29488</v>
      </c>
      <c r="BW145" s="229">
        <v>0.1021</v>
      </c>
      <c r="BX145" s="230">
        <v>2278125</v>
      </c>
      <c r="BY145" s="230">
        <v>2565750</v>
      </c>
      <c r="BZ145" s="230">
        <v>-287625</v>
      </c>
      <c r="CA145" s="229">
        <v>-0.11210000000000001</v>
      </c>
      <c r="CB145" s="230">
        <v>322625</v>
      </c>
      <c r="CC145" s="230">
        <v>629125</v>
      </c>
      <c r="CD145" s="230">
        <v>-306500</v>
      </c>
      <c r="CE145" s="229">
        <v>-0.48720000000000002</v>
      </c>
      <c r="CF145" s="230">
        <v>2243625</v>
      </c>
      <c r="CG145" s="230">
        <v>1908750</v>
      </c>
      <c r="CH145" s="230">
        <v>334875</v>
      </c>
      <c r="CI145" s="229">
        <v>0.1754</v>
      </c>
      <c r="CJ145" s="230">
        <v>34500</v>
      </c>
      <c r="CK145" s="230">
        <v>27875</v>
      </c>
      <c r="CL145" s="230">
        <v>6625</v>
      </c>
      <c r="CM145" s="229">
        <v>0.23769999999999999</v>
      </c>
      <c r="CN145" s="230">
        <v>845000</v>
      </c>
      <c r="CO145" s="230">
        <v>2735750</v>
      </c>
      <c r="CP145" s="230">
        <v>-1890750</v>
      </c>
      <c r="CQ145" s="229">
        <v>-0.69110000000000005</v>
      </c>
      <c r="CR145" s="230">
        <v>587000</v>
      </c>
      <c r="CS145" s="230">
        <v>1681625</v>
      </c>
      <c r="CT145" s="230">
        <v>-1094625</v>
      </c>
      <c r="CU145" s="229">
        <v>-0.65090000000000003</v>
      </c>
      <c r="CV145" s="230">
        <v>3710125</v>
      </c>
      <c r="CW145" s="230">
        <v>6983125</v>
      </c>
      <c r="CX145" s="230">
        <v>-3273000</v>
      </c>
      <c r="CY145" s="229">
        <v>-0.46870000000000001</v>
      </c>
      <c r="CZ145" s="228">
        <v>39.14</v>
      </c>
      <c r="DA145" s="228">
        <v>38.42</v>
      </c>
      <c r="DB145" s="228">
        <v>0.72</v>
      </c>
      <c r="DC145" s="228">
        <v>0.72</v>
      </c>
      <c r="DD145" s="228">
        <v>48.62</v>
      </c>
      <c r="DE145" s="228">
        <v>48.72</v>
      </c>
      <c r="DF145" s="228">
        <v>-9.48</v>
      </c>
      <c r="DG145" s="228">
        <v>-0.1</v>
      </c>
      <c r="DH145" s="228">
        <v>39.03</v>
      </c>
      <c r="DI145" s="228">
        <v>38.5</v>
      </c>
      <c r="DJ145" s="228">
        <v>0.53</v>
      </c>
      <c r="DK145" s="228">
        <v>0.53</v>
      </c>
      <c r="DL145" s="228">
        <v>39.33</v>
      </c>
      <c r="DM145" s="228">
        <v>38.299999999999997</v>
      </c>
      <c r="DN145" s="228">
        <v>1.03</v>
      </c>
      <c r="DO145" s="228">
        <v>1.03</v>
      </c>
      <c r="DP145" s="228">
        <v>0.69</v>
      </c>
      <c r="DQ145" s="228">
        <v>0.61</v>
      </c>
      <c r="DR145" s="228">
        <v>0.08</v>
      </c>
      <c r="DS145" s="229">
        <v>0.13109999999999999</v>
      </c>
      <c r="DT145" s="231">
        <v>9000</v>
      </c>
      <c r="DU145" s="231">
        <v>8000</v>
      </c>
      <c r="DV145" s="228">
        <v>0.57999999999999996</v>
      </c>
      <c r="DW145" s="228">
        <v>0.68</v>
      </c>
      <c r="DX145" s="228">
        <v>-0.1</v>
      </c>
      <c r="DY145" s="229">
        <v>-0.14710000000000001</v>
      </c>
      <c r="DZ145" s="229">
        <v>0.87590000000000001</v>
      </c>
      <c r="EA145" s="230">
        <v>1936625</v>
      </c>
      <c r="EB145" s="229">
        <v>2E-3</v>
      </c>
      <c r="EC145" s="229">
        <v>0.87590000000000001</v>
      </c>
      <c r="ED145" s="228">
        <v>10.32</v>
      </c>
      <c r="EE145" s="229">
        <v>1.2999999999999999E-3</v>
      </c>
      <c r="EF145" s="230">
        <v>120330</v>
      </c>
      <c r="EG145" s="230">
        <v>95807</v>
      </c>
      <c r="EH145" s="229">
        <v>0.25600000000000001</v>
      </c>
      <c r="EI145" s="229">
        <v>0.37790000000000001</v>
      </c>
      <c r="EJ145" s="231">
        <v>286103.11</v>
      </c>
      <c r="EK145" s="231">
        <v>154112.73000000001</v>
      </c>
      <c r="EL145" s="231">
        <v>113980.91</v>
      </c>
      <c r="EM145" s="228">
        <v>0</v>
      </c>
      <c r="EN145" s="231">
        <v>554196.75</v>
      </c>
      <c r="EO145" s="231">
        <v>635286.62</v>
      </c>
      <c r="EP145" s="231">
        <v>-81089.87</v>
      </c>
      <c r="EQ145" s="229">
        <v>-0.12759999999999999</v>
      </c>
      <c r="ER145" s="231">
        <v>71168</v>
      </c>
      <c r="ES145" s="231">
        <v>44682</v>
      </c>
      <c r="ET145" s="231">
        <v>175375</v>
      </c>
      <c r="EU145" s="231">
        <v>10180563</v>
      </c>
      <c r="EV145" s="231">
        <v>291225</v>
      </c>
      <c r="EW145" s="231">
        <v>569902</v>
      </c>
      <c r="EX145" s="231">
        <v>-278677</v>
      </c>
      <c r="EY145" s="229">
        <v>-0.48899999999999999</v>
      </c>
      <c r="EZ145" s="229">
        <v>0.3644</v>
      </c>
      <c r="FA145" s="227" t="s">
        <v>568</v>
      </c>
      <c r="FB145" s="161">
        <f t="shared" si="3"/>
        <v>0</v>
      </c>
    </row>
    <row r="146" spans="1:158" ht="17.25" thickBot="1" x14ac:dyDescent="0.3">
      <c r="A146" s="226">
        <v>45869</v>
      </c>
      <c r="B146" s="227" t="s">
        <v>175</v>
      </c>
      <c r="C146" s="227" t="s">
        <v>257</v>
      </c>
      <c r="D146" s="228">
        <v>800</v>
      </c>
      <c r="E146" s="231">
        <v>1507</v>
      </c>
      <c r="F146" s="231">
        <v>1515.7</v>
      </c>
      <c r="G146" s="228">
        <v>-8.6999999999999993</v>
      </c>
      <c r="H146" s="229">
        <v>-5.7000000000000002E-3</v>
      </c>
      <c r="I146" s="231">
        <v>1501.4</v>
      </c>
      <c r="J146" s="231">
        <v>1508.2</v>
      </c>
      <c r="K146" s="228">
        <v>-6.8</v>
      </c>
      <c r="L146" s="229">
        <v>-4.4999999999999997E-3</v>
      </c>
      <c r="M146" s="231">
        <v>1497.2</v>
      </c>
      <c r="N146" s="231">
        <v>1506.5</v>
      </c>
      <c r="O146" s="228">
        <v>-9.3000000000000007</v>
      </c>
      <c r="P146" s="229">
        <v>-6.1999999999999998E-3</v>
      </c>
      <c r="Q146" s="231">
        <v>1507</v>
      </c>
      <c r="R146" s="231">
        <v>1515.7</v>
      </c>
      <c r="S146" s="228">
        <v>-8.6999999999999993</v>
      </c>
      <c r="T146" s="229">
        <v>-5.7000000000000002E-3</v>
      </c>
      <c r="U146" s="231">
        <v>1514.6</v>
      </c>
      <c r="V146" s="231">
        <v>1519</v>
      </c>
      <c r="W146" s="228">
        <v>-4.4000000000000004</v>
      </c>
      <c r="X146" s="229">
        <v>-2.8999999999999998E-3</v>
      </c>
      <c r="Y146" s="228">
        <v>5.6</v>
      </c>
      <c r="Z146" s="228">
        <v>-1.7</v>
      </c>
      <c r="AA146" s="228">
        <v>7.3</v>
      </c>
      <c r="AB146" s="229">
        <v>3.7000000000000002E-3</v>
      </c>
      <c r="AC146" s="228">
        <v>-4.2</v>
      </c>
      <c r="AD146" s="228">
        <v>-1.7</v>
      </c>
      <c r="AE146" s="228">
        <v>-2.5</v>
      </c>
      <c r="AF146" s="229">
        <v>-2.8E-3</v>
      </c>
      <c r="AG146" s="228">
        <v>5.6</v>
      </c>
      <c r="AH146" s="228">
        <v>7.5</v>
      </c>
      <c r="AI146" s="228">
        <v>-1.9</v>
      </c>
      <c r="AJ146" s="229">
        <v>3.7000000000000002E-3</v>
      </c>
      <c r="AK146" s="228">
        <v>13.2</v>
      </c>
      <c r="AL146" s="228">
        <v>10.8</v>
      </c>
      <c r="AM146" s="228">
        <v>2.4</v>
      </c>
      <c r="AN146" s="229">
        <v>8.8000000000000005E-3</v>
      </c>
      <c r="AO146" s="231">
        <v>1498.02</v>
      </c>
      <c r="AP146" s="231">
        <v>1507.3</v>
      </c>
      <c r="AQ146" s="228">
        <v>0</v>
      </c>
      <c r="AR146" s="230">
        <v>2396800</v>
      </c>
      <c r="AS146" s="230">
        <v>3956800</v>
      </c>
      <c r="AT146" s="230">
        <v>-1560000</v>
      </c>
      <c r="AU146" s="229">
        <v>-0.39429999999999998</v>
      </c>
      <c r="AV146" s="230">
        <v>1064000</v>
      </c>
      <c r="AW146" s="230">
        <v>1612800</v>
      </c>
      <c r="AX146" s="230">
        <v>-548800</v>
      </c>
      <c r="AY146" s="229">
        <v>-0.34029999999999999</v>
      </c>
      <c r="AZ146" s="230">
        <v>1310400</v>
      </c>
      <c r="BA146" s="230">
        <v>2334400</v>
      </c>
      <c r="BB146" s="230">
        <v>-1024000</v>
      </c>
      <c r="BC146" s="229">
        <v>-0.43869999999999998</v>
      </c>
      <c r="BD146" s="230">
        <v>22400</v>
      </c>
      <c r="BE146" s="230">
        <v>9600</v>
      </c>
      <c r="BF146" s="230">
        <v>12800</v>
      </c>
      <c r="BG146" s="229">
        <v>1.3332999999999999</v>
      </c>
      <c r="BH146" s="230">
        <v>800000</v>
      </c>
      <c r="BI146" s="230">
        <v>2060800</v>
      </c>
      <c r="BJ146" s="230">
        <v>-1260800</v>
      </c>
      <c r="BK146" s="229">
        <v>-0.61180000000000001</v>
      </c>
      <c r="BL146" s="230">
        <v>1116800</v>
      </c>
      <c r="BM146" s="230">
        <v>947200</v>
      </c>
      <c r="BN146" s="230">
        <v>169600</v>
      </c>
      <c r="BO146" s="229">
        <v>0.17910000000000001</v>
      </c>
      <c r="BP146" s="230">
        <v>4313600</v>
      </c>
      <c r="BQ146" s="230">
        <v>6964800</v>
      </c>
      <c r="BR146" s="230">
        <v>-2651200</v>
      </c>
      <c r="BS146" s="229">
        <v>-0.38069999999999998</v>
      </c>
      <c r="BT146" s="230">
        <v>331473</v>
      </c>
      <c r="BU146" s="230">
        <v>670853</v>
      </c>
      <c r="BV146" s="230">
        <v>-339380</v>
      </c>
      <c r="BW146" s="229">
        <v>-0.50590000000000002</v>
      </c>
      <c r="BX146" s="230">
        <v>5218400</v>
      </c>
      <c r="BY146" s="230">
        <v>6290400</v>
      </c>
      <c r="BZ146" s="230">
        <v>-1072000</v>
      </c>
      <c r="CA146" s="229">
        <v>-0.1704</v>
      </c>
      <c r="CB146" s="230">
        <v>920000</v>
      </c>
      <c r="CC146" s="230">
        <v>1312000</v>
      </c>
      <c r="CD146" s="230">
        <v>-392000</v>
      </c>
      <c r="CE146" s="229">
        <v>-0.29880000000000001</v>
      </c>
      <c r="CF146" s="230">
        <v>5191200</v>
      </c>
      <c r="CG146" s="230">
        <v>4956800</v>
      </c>
      <c r="CH146" s="230">
        <v>234400</v>
      </c>
      <c r="CI146" s="229">
        <v>4.7300000000000002E-2</v>
      </c>
      <c r="CJ146" s="230">
        <v>27200</v>
      </c>
      <c r="CK146" s="230">
        <v>21600</v>
      </c>
      <c r="CL146" s="230">
        <v>5600</v>
      </c>
      <c r="CM146" s="229">
        <v>0.25929999999999997</v>
      </c>
      <c r="CN146" s="230">
        <v>323200</v>
      </c>
      <c r="CO146" s="230">
        <v>1411200</v>
      </c>
      <c r="CP146" s="230">
        <v>-1088000</v>
      </c>
      <c r="CQ146" s="229">
        <v>-0.77100000000000002</v>
      </c>
      <c r="CR146" s="230">
        <v>343200</v>
      </c>
      <c r="CS146" s="230">
        <v>1041600</v>
      </c>
      <c r="CT146" s="230">
        <v>-698400</v>
      </c>
      <c r="CU146" s="229">
        <v>-0.67049999999999998</v>
      </c>
      <c r="CV146" s="230">
        <v>5884800</v>
      </c>
      <c r="CW146" s="230">
        <v>8743200</v>
      </c>
      <c r="CX146" s="230">
        <v>-2858400</v>
      </c>
      <c r="CY146" s="229">
        <v>-0.32690000000000002</v>
      </c>
      <c r="CZ146" s="228">
        <v>29.44</v>
      </c>
      <c r="DA146" s="228">
        <v>30.14</v>
      </c>
      <c r="DB146" s="228">
        <v>-0.7</v>
      </c>
      <c r="DC146" s="228">
        <v>-0.7</v>
      </c>
      <c r="DD146" s="228">
        <v>31.85</v>
      </c>
      <c r="DE146" s="228">
        <v>31.93</v>
      </c>
      <c r="DF146" s="228">
        <v>-2.41</v>
      </c>
      <c r="DG146" s="228">
        <v>-0.08</v>
      </c>
      <c r="DH146" s="228">
        <v>29.4</v>
      </c>
      <c r="DI146" s="228">
        <v>30.01</v>
      </c>
      <c r="DJ146" s="228">
        <v>-0.61</v>
      </c>
      <c r="DK146" s="228">
        <v>-0.61</v>
      </c>
      <c r="DL146" s="228">
        <v>29.49</v>
      </c>
      <c r="DM146" s="228">
        <v>30.29</v>
      </c>
      <c r="DN146" s="228">
        <v>-0.8</v>
      </c>
      <c r="DO146" s="228">
        <v>-0.8</v>
      </c>
      <c r="DP146" s="228">
        <v>1.06</v>
      </c>
      <c r="DQ146" s="228">
        <v>0.74</v>
      </c>
      <c r="DR146" s="228">
        <v>0.32</v>
      </c>
      <c r="DS146" s="229">
        <v>0.43240000000000001</v>
      </c>
      <c r="DT146" s="231">
        <v>1640</v>
      </c>
      <c r="DU146" s="231">
        <v>1500</v>
      </c>
      <c r="DV146" s="228">
        <v>1.4</v>
      </c>
      <c r="DW146" s="228">
        <v>0.46</v>
      </c>
      <c r="DX146" s="228">
        <v>0.94</v>
      </c>
      <c r="DY146" s="229">
        <v>2.0434999999999999</v>
      </c>
      <c r="DZ146" s="229">
        <v>0.85009999999999997</v>
      </c>
      <c r="EA146" s="230">
        <v>4978400</v>
      </c>
      <c r="EB146" s="229">
        <v>6.4999999999999997E-3</v>
      </c>
      <c r="EC146" s="229">
        <v>0.85009999999999997</v>
      </c>
      <c r="ED146" s="228">
        <v>9.2799999999999994</v>
      </c>
      <c r="EE146" s="229">
        <v>6.1999999999999998E-3</v>
      </c>
      <c r="EF146" s="230">
        <v>171240</v>
      </c>
      <c r="EG146" s="230">
        <v>355663</v>
      </c>
      <c r="EH146" s="229">
        <v>-0.51849999999999996</v>
      </c>
      <c r="EI146" s="229">
        <v>0.51659999999999995</v>
      </c>
      <c r="EJ146" s="231">
        <v>12796.24</v>
      </c>
      <c r="EK146" s="231">
        <v>16669.900000000001</v>
      </c>
      <c r="EL146" s="231">
        <v>36029.08</v>
      </c>
      <c r="EM146" s="228">
        <v>0</v>
      </c>
      <c r="EN146" s="231">
        <v>65495.22</v>
      </c>
      <c r="EO146" s="231">
        <v>105744.12</v>
      </c>
      <c r="EP146" s="231">
        <v>-40248.9</v>
      </c>
      <c r="EQ146" s="229">
        <v>-0.38059999999999999</v>
      </c>
      <c r="ER146" s="231">
        <v>5200</v>
      </c>
      <c r="ES146" s="231">
        <v>5032</v>
      </c>
      <c r="ET146" s="231">
        <v>78643</v>
      </c>
      <c r="EU146" s="231">
        <v>67819703</v>
      </c>
      <c r="EV146" s="231">
        <v>88876</v>
      </c>
      <c r="EW146" s="231">
        <v>134094</v>
      </c>
      <c r="EX146" s="231">
        <v>-45218</v>
      </c>
      <c r="EY146" s="229">
        <v>-0.3372</v>
      </c>
      <c r="EZ146" s="229">
        <v>8.6800000000000002E-2</v>
      </c>
      <c r="FA146" s="227" t="s">
        <v>568</v>
      </c>
      <c r="FB146" s="161">
        <f t="shared" si="3"/>
        <v>0</v>
      </c>
    </row>
    <row r="147" spans="1:158" ht="17.25" thickBot="1" x14ac:dyDescent="0.3">
      <c r="A147" s="226">
        <v>45869</v>
      </c>
      <c r="B147" s="227" t="s">
        <v>193</v>
      </c>
      <c r="C147" s="227" t="s">
        <v>258</v>
      </c>
      <c r="D147" s="228">
        <v>400</v>
      </c>
      <c r="E147" s="228">
        <v>0</v>
      </c>
      <c r="F147" s="228">
        <v>0</v>
      </c>
      <c r="G147" s="228">
        <v>0</v>
      </c>
      <c r="H147" s="229">
        <v>0</v>
      </c>
      <c r="I147" s="231">
        <v>1358.1</v>
      </c>
      <c r="J147" s="231">
        <v>1412.4</v>
      </c>
      <c r="K147" s="228">
        <v>-54.3</v>
      </c>
      <c r="L147" s="229">
        <v>-3.8399999999999997E-2</v>
      </c>
      <c r="M147" s="231">
        <v>1356.2</v>
      </c>
      <c r="N147" s="231">
        <v>1417</v>
      </c>
      <c r="O147" s="228">
        <v>-60.8</v>
      </c>
      <c r="P147" s="229">
        <v>-4.2900000000000001E-2</v>
      </c>
      <c r="Q147" s="228">
        <v>0</v>
      </c>
      <c r="R147" s="228">
        <v>0</v>
      </c>
      <c r="S147" s="228">
        <v>0</v>
      </c>
      <c r="T147" s="229">
        <v>0</v>
      </c>
      <c r="U147" s="228">
        <v>0</v>
      </c>
      <c r="V147" s="228">
        <v>0</v>
      </c>
      <c r="W147" s="228">
        <v>0</v>
      </c>
      <c r="X147" s="229">
        <v>0</v>
      </c>
      <c r="Y147" s="228">
        <v>0</v>
      </c>
      <c r="Z147" s="228">
        <v>4.5999999999999996</v>
      </c>
      <c r="AA147" s="228">
        <v>0</v>
      </c>
      <c r="AB147" s="229">
        <v>0</v>
      </c>
      <c r="AC147" s="228">
        <v>-1.9</v>
      </c>
      <c r="AD147" s="228">
        <v>4.5999999999999996</v>
      </c>
      <c r="AE147" s="228">
        <v>-6.5</v>
      </c>
      <c r="AF147" s="229">
        <v>-1.4E-3</v>
      </c>
      <c r="AG147" s="228">
        <v>0</v>
      </c>
      <c r="AH147" s="228">
        <v>0</v>
      </c>
      <c r="AI147" s="228">
        <v>0</v>
      </c>
      <c r="AJ147" s="229">
        <v>0</v>
      </c>
      <c r="AK147" s="228">
        <v>0</v>
      </c>
      <c r="AL147" s="228">
        <v>0</v>
      </c>
      <c r="AM147" s="228">
        <v>0</v>
      </c>
      <c r="AN147" s="229">
        <v>0</v>
      </c>
      <c r="AO147" s="231">
        <v>1376.47</v>
      </c>
      <c r="AP147" s="228">
        <v>0</v>
      </c>
      <c r="AQ147" s="228">
        <v>0</v>
      </c>
      <c r="AR147" s="230">
        <v>760000</v>
      </c>
      <c r="AS147" s="230">
        <v>748800</v>
      </c>
      <c r="AT147" s="230">
        <v>11200</v>
      </c>
      <c r="AU147" s="229">
        <v>1.4999999999999999E-2</v>
      </c>
      <c r="AV147" s="230">
        <v>760000</v>
      </c>
      <c r="AW147" s="230">
        <v>748800</v>
      </c>
      <c r="AX147" s="230">
        <v>11200</v>
      </c>
      <c r="AY147" s="229">
        <v>1.4999999999999999E-2</v>
      </c>
      <c r="AZ147" s="228">
        <v>0</v>
      </c>
      <c r="BA147" s="228">
        <v>0</v>
      </c>
      <c r="BB147" s="228">
        <v>0</v>
      </c>
      <c r="BC147" s="229">
        <v>0</v>
      </c>
      <c r="BD147" s="228">
        <v>0</v>
      </c>
      <c r="BE147" s="228">
        <v>0</v>
      </c>
      <c r="BF147" s="228">
        <v>0</v>
      </c>
      <c r="BG147" s="229">
        <v>0</v>
      </c>
      <c r="BH147" s="230">
        <v>1562800</v>
      </c>
      <c r="BI147" s="230">
        <v>3194400</v>
      </c>
      <c r="BJ147" s="230">
        <v>-1631600</v>
      </c>
      <c r="BK147" s="229">
        <v>-0.51080000000000003</v>
      </c>
      <c r="BL147" s="230">
        <v>592000</v>
      </c>
      <c r="BM147" s="230">
        <v>1070400</v>
      </c>
      <c r="BN147" s="230">
        <v>-478400</v>
      </c>
      <c r="BO147" s="229">
        <v>-0.44690000000000002</v>
      </c>
      <c r="BP147" s="230">
        <v>2914800</v>
      </c>
      <c r="BQ147" s="230">
        <v>5013600</v>
      </c>
      <c r="BR147" s="230">
        <v>-2098800</v>
      </c>
      <c r="BS147" s="229">
        <v>-0.41860000000000003</v>
      </c>
      <c r="BT147" s="230">
        <v>647895</v>
      </c>
      <c r="BU147" s="230">
        <v>446982</v>
      </c>
      <c r="BV147" s="230">
        <v>200913</v>
      </c>
      <c r="BW147" s="229">
        <v>0.44950000000000001</v>
      </c>
      <c r="BX147" s="228">
        <v>0</v>
      </c>
      <c r="BY147" s="230">
        <v>524800</v>
      </c>
      <c r="BZ147" s="230">
        <v>-524800</v>
      </c>
      <c r="CA147" s="229">
        <v>-1</v>
      </c>
      <c r="CB147" s="230">
        <v>276000</v>
      </c>
      <c r="CC147" s="230">
        <v>524800</v>
      </c>
      <c r="CD147" s="230">
        <v>-248800</v>
      </c>
      <c r="CE147" s="229">
        <v>-0.47410000000000002</v>
      </c>
      <c r="CF147" s="228">
        <v>0</v>
      </c>
      <c r="CG147" s="228">
        <v>0</v>
      </c>
      <c r="CH147" s="228">
        <v>0</v>
      </c>
      <c r="CI147" s="229">
        <v>0</v>
      </c>
      <c r="CJ147" s="228">
        <v>0</v>
      </c>
      <c r="CK147" s="228">
        <v>0</v>
      </c>
      <c r="CL147" s="228">
        <v>0</v>
      </c>
      <c r="CM147" s="229">
        <v>0</v>
      </c>
      <c r="CN147" s="230">
        <v>1472000</v>
      </c>
      <c r="CO147" s="230">
        <v>2148400</v>
      </c>
      <c r="CP147" s="230">
        <v>-676400</v>
      </c>
      <c r="CQ147" s="229">
        <v>-0.31480000000000002</v>
      </c>
      <c r="CR147" s="230">
        <v>832800</v>
      </c>
      <c r="CS147" s="230">
        <v>1008000</v>
      </c>
      <c r="CT147" s="230">
        <v>-175200</v>
      </c>
      <c r="CU147" s="229">
        <v>-0.17380000000000001</v>
      </c>
      <c r="CV147" s="230">
        <v>2304800</v>
      </c>
      <c r="CW147" s="230">
        <v>3681200</v>
      </c>
      <c r="CX147" s="230">
        <v>-1376400</v>
      </c>
      <c r="CY147" s="229">
        <v>-0.37390000000000001</v>
      </c>
      <c r="CZ147" s="228">
        <v>45.05</v>
      </c>
      <c r="DA147" s="228">
        <v>45.05</v>
      </c>
      <c r="DB147" s="228">
        <v>0</v>
      </c>
      <c r="DC147" s="228">
        <v>0</v>
      </c>
      <c r="DD147" s="228">
        <v>45.05</v>
      </c>
      <c r="DE147" s="228">
        <v>45.05</v>
      </c>
      <c r="DF147" s="228">
        <v>0</v>
      </c>
      <c r="DG147" s="228">
        <v>0</v>
      </c>
      <c r="DH147" s="228">
        <v>45.05</v>
      </c>
      <c r="DI147" s="228">
        <v>45.05</v>
      </c>
      <c r="DJ147" s="228">
        <v>0</v>
      </c>
      <c r="DK147" s="228">
        <v>0</v>
      </c>
      <c r="DL147" s="228">
        <v>45.05</v>
      </c>
      <c r="DM147" s="228">
        <v>45.05</v>
      </c>
      <c r="DN147" s="228">
        <v>0</v>
      </c>
      <c r="DO147" s="228">
        <v>0</v>
      </c>
      <c r="DP147" s="228">
        <v>0.56999999999999995</v>
      </c>
      <c r="DQ147" s="228">
        <v>0.47</v>
      </c>
      <c r="DR147" s="228">
        <v>0.1</v>
      </c>
      <c r="DS147" s="229">
        <v>0.21279999999999999</v>
      </c>
      <c r="DT147" s="231">
        <v>1600</v>
      </c>
      <c r="DU147" s="231">
        <v>1400</v>
      </c>
      <c r="DV147" s="228">
        <v>0.38</v>
      </c>
      <c r="DW147" s="228">
        <v>0.34</v>
      </c>
      <c r="DX147" s="228">
        <v>0.04</v>
      </c>
      <c r="DY147" s="229">
        <v>0.1176</v>
      </c>
      <c r="DZ147" s="229">
        <v>0</v>
      </c>
      <c r="EA147" s="228">
        <v>0</v>
      </c>
      <c r="EB147" s="229">
        <v>0</v>
      </c>
      <c r="EC147" s="229">
        <v>0</v>
      </c>
      <c r="ED147" s="228">
        <v>0</v>
      </c>
      <c r="EE147" s="229">
        <v>0</v>
      </c>
      <c r="EF147" s="230">
        <v>356276</v>
      </c>
      <c r="EG147" s="230">
        <v>184377</v>
      </c>
      <c r="EH147" s="229">
        <v>0.93230000000000002</v>
      </c>
      <c r="EI147" s="229">
        <v>0.54990000000000006</v>
      </c>
      <c r="EJ147" s="231">
        <v>23190.86</v>
      </c>
      <c r="EK147" s="231">
        <v>8385.02</v>
      </c>
      <c r="EL147" s="231">
        <v>10461.16</v>
      </c>
      <c r="EM147" s="228">
        <v>0</v>
      </c>
      <c r="EN147" s="231">
        <v>42037.04</v>
      </c>
      <c r="EO147" s="231">
        <v>72583.19</v>
      </c>
      <c r="EP147" s="231">
        <v>-30546.15</v>
      </c>
      <c r="EQ147" s="229">
        <v>-0.42080000000000001</v>
      </c>
      <c r="ER147" s="228">
        <v>0</v>
      </c>
      <c r="ES147" s="228">
        <v>0</v>
      </c>
      <c r="ET147" s="228">
        <v>0</v>
      </c>
      <c r="EU147" s="231">
        <v>13335005</v>
      </c>
      <c r="EV147" s="228">
        <v>0</v>
      </c>
      <c r="EW147" s="231">
        <v>54784</v>
      </c>
      <c r="EX147" s="231">
        <v>-54784</v>
      </c>
      <c r="EY147" s="229">
        <v>-1</v>
      </c>
      <c r="EZ147" s="229">
        <v>0.17280000000000001</v>
      </c>
      <c r="FA147" s="227" t="s">
        <v>237</v>
      </c>
      <c r="FB147" s="161">
        <f t="shared" si="3"/>
        <v>0</v>
      </c>
    </row>
    <row r="148" spans="1:158" ht="17.25" thickBot="1" x14ac:dyDescent="0.3">
      <c r="A148" s="226">
        <v>45869</v>
      </c>
      <c r="B148" s="227" t="s">
        <v>181</v>
      </c>
      <c r="C148" s="227" t="s">
        <v>563</v>
      </c>
      <c r="D148" s="228">
        <v>140</v>
      </c>
      <c r="E148" s="231">
        <v>12920.65</v>
      </c>
      <c r="F148" s="231">
        <v>13058.7</v>
      </c>
      <c r="G148" s="228">
        <v>-138.05000000000001</v>
      </c>
      <c r="H148" s="229">
        <v>-1.06E-2</v>
      </c>
      <c r="I148" s="231">
        <v>12867.1</v>
      </c>
      <c r="J148" s="231">
        <v>13009.65</v>
      </c>
      <c r="K148" s="228">
        <v>-142.55000000000001</v>
      </c>
      <c r="L148" s="229">
        <v>-1.0999999999999999E-2</v>
      </c>
      <c r="M148" s="231">
        <v>12883.05</v>
      </c>
      <c r="N148" s="231">
        <v>13025</v>
      </c>
      <c r="O148" s="228">
        <v>-141.94999999999999</v>
      </c>
      <c r="P148" s="229">
        <v>-1.09E-2</v>
      </c>
      <c r="Q148" s="231">
        <v>12920.65</v>
      </c>
      <c r="R148" s="231">
        <v>13058.7</v>
      </c>
      <c r="S148" s="228">
        <v>-138.05000000000001</v>
      </c>
      <c r="T148" s="229">
        <v>-1.06E-2</v>
      </c>
      <c r="U148" s="231">
        <v>12970.65</v>
      </c>
      <c r="V148" s="231">
        <v>13101.05</v>
      </c>
      <c r="W148" s="228">
        <v>-130.4</v>
      </c>
      <c r="X148" s="229">
        <v>-0.01</v>
      </c>
      <c r="Y148" s="228">
        <v>53.55</v>
      </c>
      <c r="Z148" s="228">
        <v>15.35</v>
      </c>
      <c r="AA148" s="228">
        <v>38.200000000000003</v>
      </c>
      <c r="AB148" s="229">
        <v>4.1999999999999997E-3</v>
      </c>
      <c r="AC148" s="228">
        <v>15.95</v>
      </c>
      <c r="AD148" s="228">
        <v>15.35</v>
      </c>
      <c r="AE148" s="228">
        <v>0.6</v>
      </c>
      <c r="AF148" s="229">
        <v>1.1999999999999999E-3</v>
      </c>
      <c r="AG148" s="228">
        <v>53.55</v>
      </c>
      <c r="AH148" s="228">
        <v>49.05</v>
      </c>
      <c r="AI148" s="228">
        <v>4.5</v>
      </c>
      <c r="AJ148" s="229">
        <v>4.1999999999999997E-3</v>
      </c>
      <c r="AK148" s="228">
        <v>103.55</v>
      </c>
      <c r="AL148" s="228">
        <v>91.4</v>
      </c>
      <c r="AM148" s="228">
        <v>12.15</v>
      </c>
      <c r="AN148" s="229">
        <v>8.0000000000000002E-3</v>
      </c>
      <c r="AO148" s="231">
        <v>12881.81</v>
      </c>
      <c r="AP148" s="231">
        <v>12927.03</v>
      </c>
      <c r="AQ148" s="228">
        <v>0</v>
      </c>
      <c r="AR148" s="230">
        <v>2360540</v>
      </c>
      <c r="AS148" s="230">
        <v>1387820</v>
      </c>
      <c r="AT148" s="230">
        <v>972720</v>
      </c>
      <c r="AU148" s="229">
        <v>0.70089999999999997</v>
      </c>
      <c r="AV148" s="230">
        <v>932540</v>
      </c>
      <c r="AW148" s="230">
        <v>751940</v>
      </c>
      <c r="AX148" s="230">
        <v>180600</v>
      </c>
      <c r="AY148" s="229">
        <v>0.2402</v>
      </c>
      <c r="AZ148" s="230">
        <v>1386980</v>
      </c>
      <c r="BA148" s="230">
        <v>619080</v>
      </c>
      <c r="BB148" s="230">
        <v>767900</v>
      </c>
      <c r="BC148" s="229">
        <v>1.2403999999999999</v>
      </c>
      <c r="BD148" s="230">
        <v>41020</v>
      </c>
      <c r="BE148" s="230">
        <v>16800</v>
      </c>
      <c r="BF148" s="230">
        <v>24220</v>
      </c>
      <c r="BG148" s="229">
        <v>1.4417</v>
      </c>
      <c r="BH148" s="230">
        <v>801517500</v>
      </c>
      <c r="BI148" s="230">
        <v>220692360</v>
      </c>
      <c r="BJ148" s="230">
        <v>580825140</v>
      </c>
      <c r="BK148" s="229">
        <v>2.6318000000000001</v>
      </c>
      <c r="BL148" s="230">
        <v>733815460</v>
      </c>
      <c r="BM148" s="230">
        <v>195625360</v>
      </c>
      <c r="BN148" s="230">
        <v>538190100</v>
      </c>
      <c r="BO148" s="229">
        <v>2.7511000000000001</v>
      </c>
      <c r="BP148" s="230">
        <v>1537693500</v>
      </c>
      <c r="BQ148" s="230">
        <v>417705540</v>
      </c>
      <c r="BR148" s="230">
        <v>1119987960</v>
      </c>
      <c r="BS148" s="229">
        <v>2.6812999999999998</v>
      </c>
      <c r="BT148" s="228">
        <v>0</v>
      </c>
      <c r="BU148" s="228">
        <v>0</v>
      </c>
      <c r="BV148" s="228">
        <v>0</v>
      </c>
      <c r="BW148" s="229">
        <v>0</v>
      </c>
      <c r="BX148" s="230">
        <v>2213400</v>
      </c>
      <c r="BY148" s="230">
        <v>2575440</v>
      </c>
      <c r="BZ148" s="230">
        <v>-362040</v>
      </c>
      <c r="CA148" s="229">
        <v>-0.1406</v>
      </c>
      <c r="CB148" s="230">
        <v>386260</v>
      </c>
      <c r="CC148" s="230">
        <v>868840</v>
      </c>
      <c r="CD148" s="230">
        <v>-482580</v>
      </c>
      <c r="CE148" s="229">
        <v>-0.5554</v>
      </c>
      <c r="CF148" s="230">
        <v>2179240</v>
      </c>
      <c r="CG148" s="230">
        <v>1680980</v>
      </c>
      <c r="CH148" s="230">
        <v>498260</v>
      </c>
      <c r="CI148" s="229">
        <v>0.2964</v>
      </c>
      <c r="CJ148" s="230">
        <v>34160</v>
      </c>
      <c r="CK148" s="230">
        <v>25620</v>
      </c>
      <c r="CL148" s="230">
        <v>8540</v>
      </c>
      <c r="CM148" s="229">
        <v>0.33329999999999999</v>
      </c>
      <c r="CN148" s="230">
        <v>1486660</v>
      </c>
      <c r="CO148" s="230">
        <v>19585020</v>
      </c>
      <c r="CP148" s="230">
        <v>-18098360</v>
      </c>
      <c r="CQ148" s="229">
        <v>-0.92410000000000003</v>
      </c>
      <c r="CR148" s="230">
        <v>1782480</v>
      </c>
      <c r="CS148" s="230">
        <v>14915880</v>
      </c>
      <c r="CT148" s="230">
        <v>-13133400</v>
      </c>
      <c r="CU148" s="229">
        <v>-0.88049999999999995</v>
      </c>
      <c r="CV148" s="230">
        <v>5482540</v>
      </c>
      <c r="CW148" s="230">
        <v>37076340</v>
      </c>
      <c r="CX148" s="230">
        <v>-31593800</v>
      </c>
      <c r="CY148" s="229">
        <v>-0.85209999999999997</v>
      </c>
      <c r="CZ148" s="228">
        <v>18.89</v>
      </c>
      <c r="DA148" s="228">
        <v>17.68</v>
      </c>
      <c r="DB148" s="228">
        <v>1.21</v>
      </c>
      <c r="DC148" s="228">
        <v>1.21</v>
      </c>
      <c r="DD148" s="228">
        <v>24.04</v>
      </c>
      <c r="DE148" s="228">
        <v>24.06</v>
      </c>
      <c r="DF148" s="228">
        <v>-5.15</v>
      </c>
      <c r="DG148" s="228">
        <v>-0.02</v>
      </c>
      <c r="DH148" s="228">
        <v>18.21</v>
      </c>
      <c r="DI148" s="228">
        <v>17.18</v>
      </c>
      <c r="DJ148" s="228">
        <v>1.03</v>
      </c>
      <c r="DK148" s="228">
        <v>1.03</v>
      </c>
      <c r="DL148" s="228">
        <v>19.64</v>
      </c>
      <c r="DM148" s="228">
        <v>18.25</v>
      </c>
      <c r="DN148" s="228">
        <v>1.39</v>
      </c>
      <c r="DO148" s="228">
        <v>1.39</v>
      </c>
      <c r="DP148" s="228">
        <v>1.2</v>
      </c>
      <c r="DQ148" s="228">
        <v>0.76</v>
      </c>
      <c r="DR148" s="228">
        <v>0.44</v>
      </c>
      <c r="DS148" s="229">
        <v>0.57889999999999997</v>
      </c>
      <c r="DT148" s="231">
        <v>12875</v>
      </c>
      <c r="DU148" s="231">
        <v>12850</v>
      </c>
      <c r="DV148" s="228">
        <v>0.92</v>
      </c>
      <c r="DW148" s="228">
        <v>0.89</v>
      </c>
      <c r="DX148" s="228">
        <v>0.03</v>
      </c>
      <c r="DY148" s="229">
        <v>3.3700000000000001E-2</v>
      </c>
      <c r="DZ148" s="229">
        <v>0.85140000000000005</v>
      </c>
      <c r="EA148" s="230">
        <v>1706600</v>
      </c>
      <c r="EB148" s="229">
        <v>2.8999999999999998E-3</v>
      </c>
      <c r="EC148" s="229">
        <v>0.85140000000000005</v>
      </c>
      <c r="ED148" s="228">
        <v>45.22</v>
      </c>
      <c r="EE148" s="229">
        <v>3.5000000000000001E-3</v>
      </c>
      <c r="EF148" s="228">
        <v>0</v>
      </c>
      <c r="EG148" s="228">
        <v>0</v>
      </c>
      <c r="EH148" s="229">
        <v>0</v>
      </c>
      <c r="EI148" s="229">
        <v>0</v>
      </c>
      <c r="EJ148" s="231">
        <v>104471735.45999999</v>
      </c>
      <c r="EK148" s="231">
        <v>94025389.709999993</v>
      </c>
      <c r="EL148" s="231">
        <v>304741.57</v>
      </c>
      <c r="EM148" s="228">
        <v>0</v>
      </c>
      <c r="EN148" s="231">
        <v>198801866.74000001</v>
      </c>
      <c r="EO148" s="231">
        <v>54604829.869999997</v>
      </c>
      <c r="EP148" s="231">
        <v>144197036.87</v>
      </c>
      <c r="EQ148" s="229">
        <v>2.6406999999999998</v>
      </c>
      <c r="ER148" s="231">
        <v>197434</v>
      </c>
      <c r="ES148" s="231">
        <v>220775</v>
      </c>
      <c r="ET148" s="231">
        <v>286003</v>
      </c>
      <c r="EU148" s="228">
        <v>0</v>
      </c>
      <c r="EV148" s="231">
        <v>704212</v>
      </c>
      <c r="EW148" s="231">
        <v>4865504</v>
      </c>
      <c r="EX148" s="231">
        <v>-4161292</v>
      </c>
      <c r="EY148" s="229">
        <v>-0.85529999999999995</v>
      </c>
      <c r="EZ148" s="229">
        <v>0</v>
      </c>
      <c r="FA148" s="227" t="s">
        <v>568</v>
      </c>
      <c r="FB148" s="161">
        <f t="shared" si="3"/>
        <v>0</v>
      </c>
    </row>
    <row r="149" spans="1:158" ht="17.25" thickBot="1" x14ac:dyDescent="0.3">
      <c r="A149" s="226">
        <v>45869</v>
      </c>
      <c r="B149" s="227" t="s">
        <v>162</v>
      </c>
      <c r="C149" s="227" t="s">
        <v>559</v>
      </c>
      <c r="D149" s="228">
        <v>6150</v>
      </c>
      <c r="E149" s="228">
        <v>97.68</v>
      </c>
      <c r="F149" s="228">
        <v>99.23</v>
      </c>
      <c r="G149" s="228">
        <v>-1.55</v>
      </c>
      <c r="H149" s="229">
        <v>-1.5599999999999999E-2</v>
      </c>
      <c r="I149" s="228">
        <v>97.17</v>
      </c>
      <c r="J149" s="228">
        <v>98.92</v>
      </c>
      <c r="K149" s="228">
        <v>-1.75</v>
      </c>
      <c r="L149" s="229">
        <v>-1.77E-2</v>
      </c>
      <c r="M149" s="228">
        <v>97.07</v>
      </c>
      <c r="N149" s="228">
        <v>98.81</v>
      </c>
      <c r="O149" s="228">
        <v>-1.74</v>
      </c>
      <c r="P149" s="229">
        <v>-1.7600000000000001E-2</v>
      </c>
      <c r="Q149" s="228">
        <v>97.68</v>
      </c>
      <c r="R149" s="228">
        <v>99.23</v>
      </c>
      <c r="S149" s="228">
        <v>-1.55</v>
      </c>
      <c r="T149" s="229">
        <v>-1.5599999999999999E-2</v>
      </c>
      <c r="U149" s="228">
        <v>98.26</v>
      </c>
      <c r="V149" s="228">
        <v>99.8</v>
      </c>
      <c r="W149" s="228">
        <v>-1.54</v>
      </c>
      <c r="X149" s="229">
        <v>-1.54E-2</v>
      </c>
      <c r="Y149" s="228">
        <v>0.51</v>
      </c>
      <c r="Z149" s="228">
        <v>-0.11</v>
      </c>
      <c r="AA149" s="228">
        <v>0.62</v>
      </c>
      <c r="AB149" s="229">
        <v>5.1999999999999998E-3</v>
      </c>
      <c r="AC149" s="228">
        <v>-0.1</v>
      </c>
      <c r="AD149" s="228">
        <v>-0.11</v>
      </c>
      <c r="AE149" s="228">
        <v>0.01</v>
      </c>
      <c r="AF149" s="229">
        <v>-1E-3</v>
      </c>
      <c r="AG149" s="228">
        <v>0.51</v>
      </c>
      <c r="AH149" s="228">
        <v>0.31</v>
      </c>
      <c r="AI149" s="228">
        <v>0.2</v>
      </c>
      <c r="AJ149" s="229">
        <v>5.1999999999999998E-3</v>
      </c>
      <c r="AK149" s="228">
        <v>1.0900000000000001</v>
      </c>
      <c r="AL149" s="228">
        <v>0.88</v>
      </c>
      <c r="AM149" s="228">
        <v>0.21</v>
      </c>
      <c r="AN149" s="229">
        <v>1.12E-2</v>
      </c>
      <c r="AO149" s="228">
        <v>97.54</v>
      </c>
      <c r="AP149" s="228">
        <v>97.94</v>
      </c>
      <c r="AQ149" s="228">
        <v>0</v>
      </c>
      <c r="AR149" s="230">
        <v>86610450</v>
      </c>
      <c r="AS149" s="230">
        <v>96997800</v>
      </c>
      <c r="AT149" s="230">
        <v>-10387350</v>
      </c>
      <c r="AU149" s="229">
        <v>-0.1071</v>
      </c>
      <c r="AV149" s="230">
        <v>38025450</v>
      </c>
      <c r="AW149" s="230">
        <v>40430100</v>
      </c>
      <c r="AX149" s="230">
        <v>-2404650</v>
      </c>
      <c r="AY149" s="229">
        <v>-5.9499999999999997E-2</v>
      </c>
      <c r="AZ149" s="230">
        <v>46881450</v>
      </c>
      <c r="BA149" s="230">
        <v>55214700</v>
      </c>
      <c r="BB149" s="230">
        <v>-8333250</v>
      </c>
      <c r="BC149" s="229">
        <v>-0.15090000000000001</v>
      </c>
      <c r="BD149" s="230">
        <v>1703550</v>
      </c>
      <c r="BE149" s="230">
        <v>1353000</v>
      </c>
      <c r="BF149" s="230">
        <v>350550</v>
      </c>
      <c r="BG149" s="229">
        <v>0.2591</v>
      </c>
      <c r="BH149" s="230">
        <v>25694700</v>
      </c>
      <c r="BI149" s="230">
        <v>38726550</v>
      </c>
      <c r="BJ149" s="230">
        <v>-13031850</v>
      </c>
      <c r="BK149" s="229">
        <v>-0.33650000000000002</v>
      </c>
      <c r="BL149" s="230">
        <v>24421650</v>
      </c>
      <c r="BM149" s="230">
        <v>25848450</v>
      </c>
      <c r="BN149" s="230">
        <v>-1426800</v>
      </c>
      <c r="BO149" s="229">
        <v>-5.5199999999999999E-2</v>
      </c>
      <c r="BP149" s="230">
        <v>136726800</v>
      </c>
      <c r="BQ149" s="230">
        <v>161572800</v>
      </c>
      <c r="BR149" s="230">
        <v>-24846000</v>
      </c>
      <c r="BS149" s="229">
        <v>-0.15379999999999999</v>
      </c>
      <c r="BT149" s="230">
        <v>18075661</v>
      </c>
      <c r="BU149" s="230">
        <v>16851928</v>
      </c>
      <c r="BV149" s="230">
        <v>1223733</v>
      </c>
      <c r="BW149" s="229">
        <v>7.2599999999999998E-2</v>
      </c>
      <c r="BX149" s="230">
        <v>155730300</v>
      </c>
      <c r="BY149" s="230">
        <v>160515000</v>
      </c>
      <c r="BZ149" s="230">
        <v>-4784700</v>
      </c>
      <c r="CA149" s="229">
        <v>-2.98E-2</v>
      </c>
      <c r="CB149" s="230">
        <v>9114300</v>
      </c>
      <c r="CC149" s="230">
        <v>27896400</v>
      </c>
      <c r="CD149" s="230">
        <v>-18782100</v>
      </c>
      <c r="CE149" s="229">
        <v>-0.67330000000000001</v>
      </c>
      <c r="CF149" s="230">
        <v>152809050</v>
      </c>
      <c r="CG149" s="230">
        <v>130275450</v>
      </c>
      <c r="CH149" s="230">
        <v>22533600</v>
      </c>
      <c r="CI149" s="229">
        <v>0.17299999999999999</v>
      </c>
      <c r="CJ149" s="230">
        <v>2921250</v>
      </c>
      <c r="CK149" s="230">
        <v>2343150</v>
      </c>
      <c r="CL149" s="230">
        <v>578100</v>
      </c>
      <c r="CM149" s="229">
        <v>0.2467</v>
      </c>
      <c r="CN149" s="230">
        <v>19003500</v>
      </c>
      <c r="CO149" s="230">
        <v>43535850</v>
      </c>
      <c r="CP149" s="230">
        <v>-24532350</v>
      </c>
      <c r="CQ149" s="229">
        <v>-0.5635</v>
      </c>
      <c r="CR149" s="230">
        <v>13093350</v>
      </c>
      <c r="CS149" s="230">
        <v>26555700</v>
      </c>
      <c r="CT149" s="230">
        <v>-13462350</v>
      </c>
      <c r="CU149" s="229">
        <v>-0.50690000000000002</v>
      </c>
      <c r="CV149" s="230">
        <v>187827150</v>
      </c>
      <c r="CW149" s="230">
        <v>230606550</v>
      </c>
      <c r="CX149" s="230">
        <v>-42779400</v>
      </c>
      <c r="CY149" s="229">
        <v>-0.1855</v>
      </c>
      <c r="CZ149" s="228">
        <v>36.549999999999997</v>
      </c>
      <c r="DA149" s="228">
        <v>34.57</v>
      </c>
      <c r="DB149" s="228">
        <v>1.98</v>
      </c>
      <c r="DC149" s="228">
        <v>1.98</v>
      </c>
      <c r="DD149" s="228">
        <v>41.97</v>
      </c>
      <c r="DE149" s="228">
        <v>42.02</v>
      </c>
      <c r="DF149" s="228">
        <v>-5.42</v>
      </c>
      <c r="DG149" s="228">
        <v>-0.05</v>
      </c>
      <c r="DH149" s="228">
        <v>36.520000000000003</v>
      </c>
      <c r="DI149" s="228">
        <v>34.71</v>
      </c>
      <c r="DJ149" s="228">
        <v>1.81</v>
      </c>
      <c r="DK149" s="228">
        <v>1.81</v>
      </c>
      <c r="DL149" s="228">
        <v>36.590000000000003</v>
      </c>
      <c r="DM149" s="228">
        <v>34.35</v>
      </c>
      <c r="DN149" s="228">
        <v>2.2400000000000002</v>
      </c>
      <c r="DO149" s="228">
        <v>2.2400000000000002</v>
      </c>
      <c r="DP149" s="228">
        <v>0.69</v>
      </c>
      <c r="DQ149" s="228">
        <v>0.61</v>
      </c>
      <c r="DR149" s="228">
        <v>0.08</v>
      </c>
      <c r="DS149" s="229">
        <v>0.13109999999999999</v>
      </c>
      <c r="DT149" s="228">
        <v>106.65</v>
      </c>
      <c r="DU149" s="228">
        <v>100</v>
      </c>
      <c r="DV149" s="228">
        <v>0.95</v>
      </c>
      <c r="DW149" s="228">
        <v>0.67</v>
      </c>
      <c r="DX149" s="228">
        <v>0.28000000000000003</v>
      </c>
      <c r="DY149" s="229">
        <v>0.41789999999999999</v>
      </c>
      <c r="DZ149" s="229">
        <v>0.94469999999999998</v>
      </c>
      <c r="EA149" s="230">
        <v>132618600</v>
      </c>
      <c r="EB149" s="229">
        <v>6.3E-3</v>
      </c>
      <c r="EC149" s="229">
        <v>0.94469999999999998</v>
      </c>
      <c r="ED149" s="228">
        <v>0.4</v>
      </c>
      <c r="EE149" s="229">
        <v>4.1000000000000003E-3</v>
      </c>
      <c r="EF149" s="230">
        <v>8647125</v>
      </c>
      <c r="EG149" s="230">
        <v>8450126</v>
      </c>
      <c r="EH149" s="229">
        <v>2.3300000000000001E-2</v>
      </c>
      <c r="EI149" s="229">
        <v>0.47839999999999999</v>
      </c>
      <c r="EJ149" s="231">
        <v>26711.22</v>
      </c>
      <c r="EK149" s="231">
        <v>24767.99</v>
      </c>
      <c r="EL149" s="231">
        <v>84681.71</v>
      </c>
      <c r="EM149" s="228">
        <v>0</v>
      </c>
      <c r="EN149" s="231">
        <v>136160.92000000001</v>
      </c>
      <c r="EO149" s="231">
        <v>164217.43</v>
      </c>
      <c r="EP149" s="231">
        <v>-28056.51</v>
      </c>
      <c r="EQ149" s="229">
        <v>-0.17080000000000001</v>
      </c>
      <c r="ER149" s="231">
        <v>20171</v>
      </c>
      <c r="ES149" s="231">
        <v>12967</v>
      </c>
      <c r="ET149" s="231">
        <v>152134</v>
      </c>
      <c r="EU149" s="231">
        <v>883911758</v>
      </c>
      <c r="EV149" s="231">
        <v>185273</v>
      </c>
      <c r="EW149" s="231">
        <v>231960</v>
      </c>
      <c r="EX149" s="231">
        <v>-46687</v>
      </c>
      <c r="EY149" s="229">
        <v>-0.20130000000000001</v>
      </c>
      <c r="EZ149" s="229">
        <v>0.21249999999999999</v>
      </c>
      <c r="FA149" s="227" t="s">
        <v>568</v>
      </c>
      <c r="FB149" s="161">
        <f t="shared" si="3"/>
        <v>0</v>
      </c>
    </row>
    <row r="150" spans="1:158" ht="17.25" thickBot="1" x14ac:dyDescent="0.3">
      <c r="A150" s="226">
        <v>45869</v>
      </c>
      <c r="B150" s="227" t="s">
        <v>221</v>
      </c>
      <c r="C150" s="227" t="s">
        <v>487</v>
      </c>
      <c r="D150" s="228">
        <v>275</v>
      </c>
      <c r="E150" s="231">
        <v>2799</v>
      </c>
      <c r="F150" s="231">
        <v>2819.2</v>
      </c>
      <c r="G150" s="228">
        <v>-20.2</v>
      </c>
      <c r="H150" s="229">
        <v>-7.1999999999999998E-3</v>
      </c>
      <c r="I150" s="231">
        <v>2790.2</v>
      </c>
      <c r="J150" s="231">
        <v>2806.6</v>
      </c>
      <c r="K150" s="228">
        <v>-16.399999999999999</v>
      </c>
      <c r="L150" s="229">
        <v>-5.7999999999999996E-3</v>
      </c>
      <c r="M150" s="231">
        <v>2789.8</v>
      </c>
      <c r="N150" s="231">
        <v>2806.3</v>
      </c>
      <c r="O150" s="228">
        <v>-16.5</v>
      </c>
      <c r="P150" s="229">
        <v>-5.8999999999999999E-3</v>
      </c>
      <c r="Q150" s="231">
        <v>2799</v>
      </c>
      <c r="R150" s="231">
        <v>2819.2</v>
      </c>
      <c r="S150" s="228">
        <v>-20.2</v>
      </c>
      <c r="T150" s="229">
        <v>-7.1999999999999998E-3</v>
      </c>
      <c r="U150" s="231">
        <v>2811.5</v>
      </c>
      <c r="V150" s="231">
        <v>2835.8</v>
      </c>
      <c r="W150" s="228">
        <v>-24.3</v>
      </c>
      <c r="X150" s="229">
        <v>-8.6E-3</v>
      </c>
      <c r="Y150" s="228">
        <v>8.8000000000000007</v>
      </c>
      <c r="Z150" s="228">
        <v>-0.3</v>
      </c>
      <c r="AA150" s="228">
        <v>9.1</v>
      </c>
      <c r="AB150" s="229">
        <v>3.2000000000000002E-3</v>
      </c>
      <c r="AC150" s="228">
        <v>-0.4</v>
      </c>
      <c r="AD150" s="228">
        <v>-0.3</v>
      </c>
      <c r="AE150" s="228">
        <v>-0.1</v>
      </c>
      <c r="AF150" s="229">
        <v>-1E-4</v>
      </c>
      <c r="AG150" s="228">
        <v>8.8000000000000007</v>
      </c>
      <c r="AH150" s="228">
        <v>12.6</v>
      </c>
      <c r="AI150" s="228">
        <v>-3.8</v>
      </c>
      <c r="AJ150" s="229">
        <v>3.2000000000000002E-3</v>
      </c>
      <c r="AK150" s="228">
        <v>21.3</v>
      </c>
      <c r="AL150" s="228">
        <v>29.2</v>
      </c>
      <c r="AM150" s="228">
        <v>-7.9</v>
      </c>
      <c r="AN150" s="229">
        <v>7.6E-3</v>
      </c>
      <c r="AO150" s="231">
        <v>2783.45</v>
      </c>
      <c r="AP150" s="231">
        <v>2795</v>
      </c>
      <c r="AQ150" s="228">
        <v>0</v>
      </c>
      <c r="AR150" s="230">
        <v>2613050</v>
      </c>
      <c r="AS150" s="230">
        <v>2988425</v>
      </c>
      <c r="AT150" s="230">
        <v>-375375</v>
      </c>
      <c r="AU150" s="229">
        <v>-0.12559999999999999</v>
      </c>
      <c r="AV150" s="230">
        <v>1034825</v>
      </c>
      <c r="AW150" s="230">
        <v>1307075</v>
      </c>
      <c r="AX150" s="230">
        <v>-272250</v>
      </c>
      <c r="AY150" s="229">
        <v>-0.20830000000000001</v>
      </c>
      <c r="AZ150" s="230">
        <v>1570250</v>
      </c>
      <c r="BA150" s="230">
        <v>1657700</v>
      </c>
      <c r="BB150" s="230">
        <v>-87450</v>
      </c>
      <c r="BC150" s="229">
        <v>-5.28E-2</v>
      </c>
      <c r="BD150" s="230">
        <v>7975</v>
      </c>
      <c r="BE150" s="230">
        <v>23650</v>
      </c>
      <c r="BF150" s="230">
        <v>-15675</v>
      </c>
      <c r="BG150" s="229">
        <v>-0.66279999999999994</v>
      </c>
      <c r="BH150" s="230">
        <v>1715450</v>
      </c>
      <c r="BI150" s="230">
        <v>4925525</v>
      </c>
      <c r="BJ150" s="230">
        <v>-3210075</v>
      </c>
      <c r="BK150" s="229">
        <v>-0.65169999999999995</v>
      </c>
      <c r="BL150" s="230">
        <v>1010625</v>
      </c>
      <c r="BM150" s="230">
        <v>1933250</v>
      </c>
      <c r="BN150" s="230">
        <v>-922625</v>
      </c>
      <c r="BO150" s="229">
        <v>-0.47720000000000001</v>
      </c>
      <c r="BP150" s="230">
        <v>5339125</v>
      </c>
      <c r="BQ150" s="230">
        <v>9847200</v>
      </c>
      <c r="BR150" s="230">
        <v>-4508075</v>
      </c>
      <c r="BS150" s="229">
        <v>-0.45779999999999998</v>
      </c>
      <c r="BT150" s="230">
        <v>545357</v>
      </c>
      <c r="BU150" s="230">
        <v>884812</v>
      </c>
      <c r="BV150" s="230">
        <v>-339455</v>
      </c>
      <c r="BW150" s="229">
        <v>-0.3836</v>
      </c>
      <c r="BX150" s="230">
        <v>4071375</v>
      </c>
      <c r="BY150" s="230">
        <v>4595250</v>
      </c>
      <c r="BZ150" s="230">
        <v>-523875</v>
      </c>
      <c r="CA150" s="229">
        <v>-0.114</v>
      </c>
      <c r="CB150" s="230">
        <v>509575</v>
      </c>
      <c r="CC150" s="230">
        <v>1047475</v>
      </c>
      <c r="CD150" s="230">
        <v>-537900</v>
      </c>
      <c r="CE150" s="229">
        <v>-0.51349999999999996</v>
      </c>
      <c r="CF150" s="230">
        <v>4043875</v>
      </c>
      <c r="CG150" s="230">
        <v>3523850</v>
      </c>
      <c r="CH150" s="230">
        <v>520025</v>
      </c>
      <c r="CI150" s="229">
        <v>0.14760000000000001</v>
      </c>
      <c r="CJ150" s="230">
        <v>27500</v>
      </c>
      <c r="CK150" s="230">
        <v>23925</v>
      </c>
      <c r="CL150" s="230">
        <v>3575</v>
      </c>
      <c r="CM150" s="229">
        <v>0.14940000000000001</v>
      </c>
      <c r="CN150" s="230">
        <v>368775</v>
      </c>
      <c r="CO150" s="230">
        <v>1258950</v>
      </c>
      <c r="CP150" s="230">
        <v>-890175</v>
      </c>
      <c r="CQ150" s="229">
        <v>-0.70709999999999995</v>
      </c>
      <c r="CR150" s="230">
        <v>250800</v>
      </c>
      <c r="CS150" s="230">
        <v>1060400</v>
      </c>
      <c r="CT150" s="230">
        <v>-809600</v>
      </c>
      <c r="CU150" s="229">
        <v>-0.76349999999999996</v>
      </c>
      <c r="CV150" s="230">
        <v>4690950</v>
      </c>
      <c r="CW150" s="230">
        <v>6914600</v>
      </c>
      <c r="CX150" s="230">
        <v>-2223650</v>
      </c>
      <c r="CY150" s="229">
        <v>-0.3216</v>
      </c>
      <c r="CZ150" s="228">
        <v>29.52</v>
      </c>
      <c r="DA150" s="228">
        <v>29.07</v>
      </c>
      <c r="DB150" s="228">
        <v>0.45</v>
      </c>
      <c r="DC150" s="228">
        <v>0.45</v>
      </c>
      <c r="DD150" s="228">
        <v>38.700000000000003</v>
      </c>
      <c r="DE150" s="228">
        <v>38.79</v>
      </c>
      <c r="DF150" s="228">
        <v>-9.18</v>
      </c>
      <c r="DG150" s="228">
        <v>-0.09</v>
      </c>
      <c r="DH150" s="228">
        <v>29.55</v>
      </c>
      <c r="DI150" s="228">
        <v>29.05</v>
      </c>
      <c r="DJ150" s="228">
        <v>0.5</v>
      </c>
      <c r="DK150" s="228">
        <v>0.5</v>
      </c>
      <c r="DL150" s="228">
        <v>29.48</v>
      </c>
      <c r="DM150" s="228">
        <v>29.12</v>
      </c>
      <c r="DN150" s="228">
        <v>0.36</v>
      </c>
      <c r="DO150" s="228">
        <v>0.36</v>
      </c>
      <c r="DP150" s="228">
        <v>0.68</v>
      </c>
      <c r="DQ150" s="228">
        <v>0.84</v>
      </c>
      <c r="DR150" s="228">
        <v>-0.16</v>
      </c>
      <c r="DS150" s="229">
        <v>-0.1905</v>
      </c>
      <c r="DT150" s="231">
        <v>2800</v>
      </c>
      <c r="DU150" s="231">
        <v>2700</v>
      </c>
      <c r="DV150" s="228">
        <v>0.59</v>
      </c>
      <c r="DW150" s="228">
        <v>0.39</v>
      </c>
      <c r="DX150" s="228">
        <v>0.2</v>
      </c>
      <c r="DY150" s="229">
        <v>0.51280000000000003</v>
      </c>
      <c r="DZ150" s="229">
        <v>0.88880000000000003</v>
      </c>
      <c r="EA150" s="230">
        <v>3547775</v>
      </c>
      <c r="EB150" s="229">
        <v>3.3E-3</v>
      </c>
      <c r="EC150" s="229">
        <v>0.88880000000000003</v>
      </c>
      <c r="ED150" s="228">
        <v>11.55</v>
      </c>
      <c r="EE150" s="229">
        <v>4.1000000000000003E-3</v>
      </c>
      <c r="EF150" s="230">
        <v>265065</v>
      </c>
      <c r="EG150" s="230">
        <v>481216</v>
      </c>
      <c r="EH150" s="229">
        <v>-0.44919999999999999</v>
      </c>
      <c r="EI150" s="229">
        <v>0.48599999999999999</v>
      </c>
      <c r="EJ150" s="231">
        <v>49553.91</v>
      </c>
      <c r="EK150" s="231">
        <v>27930.19</v>
      </c>
      <c r="EL150" s="231">
        <v>72915.81</v>
      </c>
      <c r="EM150" s="228">
        <v>0</v>
      </c>
      <c r="EN150" s="231">
        <v>150399.91</v>
      </c>
      <c r="EO150" s="231">
        <v>279464.14</v>
      </c>
      <c r="EP150" s="231">
        <v>-129064.23</v>
      </c>
      <c r="EQ150" s="229">
        <v>-0.46179999999999999</v>
      </c>
      <c r="ER150" s="231">
        <v>10630</v>
      </c>
      <c r="ES150" s="231">
        <v>6749</v>
      </c>
      <c r="ET150" s="231">
        <v>113961</v>
      </c>
      <c r="EU150" s="231">
        <v>22754935</v>
      </c>
      <c r="EV150" s="231">
        <v>131341</v>
      </c>
      <c r="EW150" s="231">
        <v>193661</v>
      </c>
      <c r="EX150" s="231">
        <v>-62320</v>
      </c>
      <c r="EY150" s="229">
        <v>-0.32179999999999997</v>
      </c>
      <c r="EZ150" s="229">
        <v>0.20619999999999999</v>
      </c>
      <c r="FA150" s="227" t="s">
        <v>568</v>
      </c>
      <c r="FB150" s="161">
        <f t="shared" si="3"/>
        <v>0</v>
      </c>
    </row>
    <row r="151" spans="1:158" ht="17.25" thickBot="1" x14ac:dyDescent="0.3">
      <c r="A151" s="226">
        <v>45869</v>
      </c>
      <c r="B151" s="227" t="s">
        <v>175</v>
      </c>
      <c r="C151" s="227" t="s">
        <v>262</v>
      </c>
      <c r="D151" s="228">
        <v>275</v>
      </c>
      <c r="E151" s="231">
        <v>2620</v>
      </c>
      <c r="F151" s="231">
        <v>2633.1</v>
      </c>
      <c r="G151" s="228">
        <v>-13.1</v>
      </c>
      <c r="H151" s="229">
        <v>-5.0000000000000001E-3</v>
      </c>
      <c r="I151" s="231">
        <v>2612.3000000000002</v>
      </c>
      <c r="J151" s="231">
        <v>2633.2</v>
      </c>
      <c r="K151" s="228">
        <v>-20.9</v>
      </c>
      <c r="L151" s="229">
        <v>-7.9000000000000008E-3</v>
      </c>
      <c r="M151" s="231">
        <v>2605.1999999999998</v>
      </c>
      <c r="N151" s="231">
        <v>2620.6999999999998</v>
      </c>
      <c r="O151" s="228">
        <v>-15.5</v>
      </c>
      <c r="P151" s="229">
        <v>-5.8999999999999999E-3</v>
      </c>
      <c r="Q151" s="231">
        <v>2620</v>
      </c>
      <c r="R151" s="231">
        <v>2633.1</v>
      </c>
      <c r="S151" s="228">
        <v>-13.1</v>
      </c>
      <c r="T151" s="229">
        <v>-5.0000000000000001E-3</v>
      </c>
      <c r="U151" s="231">
        <v>2625.8</v>
      </c>
      <c r="V151" s="231">
        <v>2641.4</v>
      </c>
      <c r="W151" s="228">
        <v>-15.6</v>
      </c>
      <c r="X151" s="229">
        <v>-5.8999999999999999E-3</v>
      </c>
      <c r="Y151" s="228">
        <v>7.7</v>
      </c>
      <c r="Z151" s="228">
        <v>-12.5</v>
      </c>
      <c r="AA151" s="228">
        <v>20.2</v>
      </c>
      <c r="AB151" s="229">
        <v>2.8999999999999998E-3</v>
      </c>
      <c r="AC151" s="228">
        <v>-7.1</v>
      </c>
      <c r="AD151" s="228">
        <v>-12.5</v>
      </c>
      <c r="AE151" s="228">
        <v>5.4</v>
      </c>
      <c r="AF151" s="229">
        <v>-2.7000000000000001E-3</v>
      </c>
      <c r="AG151" s="228">
        <v>7.7</v>
      </c>
      <c r="AH151" s="228">
        <v>-0.1</v>
      </c>
      <c r="AI151" s="228">
        <v>7.8</v>
      </c>
      <c r="AJ151" s="229">
        <v>2.8999999999999998E-3</v>
      </c>
      <c r="AK151" s="228">
        <v>13.5</v>
      </c>
      <c r="AL151" s="228">
        <v>8.1999999999999993</v>
      </c>
      <c r="AM151" s="228">
        <v>5.3</v>
      </c>
      <c r="AN151" s="229">
        <v>5.1999999999999998E-3</v>
      </c>
      <c r="AO151" s="231">
        <v>2610.92</v>
      </c>
      <c r="AP151" s="231">
        <v>2626.18</v>
      </c>
      <c r="AQ151" s="228">
        <v>0</v>
      </c>
      <c r="AR151" s="230">
        <v>3090725</v>
      </c>
      <c r="AS151" s="230">
        <v>2515700</v>
      </c>
      <c r="AT151" s="230">
        <v>575025</v>
      </c>
      <c r="AU151" s="229">
        <v>0.2286</v>
      </c>
      <c r="AV151" s="230">
        <v>1388750</v>
      </c>
      <c r="AW151" s="230">
        <v>1194875</v>
      </c>
      <c r="AX151" s="230">
        <v>193875</v>
      </c>
      <c r="AY151" s="229">
        <v>0.1623</v>
      </c>
      <c r="AZ151" s="230">
        <v>1696750</v>
      </c>
      <c r="BA151" s="230">
        <v>1317800</v>
      </c>
      <c r="BB151" s="230">
        <v>378950</v>
      </c>
      <c r="BC151" s="229">
        <v>0.28760000000000002</v>
      </c>
      <c r="BD151" s="230">
        <v>5225</v>
      </c>
      <c r="BE151" s="230">
        <v>3025</v>
      </c>
      <c r="BF151" s="230">
        <v>2200</v>
      </c>
      <c r="BG151" s="229">
        <v>0.72729999999999995</v>
      </c>
      <c r="BH151" s="230">
        <v>2189275</v>
      </c>
      <c r="BI151" s="230">
        <v>1642025</v>
      </c>
      <c r="BJ151" s="230">
        <v>547250</v>
      </c>
      <c r="BK151" s="229">
        <v>0.33329999999999999</v>
      </c>
      <c r="BL151" s="230">
        <v>946550</v>
      </c>
      <c r="BM151" s="230">
        <v>877525</v>
      </c>
      <c r="BN151" s="230">
        <v>69025</v>
      </c>
      <c r="BO151" s="229">
        <v>7.8700000000000006E-2</v>
      </c>
      <c r="BP151" s="230">
        <v>6226550</v>
      </c>
      <c r="BQ151" s="230">
        <v>5035250</v>
      </c>
      <c r="BR151" s="230">
        <v>1191300</v>
      </c>
      <c r="BS151" s="229">
        <v>0.2366</v>
      </c>
      <c r="BT151" s="230">
        <v>628583</v>
      </c>
      <c r="BU151" s="230">
        <v>695264</v>
      </c>
      <c r="BV151" s="230">
        <v>-66681</v>
      </c>
      <c r="BW151" s="229">
        <v>-9.5899999999999999E-2</v>
      </c>
      <c r="BX151" s="230">
        <v>3131150</v>
      </c>
      <c r="BY151" s="230">
        <v>5389725</v>
      </c>
      <c r="BZ151" s="230">
        <v>-2258575</v>
      </c>
      <c r="CA151" s="229">
        <v>-0.41909999999999997</v>
      </c>
      <c r="CB151" s="230">
        <v>1956900</v>
      </c>
      <c r="CC151" s="230">
        <v>2301750</v>
      </c>
      <c r="CD151" s="230">
        <v>-344850</v>
      </c>
      <c r="CE151" s="229">
        <v>-0.14979999999999999</v>
      </c>
      <c r="CF151" s="230">
        <v>3109975</v>
      </c>
      <c r="CG151" s="230">
        <v>3067900</v>
      </c>
      <c r="CH151" s="230">
        <v>42075</v>
      </c>
      <c r="CI151" s="229">
        <v>1.37E-2</v>
      </c>
      <c r="CJ151" s="230">
        <v>21175</v>
      </c>
      <c r="CK151" s="230">
        <v>20075</v>
      </c>
      <c r="CL151" s="230">
        <v>1100</v>
      </c>
      <c r="CM151" s="229">
        <v>5.4800000000000001E-2</v>
      </c>
      <c r="CN151" s="230">
        <v>1425875</v>
      </c>
      <c r="CO151" s="230">
        <v>2317975</v>
      </c>
      <c r="CP151" s="230">
        <v>-892100</v>
      </c>
      <c r="CQ151" s="229">
        <v>-0.38490000000000002</v>
      </c>
      <c r="CR151" s="230">
        <v>366300</v>
      </c>
      <c r="CS151" s="230">
        <v>1157475</v>
      </c>
      <c r="CT151" s="230">
        <v>-791175</v>
      </c>
      <c r="CU151" s="229">
        <v>-0.6835</v>
      </c>
      <c r="CV151" s="230">
        <v>4923325</v>
      </c>
      <c r="CW151" s="230">
        <v>8865175</v>
      </c>
      <c r="CX151" s="230">
        <v>-3941850</v>
      </c>
      <c r="CY151" s="229">
        <v>-0.4446</v>
      </c>
      <c r="CZ151" s="228">
        <v>32.33</v>
      </c>
      <c r="DA151" s="228">
        <v>31.02</v>
      </c>
      <c r="DB151" s="228">
        <v>1.31</v>
      </c>
      <c r="DC151" s="228">
        <v>1.31</v>
      </c>
      <c r="DD151" s="228">
        <v>36.090000000000003</v>
      </c>
      <c r="DE151" s="228">
        <v>36.17</v>
      </c>
      <c r="DF151" s="228">
        <v>-3.76</v>
      </c>
      <c r="DG151" s="228">
        <v>-0.08</v>
      </c>
      <c r="DH151" s="228">
        <v>32.19</v>
      </c>
      <c r="DI151" s="228">
        <v>30.42</v>
      </c>
      <c r="DJ151" s="228">
        <v>1.77</v>
      </c>
      <c r="DK151" s="228">
        <v>1.77</v>
      </c>
      <c r="DL151" s="228">
        <v>32.840000000000003</v>
      </c>
      <c r="DM151" s="228">
        <v>32.44</v>
      </c>
      <c r="DN151" s="228">
        <v>0.4</v>
      </c>
      <c r="DO151" s="228">
        <v>0.4</v>
      </c>
      <c r="DP151" s="228">
        <v>0.26</v>
      </c>
      <c r="DQ151" s="228">
        <v>0.5</v>
      </c>
      <c r="DR151" s="228">
        <v>-0.24</v>
      </c>
      <c r="DS151" s="229">
        <v>-0.48</v>
      </c>
      <c r="DT151" s="231">
        <v>2600</v>
      </c>
      <c r="DU151" s="231">
        <v>2500</v>
      </c>
      <c r="DV151" s="228">
        <v>0.43</v>
      </c>
      <c r="DW151" s="228">
        <v>0.53</v>
      </c>
      <c r="DX151" s="228">
        <v>-0.1</v>
      </c>
      <c r="DY151" s="229">
        <v>-0.18870000000000001</v>
      </c>
      <c r="DZ151" s="229">
        <v>0.61539999999999995</v>
      </c>
      <c r="EA151" s="230">
        <v>3087975</v>
      </c>
      <c r="EB151" s="229">
        <v>5.7000000000000002E-3</v>
      </c>
      <c r="EC151" s="229">
        <v>0.61539999999999995</v>
      </c>
      <c r="ED151" s="228">
        <v>15.26</v>
      </c>
      <c r="EE151" s="229">
        <v>5.7999999999999996E-3</v>
      </c>
      <c r="EF151" s="230">
        <v>439002</v>
      </c>
      <c r="EG151" s="230">
        <v>486540</v>
      </c>
      <c r="EH151" s="229">
        <v>-9.7699999999999995E-2</v>
      </c>
      <c r="EI151" s="229">
        <v>0.69840000000000002</v>
      </c>
      <c r="EJ151" s="231">
        <v>59613.87</v>
      </c>
      <c r="EK151" s="231">
        <v>24317.26</v>
      </c>
      <c r="EL151" s="231">
        <v>80956.259999999995</v>
      </c>
      <c r="EM151" s="228">
        <v>0</v>
      </c>
      <c r="EN151" s="231">
        <v>164887.39000000001</v>
      </c>
      <c r="EO151" s="231">
        <v>133062.67000000001</v>
      </c>
      <c r="EP151" s="231">
        <v>31824.720000000001</v>
      </c>
      <c r="EQ151" s="229">
        <v>0.2392</v>
      </c>
      <c r="ER151" s="231">
        <v>38017</v>
      </c>
      <c r="ES151" s="231">
        <v>9254</v>
      </c>
      <c r="ET151" s="231">
        <v>82037</v>
      </c>
      <c r="EU151" s="231">
        <v>21400003</v>
      </c>
      <c r="EV151" s="231">
        <v>129308</v>
      </c>
      <c r="EW151" s="231">
        <v>232764</v>
      </c>
      <c r="EX151" s="231">
        <v>-103456</v>
      </c>
      <c r="EY151" s="229">
        <v>-0.44450000000000001</v>
      </c>
      <c r="EZ151" s="229">
        <v>0.2301</v>
      </c>
      <c r="FA151" s="227" t="s">
        <v>568</v>
      </c>
      <c r="FB151" s="161">
        <f t="shared" si="3"/>
        <v>0</v>
      </c>
    </row>
    <row r="152" spans="1:158" ht="17.25" thickBot="1" x14ac:dyDescent="0.3">
      <c r="A152" s="226">
        <v>45869</v>
      </c>
      <c r="B152" s="227" t="s">
        <v>227</v>
      </c>
      <c r="C152" s="227" t="s">
        <v>263</v>
      </c>
      <c r="D152" s="228">
        <v>3750</v>
      </c>
      <c r="E152" s="228">
        <v>185.9</v>
      </c>
      <c r="F152" s="228">
        <v>187.86</v>
      </c>
      <c r="G152" s="228">
        <v>-1.96</v>
      </c>
      <c r="H152" s="229">
        <v>-1.04E-2</v>
      </c>
      <c r="I152" s="228">
        <v>185.06</v>
      </c>
      <c r="J152" s="228">
        <v>187.13</v>
      </c>
      <c r="K152" s="228">
        <v>-2.0699999999999998</v>
      </c>
      <c r="L152" s="229">
        <v>-1.11E-2</v>
      </c>
      <c r="M152" s="228">
        <v>185</v>
      </c>
      <c r="N152" s="228">
        <v>186.94</v>
      </c>
      <c r="O152" s="228">
        <v>-1.94</v>
      </c>
      <c r="P152" s="229">
        <v>-1.04E-2</v>
      </c>
      <c r="Q152" s="228">
        <v>185.9</v>
      </c>
      <c r="R152" s="228">
        <v>187.86</v>
      </c>
      <c r="S152" s="228">
        <v>-1.96</v>
      </c>
      <c r="T152" s="229">
        <v>-1.04E-2</v>
      </c>
      <c r="U152" s="228">
        <v>185.5</v>
      </c>
      <c r="V152" s="228">
        <v>188.1</v>
      </c>
      <c r="W152" s="228">
        <v>-2.6</v>
      </c>
      <c r="X152" s="229">
        <v>-1.38E-2</v>
      </c>
      <c r="Y152" s="228">
        <v>0.84</v>
      </c>
      <c r="Z152" s="228">
        <v>-0.19</v>
      </c>
      <c r="AA152" s="228">
        <v>1.03</v>
      </c>
      <c r="AB152" s="229">
        <v>4.4999999999999997E-3</v>
      </c>
      <c r="AC152" s="228">
        <v>-0.06</v>
      </c>
      <c r="AD152" s="228">
        <v>-0.19</v>
      </c>
      <c r="AE152" s="228">
        <v>0.13</v>
      </c>
      <c r="AF152" s="229">
        <v>-2.9999999999999997E-4</v>
      </c>
      <c r="AG152" s="228">
        <v>0.84</v>
      </c>
      <c r="AH152" s="228">
        <v>0.73</v>
      </c>
      <c r="AI152" s="228">
        <v>0.11</v>
      </c>
      <c r="AJ152" s="229">
        <v>4.4999999999999997E-3</v>
      </c>
      <c r="AK152" s="228">
        <v>0.44</v>
      </c>
      <c r="AL152" s="228">
        <v>0.97</v>
      </c>
      <c r="AM152" s="228">
        <v>-0.53</v>
      </c>
      <c r="AN152" s="229">
        <v>2.3999999999999998E-3</v>
      </c>
      <c r="AO152" s="228">
        <v>185.53</v>
      </c>
      <c r="AP152" s="228">
        <v>186.37</v>
      </c>
      <c r="AQ152" s="228">
        <v>0</v>
      </c>
      <c r="AR152" s="230">
        <v>45633750</v>
      </c>
      <c r="AS152" s="230">
        <v>45435000</v>
      </c>
      <c r="AT152" s="230">
        <v>198750</v>
      </c>
      <c r="AU152" s="229">
        <v>4.4000000000000003E-3</v>
      </c>
      <c r="AV152" s="230">
        <v>19803750</v>
      </c>
      <c r="AW152" s="230">
        <v>20943750</v>
      </c>
      <c r="AX152" s="230">
        <v>-1140000</v>
      </c>
      <c r="AY152" s="229">
        <v>-5.4399999999999997E-2</v>
      </c>
      <c r="AZ152" s="230">
        <v>25110000</v>
      </c>
      <c r="BA152" s="230">
        <v>24015000</v>
      </c>
      <c r="BB152" s="230">
        <v>1095000</v>
      </c>
      <c r="BC152" s="229">
        <v>4.5600000000000002E-2</v>
      </c>
      <c r="BD152" s="230">
        <v>720000</v>
      </c>
      <c r="BE152" s="230">
        <v>476250</v>
      </c>
      <c r="BF152" s="230">
        <v>243750</v>
      </c>
      <c r="BG152" s="229">
        <v>0.51180000000000003</v>
      </c>
      <c r="BH152" s="230">
        <v>28110000</v>
      </c>
      <c r="BI152" s="230">
        <v>18442500</v>
      </c>
      <c r="BJ152" s="230">
        <v>9667500</v>
      </c>
      <c r="BK152" s="229">
        <v>0.5242</v>
      </c>
      <c r="BL152" s="230">
        <v>22863750</v>
      </c>
      <c r="BM152" s="230">
        <v>10578750</v>
      </c>
      <c r="BN152" s="230">
        <v>12285000</v>
      </c>
      <c r="BO152" s="229">
        <v>1.1613</v>
      </c>
      <c r="BP152" s="230">
        <v>96607500</v>
      </c>
      <c r="BQ152" s="230">
        <v>74456250</v>
      </c>
      <c r="BR152" s="230">
        <v>22151250</v>
      </c>
      <c r="BS152" s="229">
        <v>0.29749999999999999</v>
      </c>
      <c r="BT152" s="230">
        <v>6377080</v>
      </c>
      <c r="BU152" s="230">
        <v>4040118</v>
      </c>
      <c r="BV152" s="230">
        <v>2336962</v>
      </c>
      <c r="BW152" s="229">
        <v>0.57840000000000003</v>
      </c>
      <c r="BX152" s="230">
        <v>63641250</v>
      </c>
      <c r="BY152" s="230">
        <v>66060000</v>
      </c>
      <c r="BZ152" s="230">
        <v>-2418750</v>
      </c>
      <c r="CA152" s="229">
        <v>-3.6600000000000001E-2</v>
      </c>
      <c r="CB152" s="230">
        <v>3495000</v>
      </c>
      <c r="CC152" s="230">
        <v>15131250</v>
      </c>
      <c r="CD152" s="230">
        <v>-11636250</v>
      </c>
      <c r="CE152" s="229">
        <v>-0.76900000000000002</v>
      </c>
      <c r="CF152" s="230">
        <v>61953750</v>
      </c>
      <c r="CG152" s="230">
        <v>49563750</v>
      </c>
      <c r="CH152" s="230">
        <v>12390000</v>
      </c>
      <c r="CI152" s="229">
        <v>0.25</v>
      </c>
      <c r="CJ152" s="230">
        <v>1687500</v>
      </c>
      <c r="CK152" s="230">
        <v>1365000</v>
      </c>
      <c r="CL152" s="230">
        <v>322500</v>
      </c>
      <c r="CM152" s="229">
        <v>0.23630000000000001</v>
      </c>
      <c r="CN152" s="230">
        <v>14036250</v>
      </c>
      <c r="CO152" s="230">
        <v>24131250</v>
      </c>
      <c r="CP152" s="230">
        <v>-10095000</v>
      </c>
      <c r="CQ152" s="229">
        <v>-0.41830000000000001</v>
      </c>
      <c r="CR152" s="230">
        <v>13102500</v>
      </c>
      <c r="CS152" s="230">
        <v>17302500</v>
      </c>
      <c r="CT152" s="230">
        <v>-4200000</v>
      </c>
      <c r="CU152" s="229">
        <v>-0.2427</v>
      </c>
      <c r="CV152" s="230">
        <v>90780000</v>
      </c>
      <c r="CW152" s="230">
        <v>107493750</v>
      </c>
      <c r="CX152" s="230">
        <v>-16713750</v>
      </c>
      <c r="CY152" s="229">
        <v>-0.1555</v>
      </c>
      <c r="CZ152" s="228">
        <v>33.03</v>
      </c>
      <c r="DA152" s="228">
        <v>32.25</v>
      </c>
      <c r="DB152" s="228">
        <v>0.78</v>
      </c>
      <c r="DC152" s="228">
        <v>0.78</v>
      </c>
      <c r="DD152" s="228">
        <v>50.81</v>
      </c>
      <c r="DE152" s="228">
        <v>50.92</v>
      </c>
      <c r="DF152" s="228">
        <v>-17.78</v>
      </c>
      <c r="DG152" s="228">
        <v>-0.11</v>
      </c>
      <c r="DH152" s="228">
        <v>33.57</v>
      </c>
      <c r="DI152" s="228">
        <v>32.590000000000003</v>
      </c>
      <c r="DJ152" s="228">
        <v>0.98</v>
      </c>
      <c r="DK152" s="228">
        <v>0.98</v>
      </c>
      <c r="DL152" s="228">
        <v>32.299999999999997</v>
      </c>
      <c r="DM152" s="228">
        <v>31.84</v>
      </c>
      <c r="DN152" s="228">
        <v>0.46</v>
      </c>
      <c r="DO152" s="228">
        <v>0.46</v>
      </c>
      <c r="DP152" s="228">
        <v>0.93</v>
      </c>
      <c r="DQ152" s="228">
        <v>0.72</v>
      </c>
      <c r="DR152" s="228">
        <v>0.21</v>
      </c>
      <c r="DS152" s="229">
        <v>0.29170000000000001</v>
      </c>
      <c r="DT152" s="228">
        <v>200</v>
      </c>
      <c r="DU152" s="228">
        <v>180</v>
      </c>
      <c r="DV152" s="228">
        <v>0.81</v>
      </c>
      <c r="DW152" s="228">
        <v>0.56999999999999995</v>
      </c>
      <c r="DX152" s="228">
        <v>0.24</v>
      </c>
      <c r="DY152" s="229">
        <v>0.42109999999999997</v>
      </c>
      <c r="DZ152" s="229">
        <v>0.94789999999999996</v>
      </c>
      <c r="EA152" s="230">
        <v>50928750</v>
      </c>
      <c r="EB152" s="229">
        <v>4.8999999999999998E-3</v>
      </c>
      <c r="EC152" s="229">
        <v>0.94789999999999996</v>
      </c>
      <c r="ED152" s="228">
        <v>0.84</v>
      </c>
      <c r="EE152" s="229">
        <v>4.4999999999999997E-3</v>
      </c>
      <c r="EF152" s="230">
        <v>3089590</v>
      </c>
      <c r="EG152" s="230">
        <v>1619522</v>
      </c>
      <c r="EH152" s="229">
        <v>0.90769999999999995</v>
      </c>
      <c r="EI152" s="229">
        <v>0.48449999999999999</v>
      </c>
      <c r="EJ152" s="231">
        <v>55647.16</v>
      </c>
      <c r="EK152" s="231">
        <v>43764.91</v>
      </c>
      <c r="EL152" s="231">
        <v>84882.17</v>
      </c>
      <c r="EM152" s="228">
        <v>0</v>
      </c>
      <c r="EN152" s="231">
        <v>184294.24</v>
      </c>
      <c r="EO152" s="231">
        <v>141788.25</v>
      </c>
      <c r="EP152" s="231">
        <v>42505.99</v>
      </c>
      <c r="EQ152" s="229">
        <v>0.29980000000000001</v>
      </c>
      <c r="ER152" s="231">
        <v>27852</v>
      </c>
      <c r="ES152" s="231">
        <v>24511</v>
      </c>
      <c r="ET152" s="231">
        <v>118302</v>
      </c>
      <c r="EU152" s="231">
        <v>178967755</v>
      </c>
      <c r="EV152" s="231">
        <v>170665</v>
      </c>
      <c r="EW152" s="231">
        <v>204524</v>
      </c>
      <c r="EX152" s="231">
        <v>-33859</v>
      </c>
      <c r="EY152" s="229">
        <v>-0.1656</v>
      </c>
      <c r="EZ152" s="229">
        <v>0.50719999999999998</v>
      </c>
      <c r="FA152" s="227" t="s">
        <v>568</v>
      </c>
      <c r="FB152" s="161">
        <f t="shared" si="3"/>
        <v>0</v>
      </c>
    </row>
    <row r="153" spans="1:158" ht="17.25" thickBot="1" x14ac:dyDescent="0.3">
      <c r="A153" s="226">
        <v>45869</v>
      </c>
      <c r="B153" s="227" t="s">
        <v>616</v>
      </c>
      <c r="C153" s="227" t="s">
        <v>264</v>
      </c>
      <c r="D153" s="228">
        <v>375</v>
      </c>
      <c r="E153" s="231">
        <v>1399.1</v>
      </c>
      <c r="F153" s="231">
        <v>1402.2</v>
      </c>
      <c r="G153" s="228">
        <v>-3.1</v>
      </c>
      <c r="H153" s="229">
        <v>-2.2000000000000001E-3</v>
      </c>
      <c r="I153" s="231">
        <v>1392.3</v>
      </c>
      <c r="J153" s="231">
        <v>1395.6</v>
      </c>
      <c r="K153" s="228">
        <v>-3.3</v>
      </c>
      <c r="L153" s="229">
        <v>-2.3999999999999998E-3</v>
      </c>
      <c r="M153" s="231">
        <v>1394.6</v>
      </c>
      <c r="N153" s="231">
        <v>1397</v>
      </c>
      <c r="O153" s="228">
        <v>-2.4</v>
      </c>
      <c r="P153" s="229">
        <v>-1.6999999999999999E-3</v>
      </c>
      <c r="Q153" s="231">
        <v>1399.1</v>
      </c>
      <c r="R153" s="231">
        <v>1402.2</v>
      </c>
      <c r="S153" s="228">
        <v>-3.1</v>
      </c>
      <c r="T153" s="229">
        <v>-2.2000000000000001E-3</v>
      </c>
      <c r="U153" s="231">
        <v>1405.6</v>
      </c>
      <c r="V153" s="231">
        <v>1408.7</v>
      </c>
      <c r="W153" s="228">
        <v>-3.1</v>
      </c>
      <c r="X153" s="229">
        <v>-2.2000000000000001E-3</v>
      </c>
      <c r="Y153" s="228">
        <v>6.8</v>
      </c>
      <c r="Z153" s="228">
        <v>1.4</v>
      </c>
      <c r="AA153" s="228">
        <v>5.4</v>
      </c>
      <c r="AB153" s="229">
        <v>4.8999999999999998E-3</v>
      </c>
      <c r="AC153" s="228">
        <v>2.2999999999999998</v>
      </c>
      <c r="AD153" s="228">
        <v>1.4</v>
      </c>
      <c r="AE153" s="228">
        <v>0.9</v>
      </c>
      <c r="AF153" s="229">
        <v>1.6999999999999999E-3</v>
      </c>
      <c r="AG153" s="228">
        <v>6.8</v>
      </c>
      <c r="AH153" s="228">
        <v>6.6</v>
      </c>
      <c r="AI153" s="228">
        <v>0.2</v>
      </c>
      <c r="AJ153" s="229">
        <v>4.8999999999999998E-3</v>
      </c>
      <c r="AK153" s="228">
        <v>13.3</v>
      </c>
      <c r="AL153" s="228">
        <v>13.1</v>
      </c>
      <c r="AM153" s="228">
        <v>0.2</v>
      </c>
      <c r="AN153" s="229">
        <v>9.5999999999999992E-3</v>
      </c>
      <c r="AO153" s="231">
        <v>1387.78</v>
      </c>
      <c r="AP153" s="231">
        <v>1394.14</v>
      </c>
      <c r="AQ153" s="228">
        <v>0</v>
      </c>
      <c r="AR153" s="230">
        <v>3068250</v>
      </c>
      <c r="AS153" s="230">
        <v>7572375</v>
      </c>
      <c r="AT153" s="230">
        <v>-4504125</v>
      </c>
      <c r="AU153" s="229">
        <v>-0.5948</v>
      </c>
      <c r="AV153" s="230">
        <v>1176000</v>
      </c>
      <c r="AW153" s="230">
        <v>3381000</v>
      </c>
      <c r="AX153" s="230">
        <v>-2205000</v>
      </c>
      <c r="AY153" s="229">
        <v>-0.6522</v>
      </c>
      <c r="AZ153" s="230">
        <v>1851000</v>
      </c>
      <c r="BA153" s="230">
        <v>4147500</v>
      </c>
      <c r="BB153" s="230">
        <v>-2296500</v>
      </c>
      <c r="BC153" s="229">
        <v>-0.55369999999999997</v>
      </c>
      <c r="BD153" s="230">
        <v>41250</v>
      </c>
      <c r="BE153" s="230">
        <v>43875</v>
      </c>
      <c r="BF153" s="230">
        <v>-2625</v>
      </c>
      <c r="BG153" s="229">
        <v>-5.9799999999999999E-2</v>
      </c>
      <c r="BH153" s="230">
        <v>969000</v>
      </c>
      <c r="BI153" s="230">
        <v>3873000</v>
      </c>
      <c r="BJ153" s="230">
        <v>-2904000</v>
      </c>
      <c r="BK153" s="229">
        <v>-0.74980000000000002</v>
      </c>
      <c r="BL153" s="230">
        <v>588000</v>
      </c>
      <c r="BM153" s="230">
        <v>2600250</v>
      </c>
      <c r="BN153" s="230">
        <v>-2012250</v>
      </c>
      <c r="BO153" s="229">
        <v>-0.77390000000000003</v>
      </c>
      <c r="BP153" s="230">
        <v>4625250</v>
      </c>
      <c r="BQ153" s="230">
        <v>14045625</v>
      </c>
      <c r="BR153" s="230">
        <v>-9420375</v>
      </c>
      <c r="BS153" s="229">
        <v>-0.67069999999999996</v>
      </c>
      <c r="BT153" s="230">
        <v>1105967</v>
      </c>
      <c r="BU153" s="230">
        <v>2213084</v>
      </c>
      <c r="BV153" s="230">
        <v>-1107117</v>
      </c>
      <c r="BW153" s="229">
        <v>-0.50029999999999997</v>
      </c>
      <c r="BX153" s="230">
        <v>11004375</v>
      </c>
      <c r="BY153" s="230">
        <v>12341625</v>
      </c>
      <c r="BZ153" s="230">
        <v>-1337250</v>
      </c>
      <c r="CA153" s="229">
        <v>-0.1084</v>
      </c>
      <c r="CB153" s="230">
        <v>792000</v>
      </c>
      <c r="CC153" s="230">
        <v>1624125</v>
      </c>
      <c r="CD153" s="230">
        <v>-832125</v>
      </c>
      <c r="CE153" s="229">
        <v>-0.51239999999999997</v>
      </c>
      <c r="CF153" s="230">
        <v>10957875</v>
      </c>
      <c r="CG153" s="230">
        <v>10688625</v>
      </c>
      <c r="CH153" s="230">
        <v>269250</v>
      </c>
      <c r="CI153" s="229">
        <v>2.52E-2</v>
      </c>
      <c r="CJ153" s="230">
        <v>46500</v>
      </c>
      <c r="CK153" s="230">
        <v>28875</v>
      </c>
      <c r="CL153" s="230">
        <v>17625</v>
      </c>
      <c r="CM153" s="229">
        <v>0.61040000000000005</v>
      </c>
      <c r="CN153" s="230">
        <v>443625</v>
      </c>
      <c r="CO153" s="230">
        <v>1818000</v>
      </c>
      <c r="CP153" s="230">
        <v>-1374375</v>
      </c>
      <c r="CQ153" s="229">
        <v>-0.75600000000000001</v>
      </c>
      <c r="CR153" s="230">
        <v>448500</v>
      </c>
      <c r="CS153" s="230">
        <v>1199625</v>
      </c>
      <c r="CT153" s="230">
        <v>-751125</v>
      </c>
      <c r="CU153" s="229">
        <v>-0.62609999999999999</v>
      </c>
      <c r="CV153" s="230">
        <v>11896500</v>
      </c>
      <c r="CW153" s="230">
        <v>15359250</v>
      </c>
      <c r="CX153" s="230">
        <v>-3462750</v>
      </c>
      <c r="CY153" s="229">
        <v>-0.22550000000000001</v>
      </c>
      <c r="CZ153" s="228">
        <v>34.21</v>
      </c>
      <c r="DA153" s="228">
        <v>34.68</v>
      </c>
      <c r="DB153" s="228">
        <v>-0.47</v>
      </c>
      <c r="DC153" s="228">
        <v>-0.47</v>
      </c>
      <c r="DD153" s="228">
        <v>40.24</v>
      </c>
      <c r="DE153" s="228">
        <v>40.340000000000003</v>
      </c>
      <c r="DF153" s="228">
        <v>-6.03</v>
      </c>
      <c r="DG153" s="228">
        <v>-0.1</v>
      </c>
      <c r="DH153" s="228">
        <v>34.1</v>
      </c>
      <c r="DI153" s="228">
        <v>34.85</v>
      </c>
      <c r="DJ153" s="228">
        <v>-0.75</v>
      </c>
      <c r="DK153" s="228">
        <v>-0.75</v>
      </c>
      <c r="DL153" s="228">
        <v>34.36</v>
      </c>
      <c r="DM153" s="228">
        <v>34.42</v>
      </c>
      <c r="DN153" s="228">
        <v>-0.06</v>
      </c>
      <c r="DO153" s="228">
        <v>-0.06</v>
      </c>
      <c r="DP153" s="228">
        <v>1.01</v>
      </c>
      <c r="DQ153" s="228">
        <v>0.66</v>
      </c>
      <c r="DR153" s="228">
        <v>0.35</v>
      </c>
      <c r="DS153" s="229">
        <v>0.53029999999999999</v>
      </c>
      <c r="DT153" s="231">
        <v>1500</v>
      </c>
      <c r="DU153" s="231">
        <v>1500</v>
      </c>
      <c r="DV153" s="228">
        <v>0.61</v>
      </c>
      <c r="DW153" s="228">
        <v>0.67</v>
      </c>
      <c r="DX153" s="228">
        <v>-0.06</v>
      </c>
      <c r="DY153" s="229">
        <v>-8.9599999999999999E-2</v>
      </c>
      <c r="DZ153" s="229">
        <v>0.93289999999999995</v>
      </c>
      <c r="EA153" s="230">
        <v>10717500</v>
      </c>
      <c r="EB153" s="229">
        <v>3.2000000000000002E-3</v>
      </c>
      <c r="EC153" s="229">
        <v>0.93289999999999995</v>
      </c>
      <c r="ED153" s="228">
        <v>6.36</v>
      </c>
      <c r="EE153" s="229">
        <v>4.5999999999999999E-3</v>
      </c>
      <c r="EF153" s="230">
        <v>671289</v>
      </c>
      <c r="EG153" s="230">
        <v>1293482</v>
      </c>
      <c r="EH153" s="229">
        <v>-0.48099999999999998</v>
      </c>
      <c r="EI153" s="229">
        <v>0.60699999999999998</v>
      </c>
      <c r="EJ153" s="231">
        <v>14347.84</v>
      </c>
      <c r="EK153" s="231">
        <v>8406.7900000000009</v>
      </c>
      <c r="EL153" s="231">
        <v>42705.03</v>
      </c>
      <c r="EM153" s="228">
        <v>0</v>
      </c>
      <c r="EN153" s="231">
        <v>65459.66</v>
      </c>
      <c r="EO153" s="231">
        <v>197570.18</v>
      </c>
      <c r="EP153" s="231">
        <v>-132110.51999999999</v>
      </c>
      <c r="EQ153" s="229">
        <v>-0.66869999999999996</v>
      </c>
      <c r="ER153" s="231">
        <v>6482</v>
      </c>
      <c r="ES153" s="231">
        <v>6185</v>
      </c>
      <c r="ET153" s="231">
        <v>153965</v>
      </c>
      <c r="EU153" s="231">
        <v>80673469</v>
      </c>
      <c r="EV153" s="231">
        <v>166632</v>
      </c>
      <c r="EW153" s="231">
        <v>216989</v>
      </c>
      <c r="EX153" s="231">
        <v>-50357</v>
      </c>
      <c r="EY153" s="229">
        <v>-0.2321</v>
      </c>
      <c r="EZ153" s="229">
        <v>0.14749999999999999</v>
      </c>
      <c r="FA153" s="227" t="s">
        <v>568</v>
      </c>
      <c r="FB153" s="161">
        <f>BX243-CB243</f>
        <v>0</v>
      </c>
    </row>
    <row r="154" spans="1:158" ht="17.25" thickBot="1" x14ac:dyDescent="0.3">
      <c r="A154" s="226">
        <v>45869</v>
      </c>
      <c r="B154" s="227" t="s">
        <v>206</v>
      </c>
      <c r="C154" s="227" t="s">
        <v>550</v>
      </c>
      <c r="D154" s="228">
        <v>6500</v>
      </c>
      <c r="E154" s="228">
        <v>108.67</v>
      </c>
      <c r="F154" s="228">
        <v>109.24</v>
      </c>
      <c r="G154" s="228">
        <v>-0.56999999999999995</v>
      </c>
      <c r="H154" s="229">
        <v>-5.1999999999999998E-3</v>
      </c>
      <c r="I154" s="228">
        <v>108.18</v>
      </c>
      <c r="J154" s="228">
        <v>108.82</v>
      </c>
      <c r="K154" s="228">
        <v>-0.64</v>
      </c>
      <c r="L154" s="229">
        <v>-5.8999999999999999E-3</v>
      </c>
      <c r="M154" s="228">
        <v>108.11</v>
      </c>
      <c r="N154" s="228">
        <v>108.98</v>
      </c>
      <c r="O154" s="228">
        <v>-0.87</v>
      </c>
      <c r="P154" s="229">
        <v>-8.0000000000000002E-3</v>
      </c>
      <c r="Q154" s="228">
        <v>108.67</v>
      </c>
      <c r="R154" s="228">
        <v>109.24</v>
      </c>
      <c r="S154" s="228">
        <v>-0.56999999999999995</v>
      </c>
      <c r="T154" s="229">
        <v>-5.1999999999999998E-3</v>
      </c>
      <c r="U154" s="228">
        <v>109.05</v>
      </c>
      <c r="V154" s="228">
        <v>110.02</v>
      </c>
      <c r="W154" s="228">
        <v>-0.97</v>
      </c>
      <c r="X154" s="229">
        <v>-8.8000000000000005E-3</v>
      </c>
      <c r="Y154" s="228">
        <v>0.49</v>
      </c>
      <c r="Z154" s="228">
        <v>0.16</v>
      </c>
      <c r="AA154" s="228">
        <v>0.33</v>
      </c>
      <c r="AB154" s="229">
        <v>4.4999999999999997E-3</v>
      </c>
      <c r="AC154" s="228">
        <v>-7.0000000000000007E-2</v>
      </c>
      <c r="AD154" s="228">
        <v>0.16</v>
      </c>
      <c r="AE154" s="228">
        <v>-0.23</v>
      </c>
      <c r="AF154" s="229">
        <v>-5.9999999999999995E-4</v>
      </c>
      <c r="AG154" s="228">
        <v>0.49</v>
      </c>
      <c r="AH154" s="228">
        <v>0.42</v>
      </c>
      <c r="AI154" s="228">
        <v>7.0000000000000007E-2</v>
      </c>
      <c r="AJ154" s="229">
        <v>4.4999999999999997E-3</v>
      </c>
      <c r="AK154" s="228">
        <v>0.87</v>
      </c>
      <c r="AL154" s="228">
        <v>1.2</v>
      </c>
      <c r="AM154" s="228">
        <v>-0.33</v>
      </c>
      <c r="AN154" s="229">
        <v>8.0000000000000002E-3</v>
      </c>
      <c r="AO154" s="228">
        <v>108.23</v>
      </c>
      <c r="AP154" s="228">
        <v>108.7</v>
      </c>
      <c r="AQ154" s="228">
        <v>0</v>
      </c>
      <c r="AR154" s="230">
        <v>49062000</v>
      </c>
      <c r="AS154" s="230">
        <v>33520500</v>
      </c>
      <c r="AT154" s="230">
        <v>15541500</v>
      </c>
      <c r="AU154" s="229">
        <v>0.46360000000000001</v>
      </c>
      <c r="AV154" s="230">
        <v>22756500</v>
      </c>
      <c r="AW154" s="230">
        <v>16490500</v>
      </c>
      <c r="AX154" s="230">
        <v>6266000</v>
      </c>
      <c r="AY154" s="229">
        <v>0.38</v>
      </c>
      <c r="AZ154" s="230">
        <v>25187500</v>
      </c>
      <c r="BA154" s="230">
        <v>16802500</v>
      </c>
      <c r="BB154" s="230">
        <v>8385000</v>
      </c>
      <c r="BC154" s="229">
        <v>0.499</v>
      </c>
      <c r="BD154" s="230">
        <v>1118000</v>
      </c>
      <c r="BE154" s="230">
        <v>227500</v>
      </c>
      <c r="BF154" s="230">
        <v>890500</v>
      </c>
      <c r="BG154" s="229">
        <v>3.9142999999999999</v>
      </c>
      <c r="BH154" s="230">
        <v>7169500</v>
      </c>
      <c r="BI154" s="230">
        <v>5369000</v>
      </c>
      <c r="BJ154" s="230">
        <v>1800500</v>
      </c>
      <c r="BK154" s="229">
        <v>0.33539999999999998</v>
      </c>
      <c r="BL154" s="230">
        <v>5694000</v>
      </c>
      <c r="BM154" s="230">
        <v>3230500</v>
      </c>
      <c r="BN154" s="230">
        <v>2463500</v>
      </c>
      <c r="BO154" s="229">
        <v>0.76259999999999994</v>
      </c>
      <c r="BP154" s="230">
        <v>61925500</v>
      </c>
      <c r="BQ154" s="230">
        <v>42120000</v>
      </c>
      <c r="BR154" s="230">
        <v>19805500</v>
      </c>
      <c r="BS154" s="229">
        <v>0.47020000000000001</v>
      </c>
      <c r="BT154" s="230">
        <v>5529343</v>
      </c>
      <c r="BU154" s="230">
        <v>3557497</v>
      </c>
      <c r="BV154" s="230">
        <v>1971846</v>
      </c>
      <c r="BW154" s="229">
        <v>0.55430000000000001</v>
      </c>
      <c r="BX154" s="230">
        <v>53183000</v>
      </c>
      <c r="BY154" s="230">
        <v>61028500</v>
      </c>
      <c r="BZ154" s="230">
        <v>-7845500</v>
      </c>
      <c r="CA154" s="229">
        <v>-0.12859999999999999</v>
      </c>
      <c r="CB154" s="230">
        <v>7416500</v>
      </c>
      <c r="CC154" s="230">
        <v>18213000</v>
      </c>
      <c r="CD154" s="230">
        <v>-10796500</v>
      </c>
      <c r="CE154" s="229">
        <v>-0.59279999999999999</v>
      </c>
      <c r="CF154" s="230">
        <v>51226500</v>
      </c>
      <c r="CG154" s="230">
        <v>41418000</v>
      </c>
      <c r="CH154" s="230">
        <v>9808500</v>
      </c>
      <c r="CI154" s="229">
        <v>0.23680000000000001</v>
      </c>
      <c r="CJ154" s="230">
        <v>1956500</v>
      </c>
      <c r="CK154" s="230">
        <v>1397500</v>
      </c>
      <c r="CL154" s="230">
        <v>559000</v>
      </c>
      <c r="CM154" s="229">
        <v>0.4</v>
      </c>
      <c r="CN154" s="230">
        <v>6344000</v>
      </c>
      <c r="CO154" s="230">
        <v>27729000</v>
      </c>
      <c r="CP154" s="230">
        <v>-21385000</v>
      </c>
      <c r="CQ154" s="229">
        <v>-0.7712</v>
      </c>
      <c r="CR154" s="230">
        <v>4309500</v>
      </c>
      <c r="CS154" s="230">
        <v>12740000</v>
      </c>
      <c r="CT154" s="230">
        <v>-8430500</v>
      </c>
      <c r="CU154" s="229">
        <v>-0.66169999999999995</v>
      </c>
      <c r="CV154" s="230">
        <v>63836500</v>
      </c>
      <c r="CW154" s="230">
        <v>101497500</v>
      </c>
      <c r="CX154" s="230">
        <v>-37661000</v>
      </c>
      <c r="CY154" s="229">
        <v>-0.37109999999999999</v>
      </c>
      <c r="CZ154" s="228">
        <v>37.869999999999997</v>
      </c>
      <c r="DA154" s="228">
        <v>36.6</v>
      </c>
      <c r="DB154" s="228">
        <v>1.27</v>
      </c>
      <c r="DC154" s="228">
        <v>1.27</v>
      </c>
      <c r="DD154" s="228">
        <v>56.61</v>
      </c>
      <c r="DE154" s="228">
        <v>56.75</v>
      </c>
      <c r="DF154" s="228">
        <v>-18.739999999999998</v>
      </c>
      <c r="DG154" s="228">
        <v>-0.14000000000000001</v>
      </c>
      <c r="DH154" s="228">
        <v>38.020000000000003</v>
      </c>
      <c r="DI154" s="228">
        <v>37.229999999999997</v>
      </c>
      <c r="DJ154" s="228">
        <v>0.79</v>
      </c>
      <c r="DK154" s="228">
        <v>0.79</v>
      </c>
      <c r="DL154" s="228">
        <v>37.65</v>
      </c>
      <c r="DM154" s="228">
        <v>35.79</v>
      </c>
      <c r="DN154" s="228">
        <v>1.86</v>
      </c>
      <c r="DO154" s="228">
        <v>1.86</v>
      </c>
      <c r="DP154" s="228">
        <v>0.68</v>
      </c>
      <c r="DQ154" s="228">
        <v>0.46</v>
      </c>
      <c r="DR154" s="228">
        <v>0.22</v>
      </c>
      <c r="DS154" s="229">
        <v>0.4783</v>
      </c>
      <c r="DT154" s="228">
        <v>120</v>
      </c>
      <c r="DU154" s="228">
        <v>120</v>
      </c>
      <c r="DV154" s="228">
        <v>0.79</v>
      </c>
      <c r="DW154" s="228">
        <v>0.6</v>
      </c>
      <c r="DX154" s="228">
        <v>0.19</v>
      </c>
      <c r="DY154" s="229">
        <v>0.31669999999999998</v>
      </c>
      <c r="DZ154" s="229">
        <v>0.87760000000000005</v>
      </c>
      <c r="EA154" s="230">
        <v>42815500</v>
      </c>
      <c r="EB154" s="229">
        <v>5.1999999999999998E-3</v>
      </c>
      <c r="EC154" s="229">
        <v>0.87760000000000005</v>
      </c>
      <c r="ED154" s="228">
        <v>0.47</v>
      </c>
      <c r="EE154" s="229">
        <v>4.3E-3</v>
      </c>
      <c r="EF154" s="230">
        <v>1572690</v>
      </c>
      <c r="EG154" s="230">
        <v>1161130</v>
      </c>
      <c r="EH154" s="229">
        <v>0.35439999999999999</v>
      </c>
      <c r="EI154" s="229">
        <v>0.28439999999999999</v>
      </c>
      <c r="EJ154" s="231">
        <v>8297.7999999999993</v>
      </c>
      <c r="EK154" s="231">
        <v>6498.34</v>
      </c>
      <c r="EL154" s="231">
        <v>53231.57</v>
      </c>
      <c r="EM154" s="228">
        <v>0</v>
      </c>
      <c r="EN154" s="231">
        <v>68027.710000000006</v>
      </c>
      <c r="EO154" s="231">
        <v>46545.95</v>
      </c>
      <c r="EP154" s="231">
        <v>21481.759999999998</v>
      </c>
      <c r="EQ154" s="229">
        <v>0.46150000000000002</v>
      </c>
      <c r="ER154" s="231">
        <v>7356</v>
      </c>
      <c r="ES154" s="231">
        <v>4699</v>
      </c>
      <c r="ET154" s="231">
        <v>57801</v>
      </c>
      <c r="EU154" s="231">
        <v>206526272</v>
      </c>
      <c r="EV154" s="231">
        <v>69856</v>
      </c>
      <c r="EW154" s="231">
        <v>115051</v>
      </c>
      <c r="EX154" s="231">
        <v>-45195</v>
      </c>
      <c r="EY154" s="229">
        <v>-0.39279999999999998</v>
      </c>
      <c r="EZ154" s="229">
        <v>0.30909999999999999</v>
      </c>
      <c r="FA154" s="227" t="s">
        <v>568</v>
      </c>
      <c r="FB154" s="161">
        <f t="shared" si="3"/>
        <v>0</v>
      </c>
    </row>
    <row r="155" spans="1:158" ht="17.25" thickBot="1" x14ac:dyDescent="0.3">
      <c r="A155" s="226">
        <v>45869</v>
      </c>
      <c r="B155" s="227" t="s">
        <v>215</v>
      </c>
      <c r="C155" s="227" t="s">
        <v>592</v>
      </c>
      <c r="D155" s="228">
        <v>2700</v>
      </c>
      <c r="E155" s="228">
        <v>217.26</v>
      </c>
      <c r="F155" s="228">
        <v>222.46</v>
      </c>
      <c r="G155" s="228">
        <v>-5.2</v>
      </c>
      <c r="H155" s="229">
        <v>-2.3400000000000001E-2</v>
      </c>
      <c r="I155" s="228">
        <v>217.71</v>
      </c>
      <c r="J155" s="228">
        <v>222.81</v>
      </c>
      <c r="K155" s="228">
        <v>-5.0999999999999996</v>
      </c>
      <c r="L155" s="229">
        <v>-2.29E-2</v>
      </c>
      <c r="M155" s="228">
        <v>217.38</v>
      </c>
      <c r="N155" s="228">
        <v>223.2</v>
      </c>
      <c r="O155" s="228">
        <v>-5.82</v>
      </c>
      <c r="P155" s="229">
        <v>-2.6100000000000002E-2</v>
      </c>
      <c r="Q155" s="228">
        <v>217.26</v>
      </c>
      <c r="R155" s="228">
        <v>222.46</v>
      </c>
      <c r="S155" s="228">
        <v>-5.2</v>
      </c>
      <c r="T155" s="229">
        <v>-2.3400000000000001E-2</v>
      </c>
      <c r="U155" s="228">
        <v>217.62</v>
      </c>
      <c r="V155" s="228">
        <v>224.2</v>
      </c>
      <c r="W155" s="228">
        <v>-6.58</v>
      </c>
      <c r="X155" s="229">
        <v>-2.93E-2</v>
      </c>
      <c r="Y155" s="228">
        <v>-0.45</v>
      </c>
      <c r="Z155" s="228">
        <v>0.39</v>
      </c>
      <c r="AA155" s="228">
        <v>-0.84</v>
      </c>
      <c r="AB155" s="229">
        <v>-2.0999999999999999E-3</v>
      </c>
      <c r="AC155" s="228">
        <v>-0.33</v>
      </c>
      <c r="AD155" s="228">
        <v>0.39</v>
      </c>
      <c r="AE155" s="228">
        <v>-0.72</v>
      </c>
      <c r="AF155" s="229">
        <v>-1.5E-3</v>
      </c>
      <c r="AG155" s="228">
        <v>-0.45</v>
      </c>
      <c r="AH155" s="228">
        <v>-0.35</v>
      </c>
      <c r="AI155" s="228">
        <v>-0.1</v>
      </c>
      <c r="AJ155" s="229">
        <v>-2.0999999999999999E-3</v>
      </c>
      <c r="AK155" s="228">
        <v>-0.09</v>
      </c>
      <c r="AL155" s="228">
        <v>1.39</v>
      </c>
      <c r="AM155" s="228">
        <v>-1.48</v>
      </c>
      <c r="AN155" s="229">
        <v>-4.0000000000000002E-4</v>
      </c>
      <c r="AO155" s="228">
        <v>219.45</v>
      </c>
      <c r="AP155" s="228">
        <v>219.35</v>
      </c>
      <c r="AQ155" s="228">
        <v>0</v>
      </c>
      <c r="AR155" s="230">
        <v>10575900</v>
      </c>
      <c r="AS155" s="230">
        <v>13859100</v>
      </c>
      <c r="AT155" s="230">
        <v>-3283200</v>
      </c>
      <c r="AU155" s="229">
        <v>-0.2369</v>
      </c>
      <c r="AV155" s="230">
        <v>4700700</v>
      </c>
      <c r="AW155" s="230">
        <v>6847200</v>
      </c>
      <c r="AX155" s="230">
        <v>-2146500</v>
      </c>
      <c r="AY155" s="229">
        <v>-0.3135</v>
      </c>
      <c r="AZ155" s="230">
        <v>5437800</v>
      </c>
      <c r="BA155" s="230">
        <v>6936300</v>
      </c>
      <c r="BB155" s="230">
        <v>-1498500</v>
      </c>
      <c r="BC155" s="229">
        <v>-0.216</v>
      </c>
      <c r="BD155" s="230">
        <v>437400</v>
      </c>
      <c r="BE155" s="230">
        <v>75600</v>
      </c>
      <c r="BF155" s="230">
        <v>361800</v>
      </c>
      <c r="BG155" s="229">
        <v>4.7857000000000003</v>
      </c>
      <c r="BH155" s="230">
        <v>4068900</v>
      </c>
      <c r="BI155" s="230">
        <v>5162400</v>
      </c>
      <c r="BJ155" s="230">
        <v>-1093500</v>
      </c>
      <c r="BK155" s="229">
        <v>-0.21179999999999999</v>
      </c>
      <c r="BL155" s="230">
        <v>2389500</v>
      </c>
      <c r="BM155" s="230">
        <v>2332800</v>
      </c>
      <c r="BN155" s="230">
        <v>56700</v>
      </c>
      <c r="BO155" s="229">
        <v>2.4299999999999999E-2</v>
      </c>
      <c r="BP155" s="230">
        <v>17034300</v>
      </c>
      <c r="BQ155" s="230">
        <v>21354300</v>
      </c>
      <c r="BR155" s="230">
        <v>-4320000</v>
      </c>
      <c r="BS155" s="229">
        <v>-0.20230000000000001</v>
      </c>
      <c r="BT155" s="230">
        <v>2197660</v>
      </c>
      <c r="BU155" s="230">
        <v>1821269</v>
      </c>
      <c r="BV155" s="230">
        <v>376391</v>
      </c>
      <c r="BW155" s="229">
        <v>0.20669999999999999</v>
      </c>
      <c r="BX155" s="230">
        <v>13532400</v>
      </c>
      <c r="BY155" s="230">
        <v>14877000</v>
      </c>
      <c r="BZ155" s="230">
        <v>-1344600</v>
      </c>
      <c r="CA155" s="229">
        <v>-9.0399999999999994E-2</v>
      </c>
      <c r="CB155" s="230">
        <v>1271700</v>
      </c>
      <c r="CC155" s="230">
        <v>3207600</v>
      </c>
      <c r="CD155" s="230">
        <v>-1935900</v>
      </c>
      <c r="CE155" s="229">
        <v>-0.60350000000000004</v>
      </c>
      <c r="CF155" s="230">
        <v>13032900</v>
      </c>
      <c r="CG155" s="230">
        <v>11304900</v>
      </c>
      <c r="CH155" s="230">
        <v>1728000</v>
      </c>
      <c r="CI155" s="229">
        <v>0.15290000000000001</v>
      </c>
      <c r="CJ155" s="230">
        <v>499500</v>
      </c>
      <c r="CK155" s="230">
        <v>364500</v>
      </c>
      <c r="CL155" s="230">
        <v>135000</v>
      </c>
      <c r="CM155" s="229">
        <v>0.37040000000000001</v>
      </c>
      <c r="CN155" s="230">
        <v>2705400</v>
      </c>
      <c r="CO155" s="230">
        <v>9147600</v>
      </c>
      <c r="CP155" s="230">
        <v>-6442200</v>
      </c>
      <c r="CQ155" s="229">
        <v>-0.70430000000000004</v>
      </c>
      <c r="CR155" s="230">
        <v>1989900</v>
      </c>
      <c r="CS155" s="230">
        <v>4741200</v>
      </c>
      <c r="CT155" s="230">
        <v>-2751300</v>
      </c>
      <c r="CU155" s="229">
        <v>-0.58030000000000004</v>
      </c>
      <c r="CV155" s="230">
        <v>18227700</v>
      </c>
      <c r="CW155" s="230">
        <v>28765800</v>
      </c>
      <c r="CX155" s="230">
        <v>-10538100</v>
      </c>
      <c r="CY155" s="229">
        <v>-0.36630000000000001</v>
      </c>
      <c r="CZ155" s="228">
        <v>36.479999999999997</v>
      </c>
      <c r="DA155" s="228">
        <v>37</v>
      </c>
      <c r="DB155" s="228">
        <v>-0.52</v>
      </c>
      <c r="DC155" s="228">
        <v>-0.52</v>
      </c>
      <c r="DD155" s="228">
        <v>51.37</v>
      </c>
      <c r="DE155" s="228">
        <v>51.41</v>
      </c>
      <c r="DF155" s="228">
        <v>-14.89</v>
      </c>
      <c r="DG155" s="228">
        <v>-0.04</v>
      </c>
      <c r="DH155" s="228">
        <v>36.909999999999997</v>
      </c>
      <c r="DI155" s="228">
        <v>37.11</v>
      </c>
      <c r="DJ155" s="228">
        <v>-0.2</v>
      </c>
      <c r="DK155" s="228">
        <v>-0.2</v>
      </c>
      <c r="DL155" s="228">
        <v>35.85</v>
      </c>
      <c r="DM155" s="228">
        <v>36.85</v>
      </c>
      <c r="DN155" s="228">
        <v>-1</v>
      </c>
      <c r="DO155" s="228">
        <v>-1</v>
      </c>
      <c r="DP155" s="228">
        <v>0.74</v>
      </c>
      <c r="DQ155" s="228">
        <v>0.52</v>
      </c>
      <c r="DR155" s="228">
        <v>0.22</v>
      </c>
      <c r="DS155" s="229">
        <v>0.42309999999999998</v>
      </c>
      <c r="DT155" s="228">
        <v>230</v>
      </c>
      <c r="DU155" s="228">
        <v>230</v>
      </c>
      <c r="DV155" s="228">
        <v>0.59</v>
      </c>
      <c r="DW155" s="228">
        <v>0.45</v>
      </c>
      <c r="DX155" s="228">
        <v>0.14000000000000001</v>
      </c>
      <c r="DY155" s="229">
        <v>0.31109999999999999</v>
      </c>
      <c r="DZ155" s="229">
        <v>0.91410000000000002</v>
      </c>
      <c r="EA155" s="230">
        <v>11669400</v>
      </c>
      <c r="EB155" s="229">
        <v>-5.9999999999999995E-4</v>
      </c>
      <c r="EC155" s="229">
        <v>0.91410000000000002</v>
      </c>
      <c r="ED155" s="228">
        <v>-0.1</v>
      </c>
      <c r="EE155" s="229">
        <v>-5.0000000000000001E-4</v>
      </c>
      <c r="EF155" s="230">
        <v>962955</v>
      </c>
      <c r="EG155" s="230">
        <v>487925</v>
      </c>
      <c r="EH155" s="229">
        <v>0.97360000000000002</v>
      </c>
      <c r="EI155" s="229">
        <v>0.43819999999999998</v>
      </c>
      <c r="EJ155" s="231">
        <v>9401.48</v>
      </c>
      <c r="EK155" s="231">
        <v>5382.79</v>
      </c>
      <c r="EL155" s="231">
        <v>23207.59</v>
      </c>
      <c r="EM155" s="228">
        <v>0</v>
      </c>
      <c r="EN155" s="231">
        <v>37991.86</v>
      </c>
      <c r="EO155" s="231">
        <v>48143.28</v>
      </c>
      <c r="EP155" s="231">
        <v>-10151.42</v>
      </c>
      <c r="EQ155" s="229">
        <v>-0.2109</v>
      </c>
      <c r="ER155" s="231">
        <v>6155</v>
      </c>
      <c r="ES155" s="231">
        <v>4301</v>
      </c>
      <c r="ET155" s="231">
        <v>29402</v>
      </c>
      <c r="EU155" s="231">
        <v>97811871</v>
      </c>
      <c r="EV155" s="231">
        <v>39858</v>
      </c>
      <c r="EW155" s="231">
        <v>64922</v>
      </c>
      <c r="EX155" s="231">
        <v>-25064</v>
      </c>
      <c r="EY155" s="229">
        <v>-0.3861</v>
      </c>
      <c r="EZ155" s="229">
        <v>0.18640000000000001</v>
      </c>
      <c r="FA155" s="227" t="s">
        <v>568</v>
      </c>
      <c r="FB155" s="161">
        <f t="shared" si="3"/>
        <v>0</v>
      </c>
    </row>
    <row r="156" spans="1:158" ht="17.25" thickBot="1" x14ac:dyDescent="0.3">
      <c r="A156" s="226">
        <v>45869</v>
      </c>
      <c r="B156" s="227" t="s">
        <v>168</v>
      </c>
      <c r="C156" s="227" t="s">
        <v>265</v>
      </c>
      <c r="D156" s="228">
        <v>250</v>
      </c>
      <c r="E156" s="231">
        <v>2257.8000000000002</v>
      </c>
      <c r="F156" s="231">
        <v>2244.6999999999998</v>
      </c>
      <c r="G156" s="228">
        <v>13.1</v>
      </c>
      <c r="H156" s="229">
        <v>5.7999999999999996E-3</v>
      </c>
      <c r="I156" s="231">
        <v>2247.6999999999998</v>
      </c>
      <c r="J156" s="231">
        <v>2231.5</v>
      </c>
      <c r="K156" s="228">
        <v>16.2</v>
      </c>
      <c r="L156" s="229">
        <v>7.3000000000000001E-3</v>
      </c>
      <c r="M156" s="231">
        <v>2246.3000000000002</v>
      </c>
      <c r="N156" s="231">
        <v>2233.5</v>
      </c>
      <c r="O156" s="228">
        <v>12.8</v>
      </c>
      <c r="P156" s="229">
        <v>5.7000000000000002E-3</v>
      </c>
      <c r="Q156" s="231">
        <v>2257.8000000000002</v>
      </c>
      <c r="R156" s="231">
        <v>2244.6999999999998</v>
      </c>
      <c r="S156" s="228">
        <v>13.1</v>
      </c>
      <c r="T156" s="229">
        <v>5.7999999999999996E-3</v>
      </c>
      <c r="U156" s="231">
        <v>2271.1999999999998</v>
      </c>
      <c r="V156" s="231">
        <v>2257.1999999999998</v>
      </c>
      <c r="W156" s="228">
        <v>14</v>
      </c>
      <c r="X156" s="229">
        <v>6.1999999999999998E-3</v>
      </c>
      <c r="Y156" s="228">
        <v>10.1</v>
      </c>
      <c r="Z156" s="228">
        <v>2</v>
      </c>
      <c r="AA156" s="228">
        <v>8.1</v>
      </c>
      <c r="AB156" s="229">
        <v>4.4999999999999997E-3</v>
      </c>
      <c r="AC156" s="228">
        <v>-1.4</v>
      </c>
      <c r="AD156" s="228">
        <v>2</v>
      </c>
      <c r="AE156" s="228">
        <v>-3.4</v>
      </c>
      <c r="AF156" s="229">
        <v>-5.9999999999999995E-4</v>
      </c>
      <c r="AG156" s="228">
        <v>10.1</v>
      </c>
      <c r="AH156" s="228">
        <v>13.2</v>
      </c>
      <c r="AI156" s="228">
        <v>-3.1</v>
      </c>
      <c r="AJ156" s="229">
        <v>4.4999999999999997E-3</v>
      </c>
      <c r="AK156" s="228">
        <v>23.5</v>
      </c>
      <c r="AL156" s="228">
        <v>25.7</v>
      </c>
      <c r="AM156" s="228">
        <v>-2.2000000000000002</v>
      </c>
      <c r="AN156" s="229">
        <v>1.0500000000000001E-2</v>
      </c>
      <c r="AO156" s="231">
        <v>2247.7199999999998</v>
      </c>
      <c r="AP156" s="231">
        <v>2258.2800000000002</v>
      </c>
      <c r="AQ156" s="228">
        <v>0</v>
      </c>
      <c r="AR156" s="230">
        <v>3446750</v>
      </c>
      <c r="AS156" s="230">
        <v>5997750</v>
      </c>
      <c r="AT156" s="230">
        <v>-2551000</v>
      </c>
      <c r="AU156" s="229">
        <v>-0.42530000000000001</v>
      </c>
      <c r="AV156" s="230">
        <v>1351500</v>
      </c>
      <c r="AW156" s="230">
        <v>2903000</v>
      </c>
      <c r="AX156" s="230">
        <v>-1551500</v>
      </c>
      <c r="AY156" s="229">
        <v>-0.53439999999999999</v>
      </c>
      <c r="AZ156" s="230">
        <v>2046750</v>
      </c>
      <c r="BA156" s="230">
        <v>3064250</v>
      </c>
      <c r="BB156" s="230">
        <v>-1017500</v>
      </c>
      <c r="BC156" s="229">
        <v>-0.33210000000000001</v>
      </c>
      <c r="BD156" s="230">
        <v>48500</v>
      </c>
      <c r="BE156" s="230">
        <v>30500</v>
      </c>
      <c r="BF156" s="230">
        <v>18000</v>
      </c>
      <c r="BG156" s="229">
        <v>0.59019999999999995</v>
      </c>
      <c r="BH156" s="230">
        <v>3664000</v>
      </c>
      <c r="BI156" s="230">
        <v>2752500</v>
      </c>
      <c r="BJ156" s="230">
        <v>911500</v>
      </c>
      <c r="BK156" s="229">
        <v>0.33119999999999999</v>
      </c>
      <c r="BL156" s="230">
        <v>1582500</v>
      </c>
      <c r="BM156" s="230">
        <v>841750</v>
      </c>
      <c r="BN156" s="230">
        <v>740750</v>
      </c>
      <c r="BO156" s="229">
        <v>0.88</v>
      </c>
      <c r="BP156" s="230">
        <v>8693250</v>
      </c>
      <c r="BQ156" s="230">
        <v>9592000</v>
      </c>
      <c r="BR156" s="230">
        <v>-898750</v>
      </c>
      <c r="BS156" s="229">
        <v>-9.3700000000000006E-2</v>
      </c>
      <c r="BT156" s="230">
        <v>696995</v>
      </c>
      <c r="BU156" s="230">
        <v>490328</v>
      </c>
      <c r="BV156" s="230">
        <v>206667</v>
      </c>
      <c r="BW156" s="229">
        <v>0.42149999999999999</v>
      </c>
      <c r="BX156" s="230">
        <v>10425500</v>
      </c>
      <c r="BY156" s="230">
        <v>11039250</v>
      </c>
      <c r="BZ156" s="230">
        <v>-613750</v>
      </c>
      <c r="CA156" s="229">
        <v>-5.5599999999999997E-2</v>
      </c>
      <c r="CB156" s="230">
        <v>590500</v>
      </c>
      <c r="CC156" s="230">
        <v>1335500</v>
      </c>
      <c r="CD156" s="230">
        <v>-745000</v>
      </c>
      <c r="CE156" s="229">
        <v>-0.55779999999999996</v>
      </c>
      <c r="CF156" s="230">
        <v>10270500</v>
      </c>
      <c r="CG156" s="230">
        <v>9569000</v>
      </c>
      <c r="CH156" s="230">
        <v>701500</v>
      </c>
      <c r="CI156" s="229">
        <v>7.3300000000000004E-2</v>
      </c>
      <c r="CJ156" s="230">
        <v>155000</v>
      </c>
      <c r="CK156" s="230">
        <v>134750</v>
      </c>
      <c r="CL156" s="230">
        <v>20250</v>
      </c>
      <c r="CM156" s="229">
        <v>0.15029999999999999</v>
      </c>
      <c r="CN156" s="230">
        <v>1401750</v>
      </c>
      <c r="CO156" s="230">
        <v>3786250</v>
      </c>
      <c r="CP156" s="230">
        <v>-2384500</v>
      </c>
      <c r="CQ156" s="229">
        <v>-0.62980000000000003</v>
      </c>
      <c r="CR156" s="230">
        <v>1273000</v>
      </c>
      <c r="CS156" s="230">
        <v>2586500</v>
      </c>
      <c r="CT156" s="230">
        <v>-1313500</v>
      </c>
      <c r="CU156" s="229">
        <v>-0.50780000000000003</v>
      </c>
      <c r="CV156" s="230">
        <v>13100250</v>
      </c>
      <c r="CW156" s="230">
        <v>17412000</v>
      </c>
      <c r="CX156" s="230">
        <v>-4311750</v>
      </c>
      <c r="CY156" s="229">
        <v>-0.24759999999999999</v>
      </c>
      <c r="CZ156" s="228">
        <v>18.760000000000002</v>
      </c>
      <c r="DA156" s="228">
        <v>19.5</v>
      </c>
      <c r="DB156" s="228">
        <v>-0.74</v>
      </c>
      <c r="DC156" s="228">
        <v>-0.74</v>
      </c>
      <c r="DD156" s="228">
        <v>23.36</v>
      </c>
      <c r="DE156" s="228">
        <v>23.4</v>
      </c>
      <c r="DF156" s="228">
        <v>-4.5999999999999996</v>
      </c>
      <c r="DG156" s="228">
        <v>-0.04</v>
      </c>
      <c r="DH156" s="228">
        <v>19.03</v>
      </c>
      <c r="DI156" s="228">
        <v>19.82</v>
      </c>
      <c r="DJ156" s="228">
        <v>-0.79</v>
      </c>
      <c r="DK156" s="228">
        <v>-0.79</v>
      </c>
      <c r="DL156" s="228">
        <v>18.18</v>
      </c>
      <c r="DM156" s="228">
        <v>18.690000000000001</v>
      </c>
      <c r="DN156" s="228">
        <v>-0.51</v>
      </c>
      <c r="DO156" s="228">
        <v>-0.51</v>
      </c>
      <c r="DP156" s="228">
        <v>0.91</v>
      </c>
      <c r="DQ156" s="228">
        <v>0.68</v>
      </c>
      <c r="DR156" s="228">
        <v>0.23</v>
      </c>
      <c r="DS156" s="229">
        <v>0.3382</v>
      </c>
      <c r="DT156" s="231">
        <v>2500</v>
      </c>
      <c r="DU156" s="231">
        <v>2400</v>
      </c>
      <c r="DV156" s="228">
        <v>0.43</v>
      </c>
      <c r="DW156" s="228">
        <v>0.31</v>
      </c>
      <c r="DX156" s="228">
        <v>0.12</v>
      </c>
      <c r="DY156" s="229">
        <v>0.3871</v>
      </c>
      <c r="DZ156" s="229">
        <v>0.94640000000000002</v>
      </c>
      <c r="EA156" s="230">
        <v>9703750</v>
      </c>
      <c r="EB156" s="229">
        <v>5.1000000000000004E-3</v>
      </c>
      <c r="EC156" s="229">
        <v>0.94640000000000002</v>
      </c>
      <c r="ED156" s="228">
        <v>10.56</v>
      </c>
      <c r="EE156" s="229">
        <v>4.7000000000000002E-3</v>
      </c>
      <c r="EF156" s="230">
        <v>329739</v>
      </c>
      <c r="EG156" s="230">
        <v>293136</v>
      </c>
      <c r="EH156" s="229">
        <v>0.1249</v>
      </c>
      <c r="EI156" s="229">
        <v>0.47310000000000002</v>
      </c>
      <c r="EJ156" s="231">
        <v>85701.02</v>
      </c>
      <c r="EK156" s="231">
        <v>35745.300000000003</v>
      </c>
      <c r="EL156" s="231">
        <v>77701.09</v>
      </c>
      <c r="EM156" s="228">
        <v>0</v>
      </c>
      <c r="EN156" s="231">
        <v>199147.41</v>
      </c>
      <c r="EO156" s="231">
        <v>218178.49</v>
      </c>
      <c r="EP156" s="231">
        <v>-19031.080000000002</v>
      </c>
      <c r="EQ156" s="229">
        <v>-8.72E-2</v>
      </c>
      <c r="ER156" s="231">
        <v>33504</v>
      </c>
      <c r="ES156" s="231">
        <v>28409</v>
      </c>
      <c r="ET156" s="231">
        <v>235408</v>
      </c>
      <c r="EU156" s="231">
        <v>71801274</v>
      </c>
      <c r="EV156" s="231">
        <v>297321</v>
      </c>
      <c r="EW156" s="231">
        <v>398478</v>
      </c>
      <c r="EX156" s="231">
        <v>-101157</v>
      </c>
      <c r="EY156" s="229">
        <v>-0.25390000000000001</v>
      </c>
      <c r="EZ156" s="229">
        <v>0.1825</v>
      </c>
      <c r="FA156" s="227" t="s">
        <v>556</v>
      </c>
      <c r="FB156" s="161">
        <f t="shared" si="3"/>
        <v>0</v>
      </c>
    </row>
    <row r="157" spans="1:158" ht="17.25" thickBot="1" x14ac:dyDescent="0.3">
      <c r="A157" s="226">
        <v>45869</v>
      </c>
      <c r="B157" s="227" t="s">
        <v>161</v>
      </c>
      <c r="C157" s="227" t="s">
        <v>586</v>
      </c>
      <c r="D157" s="228">
        <v>6400</v>
      </c>
      <c r="E157" s="228">
        <v>83.24</v>
      </c>
      <c r="F157" s="228">
        <v>84.47</v>
      </c>
      <c r="G157" s="228">
        <v>-1.23</v>
      </c>
      <c r="H157" s="229">
        <v>-1.46E-2</v>
      </c>
      <c r="I157" s="228">
        <v>83.25</v>
      </c>
      <c r="J157" s="228">
        <v>84.46</v>
      </c>
      <c r="K157" s="228">
        <v>-1.21</v>
      </c>
      <c r="L157" s="229">
        <v>-1.43E-2</v>
      </c>
      <c r="M157" s="228">
        <v>83.16</v>
      </c>
      <c r="N157" s="228">
        <v>84.51</v>
      </c>
      <c r="O157" s="228">
        <v>-1.35</v>
      </c>
      <c r="P157" s="229">
        <v>-1.6E-2</v>
      </c>
      <c r="Q157" s="228">
        <v>83.24</v>
      </c>
      <c r="R157" s="228">
        <v>84.47</v>
      </c>
      <c r="S157" s="228">
        <v>-1.23</v>
      </c>
      <c r="T157" s="229">
        <v>-1.46E-2</v>
      </c>
      <c r="U157" s="228">
        <v>83.57</v>
      </c>
      <c r="V157" s="228">
        <v>84.91</v>
      </c>
      <c r="W157" s="228">
        <v>-1.34</v>
      </c>
      <c r="X157" s="229">
        <v>-1.5800000000000002E-2</v>
      </c>
      <c r="Y157" s="228">
        <v>-0.01</v>
      </c>
      <c r="Z157" s="228">
        <v>0.05</v>
      </c>
      <c r="AA157" s="228">
        <v>-0.06</v>
      </c>
      <c r="AB157" s="229">
        <v>-1E-4</v>
      </c>
      <c r="AC157" s="228">
        <v>-0.09</v>
      </c>
      <c r="AD157" s="228">
        <v>0.05</v>
      </c>
      <c r="AE157" s="228">
        <v>-0.14000000000000001</v>
      </c>
      <c r="AF157" s="229">
        <v>-1.1000000000000001E-3</v>
      </c>
      <c r="AG157" s="228">
        <v>-0.01</v>
      </c>
      <c r="AH157" s="228">
        <v>0.01</v>
      </c>
      <c r="AI157" s="228">
        <v>-0.02</v>
      </c>
      <c r="AJ157" s="229">
        <v>-1E-4</v>
      </c>
      <c r="AK157" s="228">
        <v>0.32</v>
      </c>
      <c r="AL157" s="228">
        <v>0.45</v>
      </c>
      <c r="AM157" s="228">
        <v>-0.13</v>
      </c>
      <c r="AN157" s="229">
        <v>3.8E-3</v>
      </c>
      <c r="AO157" s="228">
        <v>83.42</v>
      </c>
      <c r="AP157" s="228">
        <v>83.56</v>
      </c>
      <c r="AQ157" s="228">
        <v>0</v>
      </c>
      <c r="AR157" s="230">
        <v>30163200</v>
      </c>
      <c r="AS157" s="230">
        <v>34982400</v>
      </c>
      <c r="AT157" s="230">
        <v>-4819200</v>
      </c>
      <c r="AU157" s="229">
        <v>-0.13780000000000001</v>
      </c>
      <c r="AV157" s="230">
        <v>14540800</v>
      </c>
      <c r="AW157" s="230">
        <v>17203200</v>
      </c>
      <c r="AX157" s="230">
        <v>-2662400</v>
      </c>
      <c r="AY157" s="229">
        <v>-0.15479999999999999</v>
      </c>
      <c r="AZ157" s="230">
        <v>15212800</v>
      </c>
      <c r="BA157" s="230">
        <v>17676800</v>
      </c>
      <c r="BB157" s="230">
        <v>-2464000</v>
      </c>
      <c r="BC157" s="229">
        <v>-0.1394</v>
      </c>
      <c r="BD157" s="230">
        <v>409600</v>
      </c>
      <c r="BE157" s="230">
        <v>102400</v>
      </c>
      <c r="BF157" s="230">
        <v>307200</v>
      </c>
      <c r="BG157" s="229">
        <v>3</v>
      </c>
      <c r="BH157" s="230">
        <v>7872000</v>
      </c>
      <c r="BI157" s="230">
        <v>5600000</v>
      </c>
      <c r="BJ157" s="230">
        <v>2272000</v>
      </c>
      <c r="BK157" s="229">
        <v>0.40570000000000001</v>
      </c>
      <c r="BL157" s="230">
        <v>4115200</v>
      </c>
      <c r="BM157" s="230">
        <v>2899200</v>
      </c>
      <c r="BN157" s="230">
        <v>1216000</v>
      </c>
      <c r="BO157" s="229">
        <v>0.4194</v>
      </c>
      <c r="BP157" s="230">
        <v>42150400</v>
      </c>
      <c r="BQ157" s="230">
        <v>43481600</v>
      </c>
      <c r="BR157" s="230">
        <v>-1331200</v>
      </c>
      <c r="BS157" s="229">
        <v>-3.0599999999999999E-2</v>
      </c>
      <c r="BT157" s="230">
        <v>7695310</v>
      </c>
      <c r="BU157" s="230">
        <v>7298726</v>
      </c>
      <c r="BV157" s="230">
        <v>396584</v>
      </c>
      <c r="BW157" s="229">
        <v>5.4300000000000001E-2</v>
      </c>
      <c r="BX157" s="230">
        <v>51065600</v>
      </c>
      <c r="BY157" s="230">
        <v>66374400</v>
      </c>
      <c r="BZ157" s="230">
        <v>-15308800</v>
      </c>
      <c r="CA157" s="229">
        <v>-0.2306</v>
      </c>
      <c r="CB157" s="230">
        <v>14867200</v>
      </c>
      <c r="CC157" s="230">
        <v>24102400</v>
      </c>
      <c r="CD157" s="230">
        <v>-9235200</v>
      </c>
      <c r="CE157" s="229">
        <v>-0.38319999999999999</v>
      </c>
      <c r="CF157" s="230">
        <v>49785600</v>
      </c>
      <c r="CG157" s="230">
        <v>41299200</v>
      </c>
      <c r="CH157" s="230">
        <v>8486400</v>
      </c>
      <c r="CI157" s="229">
        <v>0.20549999999999999</v>
      </c>
      <c r="CJ157" s="230">
        <v>1280000</v>
      </c>
      <c r="CK157" s="230">
        <v>972800</v>
      </c>
      <c r="CL157" s="230">
        <v>307200</v>
      </c>
      <c r="CM157" s="229">
        <v>0.31580000000000003</v>
      </c>
      <c r="CN157" s="230">
        <v>7072000</v>
      </c>
      <c r="CO157" s="230">
        <v>21971200</v>
      </c>
      <c r="CP157" s="230">
        <v>-14899200</v>
      </c>
      <c r="CQ157" s="229">
        <v>-0.67810000000000004</v>
      </c>
      <c r="CR157" s="230">
        <v>4435200</v>
      </c>
      <c r="CS157" s="230">
        <v>10649600</v>
      </c>
      <c r="CT157" s="230">
        <v>-6214400</v>
      </c>
      <c r="CU157" s="229">
        <v>-0.58350000000000002</v>
      </c>
      <c r="CV157" s="230">
        <v>62572800</v>
      </c>
      <c r="CW157" s="230">
        <v>98995200</v>
      </c>
      <c r="CX157" s="230">
        <v>-36422400</v>
      </c>
      <c r="CY157" s="229">
        <v>-0.3679</v>
      </c>
      <c r="CZ157" s="228">
        <v>29.07</v>
      </c>
      <c r="DA157" s="228">
        <v>30.12</v>
      </c>
      <c r="DB157" s="228">
        <v>-1.05</v>
      </c>
      <c r="DC157" s="228">
        <v>-1.05</v>
      </c>
      <c r="DD157" s="228">
        <v>42.43</v>
      </c>
      <c r="DE157" s="228">
        <v>42.49</v>
      </c>
      <c r="DF157" s="228">
        <v>-13.36</v>
      </c>
      <c r="DG157" s="228">
        <v>-0.06</v>
      </c>
      <c r="DH157" s="228">
        <v>29.41</v>
      </c>
      <c r="DI157" s="228">
        <v>29.39</v>
      </c>
      <c r="DJ157" s="228">
        <v>0.02</v>
      </c>
      <c r="DK157" s="228">
        <v>0.02</v>
      </c>
      <c r="DL157" s="228">
        <v>28.31</v>
      </c>
      <c r="DM157" s="228">
        <v>31.59</v>
      </c>
      <c r="DN157" s="228">
        <v>-3.28</v>
      </c>
      <c r="DO157" s="228">
        <v>-3.28</v>
      </c>
      <c r="DP157" s="228">
        <v>0.63</v>
      </c>
      <c r="DQ157" s="228">
        <v>0.48</v>
      </c>
      <c r="DR157" s="228">
        <v>0.15</v>
      </c>
      <c r="DS157" s="229">
        <v>0.3125</v>
      </c>
      <c r="DT157" s="228">
        <v>90</v>
      </c>
      <c r="DU157" s="228">
        <v>80</v>
      </c>
      <c r="DV157" s="228">
        <v>0.52</v>
      </c>
      <c r="DW157" s="228">
        <v>0.52</v>
      </c>
      <c r="DX157" s="228">
        <v>0</v>
      </c>
      <c r="DY157" s="229">
        <v>0</v>
      </c>
      <c r="DZ157" s="229">
        <v>0.77449999999999997</v>
      </c>
      <c r="EA157" s="230">
        <v>42272000</v>
      </c>
      <c r="EB157" s="229">
        <v>1E-3</v>
      </c>
      <c r="EC157" s="229">
        <v>0.77449999999999997</v>
      </c>
      <c r="ED157" s="228">
        <v>0.14000000000000001</v>
      </c>
      <c r="EE157" s="229">
        <v>1.6999999999999999E-3</v>
      </c>
      <c r="EF157" s="230">
        <v>3634782</v>
      </c>
      <c r="EG157" s="230">
        <v>3780758</v>
      </c>
      <c r="EH157" s="229">
        <v>-3.8600000000000002E-2</v>
      </c>
      <c r="EI157" s="229">
        <v>0.4723</v>
      </c>
      <c r="EJ157" s="231">
        <v>6941.55</v>
      </c>
      <c r="EK157" s="231">
        <v>3529.74</v>
      </c>
      <c r="EL157" s="231">
        <v>25184.87</v>
      </c>
      <c r="EM157" s="228">
        <v>0</v>
      </c>
      <c r="EN157" s="231">
        <v>35656.160000000003</v>
      </c>
      <c r="EO157" s="231">
        <v>36939.39</v>
      </c>
      <c r="EP157" s="231">
        <v>-1283.23</v>
      </c>
      <c r="EQ157" s="229">
        <v>-3.4700000000000002E-2</v>
      </c>
      <c r="ER157" s="231">
        <v>6292</v>
      </c>
      <c r="ES157" s="231">
        <v>3688</v>
      </c>
      <c r="ET157" s="231">
        <v>42511</v>
      </c>
      <c r="EU157" s="231">
        <v>654977669</v>
      </c>
      <c r="EV157" s="231">
        <v>52490</v>
      </c>
      <c r="EW157" s="231">
        <v>84840</v>
      </c>
      <c r="EX157" s="231">
        <v>-32350</v>
      </c>
      <c r="EY157" s="229">
        <v>-0.38129999999999997</v>
      </c>
      <c r="EZ157" s="229">
        <v>9.5500000000000002E-2</v>
      </c>
      <c r="FA157" s="227" t="s">
        <v>568</v>
      </c>
      <c r="FB157" s="161">
        <f t="shared" si="3"/>
        <v>0</v>
      </c>
    </row>
    <row r="158" spans="1:158" ht="17.25" thickBot="1" x14ac:dyDescent="0.3">
      <c r="A158" s="226">
        <v>45869</v>
      </c>
      <c r="B158" s="227" t="s">
        <v>181</v>
      </c>
      <c r="C158" s="227" t="s">
        <v>266</v>
      </c>
      <c r="D158" s="228">
        <v>75</v>
      </c>
      <c r="E158" s="231">
        <v>24871.599999999999</v>
      </c>
      <c r="F158" s="231">
        <v>24959.1</v>
      </c>
      <c r="G158" s="228">
        <v>-87.5</v>
      </c>
      <c r="H158" s="229">
        <v>-3.5000000000000001E-3</v>
      </c>
      <c r="I158" s="231">
        <v>24768.35</v>
      </c>
      <c r="J158" s="231">
        <v>24855.05</v>
      </c>
      <c r="K158" s="228">
        <v>-86.7</v>
      </c>
      <c r="L158" s="229">
        <v>-3.5000000000000001E-3</v>
      </c>
      <c r="M158" s="231">
        <v>24771.9</v>
      </c>
      <c r="N158" s="231">
        <v>24869.3</v>
      </c>
      <c r="O158" s="228">
        <v>-97.4</v>
      </c>
      <c r="P158" s="229">
        <v>-3.8999999999999998E-3</v>
      </c>
      <c r="Q158" s="231">
        <v>24871.599999999999</v>
      </c>
      <c r="R158" s="231">
        <v>24959.1</v>
      </c>
      <c r="S158" s="228">
        <v>-87.5</v>
      </c>
      <c r="T158" s="229">
        <v>-3.5000000000000001E-3</v>
      </c>
      <c r="U158" s="231">
        <v>25014.7</v>
      </c>
      <c r="V158" s="231">
        <v>25097.1</v>
      </c>
      <c r="W158" s="228">
        <v>-82.4</v>
      </c>
      <c r="X158" s="229">
        <v>-3.3E-3</v>
      </c>
      <c r="Y158" s="228">
        <v>103.25</v>
      </c>
      <c r="Z158" s="228">
        <v>14.25</v>
      </c>
      <c r="AA158" s="228">
        <v>89</v>
      </c>
      <c r="AB158" s="229">
        <v>4.1999999999999997E-3</v>
      </c>
      <c r="AC158" s="228">
        <v>3.55</v>
      </c>
      <c r="AD158" s="228">
        <v>14.25</v>
      </c>
      <c r="AE158" s="228">
        <v>-10.7</v>
      </c>
      <c r="AF158" s="229">
        <v>1E-4</v>
      </c>
      <c r="AG158" s="228">
        <v>103.25</v>
      </c>
      <c r="AH158" s="228">
        <v>104.05</v>
      </c>
      <c r="AI158" s="228">
        <v>-0.8</v>
      </c>
      <c r="AJ158" s="229">
        <v>4.1999999999999997E-3</v>
      </c>
      <c r="AK158" s="228">
        <v>246.35</v>
      </c>
      <c r="AL158" s="228">
        <v>242.05</v>
      </c>
      <c r="AM158" s="228">
        <v>4.3</v>
      </c>
      <c r="AN158" s="229">
        <v>9.9000000000000008E-3</v>
      </c>
      <c r="AO158" s="231">
        <v>24786.87</v>
      </c>
      <c r="AP158" s="231">
        <v>24876.29</v>
      </c>
      <c r="AQ158" s="228">
        <v>0</v>
      </c>
      <c r="AR158" s="230">
        <v>16182675</v>
      </c>
      <c r="AS158" s="230">
        <v>10091475</v>
      </c>
      <c r="AT158" s="230">
        <v>6091200</v>
      </c>
      <c r="AU158" s="229">
        <v>0.60360000000000003</v>
      </c>
      <c r="AV158" s="230">
        <v>6090375</v>
      </c>
      <c r="AW158" s="230">
        <v>5201475</v>
      </c>
      <c r="AX158" s="230">
        <v>888900</v>
      </c>
      <c r="AY158" s="229">
        <v>0.1709</v>
      </c>
      <c r="AZ158" s="230">
        <v>9607650</v>
      </c>
      <c r="BA158" s="230">
        <v>4636350</v>
      </c>
      <c r="BB158" s="230">
        <v>4971300</v>
      </c>
      <c r="BC158" s="229">
        <v>1.0722</v>
      </c>
      <c r="BD158" s="230">
        <v>484650</v>
      </c>
      <c r="BE158" s="230">
        <v>253650</v>
      </c>
      <c r="BF158" s="230">
        <v>231000</v>
      </c>
      <c r="BG158" s="229">
        <v>0.91069999999999995</v>
      </c>
      <c r="BH158" s="230">
        <v>11413356375</v>
      </c>
      <c r="BI158" s="230">
        <v>4006416975</v>
      </c>
      <c r="BJ158" s="230">
        <v>7406939400</v>
      </c>
      <c r="BK158" s="229">
        <v>1.8488</v>
      </c>
      <c r="BL158" s="230">
        <v>10583181525</v>
      </c>
      <c r="BM158" s="230">
        <v>3337367700</v>
      </c>
      <c r="BN158" s="230">
        <v>7245813825</v>
      </c>
      <c r="BO158" s="229">
        <v>2.1711</v>
      </c>
      <c r="BP158" s="230">
        <v>22012720575</v>
      </c>
      <c r="BQ158" s="230">
        <v>7353876150</v>
      </c>
      <c r="BR158" s="230">
        <v>14658844425</v>
      </c>
      <c r="BS158" s="229">
        <v>1.9933000000000001</v>
      </c>
      <c r="BT158" s="228">
        <v>0</v>
      </c>
      <c r="BU158" s="228">
        <v>0</v>
      </c>
      <c r="BV158" s="228">
        <v>0</v>
      </c>
      <c r="BW158" s="229">
        <v>0</v>
      </c>
      <c r="BX158" s="230">
        <v>16453050</v>
      </c>
      <c r="BY158" s="230">
        <v>20357475</v>
      </c>
      <c r="BZ158" s="230">
        <v>-3904425</v>
      </c>
      <c r="CA158" s="229">
        <v>-0.1918</v>
      </c>
      <c r="CB158" s="230">
        <v>5278950</v>
      </c>
      <c r="CC158" s="230">
        <v>6997125</v>
      </c>
      <c r="CD158" s="230">
        <v>-1718175</v>
      </c>
      <c r="CE158" s="229">
        <v>-0.24560000000000001</v>
      </c>
      <c r="CF158" s="230">
        <v>15590625</v>
      </c>
      <c r="CG158" s="230">
        <v>12571575</v>
      </c>
      <c r="CH158" s="230">
        <v>3019050</v>
      </c>
      <c r="CI158" s="229">
        <v>0.24010000000000001</v>
      </c>
      <c r="CJ158" s="230">
        <v>862425</v>
      </c>
      <c r="CK158" s="230">
        <v>788775</v>
      </c>
      <c r="CL158" s="230">
        <v>73650</v>
      </c>
      <c r="CM158" s="229">
        <v>9.3399999999999997E-2</v>
      </c>
      <c r="CN158" s="230">
        <v>120340800</v>
      </c>
      <c r="CO158" s="230">
        <v>266507550</v>
      </c>
      <c r="CP158" s="230">
        <v>-146166750</v>
      </c>
      <c r="CQ158" s="229">
        <v>-0.54849999999999999</v>
      </c>
      <c r="CR158" s="230">
        <v>125223375</v>
      </c>
      <c r="CS158" s="230">
        <v>232688225</v>
      </c>
      <c r="CT158" s="230">
        <v>-107464850</v>
      </c>
      <c r="CU158" s="229">
        <v>-0.46179999999999999</v>
      </c>
      <c r="CV158" s="230">
        <v>262017225</v>
      </c>
      <c r="CW158" s="230">
        <v>519553250</v>
      </c>
      <c r="CX158" s="230">
        <v>-257536025</v>
      </c>
      <c r="CY158" s="229">
        <v>-0.49569999999999997</v>
      </c>
      <c r="CZ158" s="228">
        <v>12.44</v>
      </c>
      <c r="DA158" s="228">
        <v>11.73</v>
      </c>
      <c r="DB158" s="228">
        <v>0.71</v>
      </c>
      <c r="DC158" s="228">
        <v>0.71</v>
      </c>
      <c r="DD158" s="228">
        <v>16.23</v>
      </c>
      <c r="DE158" s="228">
        <v>16.260000000000002</v>
      </c>
      <c r="DF158" s="228">
        <v>-3.79</v>
      </c>
      <c r="DG158" s="228">
        <v>-0.03</v>
      </c>
      <c r="DH158" s="228">
        <v>11.66</v>
      </c>
      <c r="DI158" s="228">
        <v>11.08</v>
      </c>
      <c r="DJ158" s="228">
        <v>0.57999999999999996</v>
      </c>
      <c r="DK158" s="228">
        <v>0.57999999999999996</v>
      </c>
      <c r="DL158" s="228">
        <v>13.29</v>
      </c>
      <c r="DM158" s="228">
        <v>12.52</v>
      </c>
      <c r="DN158" s="228">
        <v>0.77</v>
      </c>
      <c r="DO158" s="228">
        <v>0.77</v>
      </c>
      <c r="DP158" s="228">
        <v>1.04</v>
      </c>
      <c r="DQ158" s="228">
        <v>0.87</v>
      </c>
      <c r="DR158" s="228">
        <v>0.17</v>
      </c>
      <c r="DS158" s="229">
        <v>0.19539999999999999</v>
      </c>
      <c r="DT158" s="231">
        <v>24800</v>
      </c>
      <c r="DU158" s="231">
        <v>24750</v>
      </c>
      <c r="DV158" s="228">
        <v>0.93</v>
      </c>
      <c r="DW158" s="228">
        <v>0.83</v>
      </c>
      <c r="DX158" s="228">
        <v>0.1</v>
      </c>
      <c r="DY158" s="229">
        <v>0.1205</v>
      </c>
      <c r="DZ158" s="229">
        <v>0.7571</v>
      </c>
      <c r="EA158" s="230">
        <v>13360350</v>
      </c>
      <c r="EB158" s="229">
        <v>4.0000000000000001E-3</v>
      </c>
      <c r="EC158" s="229">
        <v>0.7571</v>
      </c>
      <c r="ED158" s="228">
        <v>89.42</v>
      </c>
      <c r="EE158" s="229">
        <v>3.5999999999999999E-3</v>
      </c>
      <c r="EF158" s="228">
        <v>0</v>
      </c>
      <c r="EG158" s="228">
        <v>0</v>
      </c>
      <c r="EH158" s="229">
        <v>0</v>
      </c>
      <c r="EI158" s="229">
        <v>0</v>
      </c>
      <c r="EJ158" s="231">
        <v>2854197085.3299999</v>
      </c>
      <c r="EK158" s="231">
        <v>2608273238.04</v>
      </c>
      <c r="EL158" s="231">
        <v>4020879.35</v>
      </c>
      <c r="EM158" s="228">
        <v>0</v>
      </c>
      <c r="EN158" s="231">
        <v>5466491202.7200003</v>
      </c>
      <c r="EO158" s="231">
        <v>1832973013.25</v>
      </c>
      <c r="EP158" s="231">
        <v>3633518189.4699998</v>
      </c>
      <c r="EQ158" s="229">
        <v>1.9823</v>
      </c>
      <c r="ER158" s="231">
        <v>30747596</v>
      </c>
      <c r="ES158" s="231">
        <v>30357025</v>
      </c>
      <c r="ET158" s="231">
        <v>4093371</v>
      </c>
      <c r="EU158" s="228">
        <v>0</v>
      </c>
      <c r="EV158" s="231">
        <v>65197992</v>
      </c>
      <c r="EW158" s="231">
        <v>129654944</v>
      </c>
      <c r="EX158" s="231">
        <v>-64456952</v>
      </c>
      <c r="EY158" s="229">
        <v>-0.49709999999999999</v>
      </c>
      <c r="EZ158" s="229">
        <v>0</v>
      </c>
      <c r="FA158" s="227" t="s">
        <v>568</v>
      </c>
      <c r="FB158" s="161">
        <f t="shared" si="3"/>
        <v>0</v>
      </c>
    </row>
    <row r="159" spans="1:158" ht="17.25" thickBot="1" x14ac:dyDescent="0.3">
      <c r="A159" s="226">
        <v>45869</v>
      </c>
      <c r="B159" s="227" t="s">
        <v>181</v>
      </c>
      <c r="C159" s="227" t="s">
        <v>566</v>
      </c>
      <c r="D159" s="228">
        <v>25</v>
      </c>
      <c r="E159" s="231">
        <v>67228.2</v>
      </c>
      <c r="F159" s="231">
        <v>67632.2</v>
      </c>
      <c r="G159" s="228">
        <v>-404</v>
      </c>
      <c r="H159" s="229">
        <v>-6.0000000000000001E-3</v>
      </c>
      <c r="I159" s="231">
        <v>67096.149999999994</v>
      </c>
      <c r="J159" s="231">
        <v>67435.149999999994</v>
      </c>
      <c r="K159" s="228">
        <v>-339</v>
      </c>
      <c r="L159" s="229">
        <v>-5.0000000000000001E-3</v>
      </c>
      <c r="M159" s="231">
        <v>67044.800000000003</v>
      </c>
      <c r="N159" s="231">
        <v>67406.2</v>
      </c>
      <c r="O159" s="228">
        <v>-361.4</v>
      </c>
      <c r="P159" s="229">
        <v>-5.4000000000000003E-3</v>
      </c>
      <c r="Q159" s="231">
        <v>67228.2</v>
      </c>
      <c r="R159" s="231">
        <v>67632.2</v>
      </c>
      <c r="S159" s="228">
        <v>-404</v>
      </c>
      <c r="T159" s="229">
        <v>-6.0000000000000001E-3</v>
      </c>
      <c r="U159" s="231">
        <v>67615.399999999994</v>
      </c>
      <c r="V159" s="231">
        <v>68250</v>
      </c>
      <c r="W159" s="228">
        <v>-634.6</v>
      </c>
      <c r="X159" s="229">
        <v>-9.2999999999999992E-3</v>
      </c>
      <c r="Y159" s="228">
        <v>132.05000000000001</v>
      </c>
      <c r="Z159" s="228">
        <v>-28.95</v>
      </c>
      <c r="AA159" s="228">
        <v>161</v>
      </c>
      <c r="AB159" s="229">
        <v>2E-3</v>
      </c>
      <c r="AC159" s="228">
        <v>-51.35</v>
      </c>
      <c r="AD159" s="228">
        <v>-28.95</v>
      </c>
      <c r="AE159" s="228">
        <v>-22.4</v>
      </c>
      <c r="AF159" s="229">
        <v>-8.0000000000000004E-4</v>
      </c>
      <c r="AG159" s="228">
        <v>132.05000000000001</v>
      </c>
      <c r="AH159" s="228">
        <v>197.05</v>
      </c>
      <c r="AI159" s="228">
        <v>-65</v>
      </c>
      <c r="AJ159" s="229">
        <v>2E-3</v>
      </c>
      <c r="AK159" s="228">
        <v>519.25</v>
      </c>
      <c r="AL159" s="228">
        <v>814.85</v>
      </c>
      <c r="AM159" s="228">
        <v>-295.60000000000002</v>
      </c>
      <c r="AN159" s="229">
        <v>7.7000000000000002E-3</v>
      </c>
      <c r="AO159" s="231">
        <v>67116.17</v>
      </c>
      <c r="AP159" s="231">
        <v>67278.16</v>
      </c>
      <c r="AQ159" s="228">
        <v>0</v>
      </c>
      <c r="AR159" s="230">
        <v>24200</v>
      </c>
      <c r="AS159" s="230">
        <v>10475</v>
      </c>
      <c r="AT159" s="230">
        <v>13725</v>
      </c>
      <c r="AU159" s="229">
        <v>1.3103</v>
      </c>
      <c r="AV159" s="230">
        <v>11225</v>
      </c>
      <c r="AW159" s="230">
        <v>4900</v>
      </c>
      <c r="AX159" s="230">
        <v>6325</v>
      </c>
      <c r="AY159" s="229">
        <v>1.2907999999999999</v>
      </c>
      <c r="AZ159" s="230">
        <v>12500</v>
      </c>
      <c r="BA159" s="230">
        <v>5550</v>
      </c>
      <c r="BB159" s="230">
        <v>6950</v>
      </c>
      <c r="BC159" s="229">
        <v>1.2523</v>
      </c>
      <c r="BD159" s="228">
        <v>475</v>
      </c>
      <c r="BE159" s="228">
        <v>25</v>
      </c>
      <c r="BF159" s="228">
        <v>450</v>
      </c>
      <c r="BG159" s="229">
        <v>18</v>
      </c>
      <c r="BH159" s="230">
        <v>268425</v>
      </c>
      <c r="BI159" s="230">
        <v>71950</v>
      </c>
      <c r="BJ159" s="230">
        <v>196475</v>
      </c>
      <c r="BK159" s="229">
        <v>2.7307000000000001</v>
      </c>
      <c r="BL159" s="230">
        <v>200550</v>
      </c>
      <c r="BM159" s="230">
        <v>22650</v>
      </c>
      <c r="BN159" s="230">
        <v>177900</v>
      </c>
      <c r="BO159" s="229">
        <v>7.8543000000000003</v>
      </c>
      <c r="BP159" s="230">
        <v>493175</v>
      </c>
      <c r="BQ159" s="230">
        <v>105075</v>
      </c>
      <c r="BR159" s="230">
        <v>388100</v>
      </c>
      <c r="BS159" s="229">
        <v>3.6936</v>
      </c>
      <c r="BT159" s="228">
        <v>0</v>
      </c>
      <c r="BU159" s="228">
        <v>0</v>
      </c>
      <c r="BV159" s="228">
        <v>0</v>
      </c>
      <c r="BW159" s="229">
        <v>0</v>
      </c>
      <c r="BX159" s="230">
        <v>20350</v>
      </c>
      <c r="BY159" s="230">
        <v>25175</v>
      </c>
      <c r="BZ159" s="230">
        <v>-4825</v>
      </c>
      <c r="CA159" s="229">
        <v>-0.19170000000000001</v>
      </c>
      <c r="CB159" s="230">
        <v>3725</v>
      </c>
      <c r="CC159" s="230">
        <v>7725</v>
      </c>
      <c r="CD159" s="230">
        <v>-4000</v>
      </c>
      <c r="CE159" s="229">
        <v>-0.51780000000000004</v>
      </c>
      <c r="CF159" s="230">
        <v>19875</v>
      </c>
      <c r="CG159" s="230">
        <v>17225</v>
      </c>
      <c r="CH159" s="230">
        <v>2650</v>
      </c>
      <c r="CI159" s="229">
        <v>0.15379999999999999</v>
      </c>
      <c r="CJ159" s="228">
        <v>475</v>
      </c>
      <c r="CK159" s="228">
        <v>225</v>
      </c>
      <c r="CL159" s="228">
        <v>250</v>
      </c>
      <c r="CM159" s="229">
        <v>1.1111</v>
      </c>
      <c r="CN159" s="228">
        <v>0</v>
      </c>
      <c r="CO159" s="230">
        <v>24075</v>
      </c>
      <c r="CP159" s="230">
        <v>-24075</v>
      </c>
      <c r="CQ159" s="229">
        <v>-1</v>
      </c>
      <c r="CR159" s="228">
        <v>75</v>
      </c>
      <c r="CS159" s="230">
        <v>12925</v>
      </c>
      <c r="CT159" s="230">
        <v>-12850</v>
      </c>
      <c r="CU159" s="229">
        <v>-0.99419999999999997</v>
      </c>
      <c r="CV159" s="230">
        <v>20425</v>
      </c>
      <c r="CW159" s="230">
        <v>62175</v>
      </c>
      <c r="CX159" s="230">
        <v>-41750</v>
      </c>
      <c r="CY159" s="229">
        <v>-0.67149999999999999</v>
      </c>
      <c r="CZ159" s="228">
        <v>13.63</v>
      </c>
      <c r="DA159" s="228">
        <v>23.04</v>
      </c>
      <c r="DB159" s="228">
        <v>-9.41</v>
      </c>
      <c r="DC159" s="228">
        <v>-9.41</v>
      </c>
      <c r="DD159" s="228">
        <v>23</v>
      </c>
      <c r="DE159" s="228">
        <v>23.04</v>
      </c>
      <c r="DF159" s="228">
        <v>-9.3699999999999992</v>
      </c>
      <c r="DG159" s="228">
        <v>-0.04</v>
      </c>
      <c r="DH159" s="228">
        <v>13.63</v>
      </c>
      <c r="DI159" s="228">
        <v>23.04</v>
      </c>
      <c r="DJ159" s="228">
        <v>-9.41</v>
      </c>
      <c r="DK159" s="228">
        <v>-9.41</v>
      </c>
      <c r="DL159" s="228">
        <v>13.63</v>
      </c>
      <c r="DM159" s="228">
        <v>23.04</v>
      </c>
      <c r="DN159" s="228">
        <v>-9.41</v>
      </c>
      <c r="DO159" s="228">
        <v>-9.41</v>
      </c>
      <c r="DP159" s="228">
        <v>0</v>
      </c>
      <c r="DQ159" s="228">
        <v>0.54</v>
      </c>
      <c r="DR159" s="228">
        <v>-0.54</v>
      </c>
      <c r="DS159" s="229">
        <v>-1</v>
      </c>
      <c r="DT159" s="231">
        <v>67100</v>
      </c>
      <c r="DU159" s="231">
        <v>67000</v>
      </c>
      <c r="DV159" s="228">
        <v>0.75</v>
      </c>
      <c r="DW159" s="228">
        <v>0.31</v>
      </c>
      <c r="DX159" s="228">
        <v>0.44</v>
      </c>
      <c r="DY159" s="229">
        <v>1.4194</v>
      </c>
      <c r="DZ159" s="229">
        <v>0.84530000000000005</v>
      </c>
      <c r="EA159" s="230">
        <v>17450</v>
      </c>
      <c r="EB159" s="229">
        <v>2.7000000000000001E-3</v>
      </c>
      <c r="EC159" s="229">
        <v>0.84530000000000005</v>
      </c>
      <c r="ED159" s="228">
        <v>161.99</v>
      </c>
      <c r="EE159" s="229">
        <v>2.3999999999999998E-3</v>
      </c>
      <c r="EF159" s="228">
        <v>0</v>
      </c>
      <c r="EG159" s="228">
        <v>0</v>
      </c>
      <c r="EH159" s="229">
        <v>0</v>
      </c>
      <c r="EI159" s="229">
        <v>0</v>
      </c>
      <c r="EJ159" s="231">
        <v>182014.28</v>
      </c>
      <c r="EK159" s="231">
        <v>133627.70000000001</v>
      </c>
      <c r="EL159" s="231">
        <v>16265.03</v>
      </c>
      <c r="EM159" s="228">
        <v>0</v>
      </c>
      <c r="EN159" s="231">
        <v>331907.01</v>
      </c>
      <c r="EO159" s="231">
        <v>71556.210000000006</v>
      </c>
      <c r="EP159" s="231">
        <v>260350.8</v>
      </c>
      <c r="EQ159" s="229">
        <v>3.6383999999999999</v>
      </c>
      <c r="ER159" s="228">
        <v>0</v>
      </c>
      <c r="ES159" s="228">
        <v>52</v>
      </c>
      <c r="ET159" s="231">
        <v>13683</v>
      </c>
      <c r="EU159" s="228">
        <v>0</v>
      </c>
      <c r="EV159" s="231">
        <v>13735</v>
      </c>
      <c r="EW159" s="231">
        <v>42194</v>
      </c>
      <c r="EX159" s="231">
        <v>-28459</v>
      </c>
      <c r="EY159" s="229">
        <v>-0.67449999999999999</v>
      </c>
      <c r="EZ159" s="229">
        <v>0</v>
      </c>
      <c r="FA159" s="227" t="s">
        <v>568</v>
      </c>
      <c r="FB159" s="161">
        <f t="shared" si="3"/>
        <v>0</v>
      </c>
    </row>
    <row r="160" spans="1:158" ht="17.25" thickBot="1" x14ac:dyDescent="0.3">
      <c r="A160" s="226">
        <v>45869</v>
      </c>
      <c r="B160" s="227" t="s">
        <v>227</v>
      </c>
      <c r="C160" s="227" t="s">
        <v>267</v>
      </c>
      <c r="D160" s="228">
        <v>13500</v>
      </c>
      <c r="E160" s="228">
        <v>70.040000000000006</v>
      </c>
      <c r="F160" s="228">
        <v>71.760000000000005</v>
      </c>
      <c r="G160" s="228">
        <v>-1.72</v>
      </c>
      <c r="H160" s="229">
        <v>-2.4E-2</v>
      </c>
      <c r="I160" s="228">
        <v>70.790000000000006</v>
      </c>
      <c r="J160" s="228">
        <v>72.06</v>
      </c>
      <c r="K160" s="228">
        <v>-1.27</v>
      </c>
      <c r="L160" s="229">
        <v>-1.7600000000000001E-2</v>
      </c>
      <c r="M160" s="228">
        <v>70.78</v>
      </c>
      <c r="N160" s="228">
        <v>72.03</v>
      </c>
      <c r="O160" s="228">
        <v>-1.25</v>
      </c>
      <c r="P160" s="229">
        <v>-1.7399999999999999E-2</v>
      </c>
      <c r="Q160" s="228">
        <v>70.040000000000006</v>
      </c>
      <c r="R160" s="228">
        <v>71.760000000000005</v>
      </c>
      <c r="S160" s="228">
        <v>-1.72</v>
      </c>
      <c r="T160" s="229">
        <v>-2.4E-2</v>
      </c>
      <c r="U160" s="228">
        <v>70.44</v>
      </c>
      <c r="V160" s="228">
        <v>71.78</v>
      </c>
      <c r="W160" s="228">
        <v>-1.34</v>
      </c>
      <c r="X160" s="229">
        <v>-1.8700000000000001E-2</v>
      </c>
      <c r="Y160" s="228">
        <v>-0.75</v>
      </c>
      <c r="Z160" s="228">
        <v>-0.03</v>
      </c>
      <c r="AA160" s="228">
        <v>-0.72</v>
      </c>
      <c r="AB160" s="229">
        <v>-1.06E-2</v>
      </c>
      <c r="AC160" s="228">
        <v>-0.01</v>
      </c>
      <c r="AD160" s="228">
        <v>-0.03</v>
      </c>
      <c r="AE160" s="228">
        <v>0.02</v>
      </c>
      <c r="AF160" s="229">
        <v>-1E-4</v>
      </c>
      <c r="AG160" s="228">
        <v>-0.75</v>
      </c>
      <c r="AH160" s="228">
        <v>-0.3</v>
      </c>
      <c r="AI160" s="228">
        <v>-0.45</v>
      </c>
      <c r="AJ160" s="229">
        <v>-1.06E-2</v>
      </c>
      <c r="AK160" s="228">
        <v>-0.35</v>
      </c>
      <c r="AL160" s="228">
        <v>-0.28000000000000003</v>
      </c>
      <c r="AM160" s="228">
        <v>-7.0000000000000007E-2</v>
      </c>
      <c r="AN160" s="229">
        <v>-4.8999999999999998E-3</v>
      </c>
      <c r="AO160" s="228">
        <v>71.12</v>
      </c>
      <c r="AP160" s="228">
        <v>70.5</v>
      </c>
      <c r="AQ160" s="228">
        <v>0</v>
      </c>
      <c r="AR160" s="230">
        <v>240246000</v>
      </c>
      <c r="AS160" s="230">
        <v>110767500</v>
      </c>
      <c r="AT160" s="230">
        <v>129478500</v>
      </c>
      <c r="AU160" s="229">
        <v>1.1689000000000001</v>
      </c>
      <c r="AV160" s="230">
        <v>112536000</v>
      </c>
      <c r="AW160" s="230">
        <v>54823500</v>
      </c>
      <c r="AX160" s="230">
        <v>57712500</v>
      </c>
      <c r="AY160" s="229">
        <v>1.0527</v>
      </c>
      <c r="AZ160" s="230">
        <v>124429500</v>
      </c>
      <c r="BA160" s="230">
        <v>53568000</v>
      </c>
      <c r="BB160" s="230">
        <v>70861500</v>
      </c>
      <c r="BC160" s="229">
        <v>1.3228</v>
      </c>
      <c r="BD160" s="230">
        <v>3280500</v>
      </c>
      <c r="BE160" s="230">
        <v>2376000</v>
      </c>
      <c r="BF160" s="230">
        <v>904500</v>
      </c>
      <c r="BG160" s="229">
        <v>0.38069999999999998</v>
      </c>
      <c r="BH160" s="230">
        <v>76504500</v>
      </c>
      <c r="BI160" s="230">
        <v>58576500</v>
      </c>
      <c r="BJ160" s="230">
        <v>17928000</v>
      </c>
      <c r="BK160" s="229">
        <v>0.30609999999999998</v>
      </c>
      <c r="BL160" s="230">
        <v>60885000</v>
      </c>
      <c r="BM160" s="230">
        <v>38299500</v>
      </c>
      <c r="BN160" s="230">
        <v>22585500</v>
      </c>
      <c r="BO160" s="229">
        <v>0.5897</v>
      </c>
      <c r="BP160" s="230">
        <v>377635500</v>
      </c>
      <c r="BQ160" s="230">
        <v>207643500</v>
      </c>
      <c r="BR160" s="230">
        <v>169992000</v>
      </c>
      <c r="BS160" s="229">
        <v>0.81869999999999998</v>
      </c>
      <c r="BT160" s="230">
        <v>18319761</v>
      </c>
      <c r="BU160" s="230">
        <v>11405302</v>
      </c>
      <c r="BV160" s="230">
        <v>6914459</v>
      </c>
      <c r="BW160" s="229">
        <v>0.60619999999999996</v>
      </c>
      <c r="BX160" s="230">
        <v>239962500</v>
      </c>
      <c r="BY160" s="230">
        <v>322056000</v>
      </c>
      <c r="BZ160" s="230">
        <v>-82093500</v>
      </c>
      <c r="CA160" s="229">
        <v>-0.25490000000000002</v>
      </c>
      <c r="CB160" s="230">
        <v>33412500</v>
      </c>
      <c r="CC160" s="230">
        <v>111969000</v>
      </c>
      <c r="CD160" s="230">
        <v>-78556500</v>
      </c>
      <c r="CE160" s="229">
        <v>-0.7016</v>
      </c>
      <c r="CF160" s="230">
        <v>199800000</v>
      </c>
      <c r="CG160" s="230">
        <v>169924500</v>
      </c>
      <c r="CH160" s="230">
        <v>29875500</v>
      </c>
      <c r="CI160" s="229">
        <v>0.17580000000000001</v>
      </c>
      <c r="CJ160" s="230">
        <v>40162500</v>
      </c>
      <c r="CK160" s="230">
        <v>40162500</v>
      </c>
      <c r="CL160" s="228">
        <v>0</v>
      </c>
      <c r="CM160" s="229">
        <v>0</v>
      </c>
      <c r="CN160" s="230">
        <v>69430500</v>
      </c>
      <c r="CO160" s="230">
        <v>128277000</v>
      </c>
      <c r="CP160" s="230">
        <v>-58846500</v>
      </c>
      <c r="CQ160" s="229">
        <v>-0.4587</v>
      </c>
      <c r="CR160" s="230">
        <v>61411500</v>
      </c>
      <c r="CS160" s="230">
        <v>110430000</v>
      </c>
      <c r="CT160" s="230">
        <v>-49018500</v>
      </c>
      <c r="CU160" s="229">
        <v>-0.44390000000000002</v>
      </c>
      <c r="CV160" s="230">
        <v>370804500</v>
      </c>
      <c r="CW160" s="230">
        <v>560763000</v>
      </c>
      <c r="CX160" s="230">
        <v>-189958500</v>
      </c>
      <c r="CY160" s="229">
        <v>-0.33879999999999999</v>
      </c>
      <c r="CZ160" s="228">
        <v>28.7</v>
      </c>
      <c r="DA160" s="228">
        <v>27.98</v>
      </c>
      <c r="DB160" s="228">
        <v>0.72</v>
      </c>
      <c r="DC160" s="228">
        <v>0.72</v>
      </c>
      <c r="DD160" s="228">
        <v>42.47</v>
      </c>
      <c r="DE160" s="228">
        <v>42.45</v>
      </c>
      <c r="DF160" s="228">
        <v>-13.77</v>
      </c>
      <c r="DG160" s="228">
        <v>0.02</v>
      </c>
      <c r="DH160" s="228">
        <v>29.71</v>
      </c>
      <c r="DI160" s="228">
        <v>28.65</v>
      </c>
      <c r="DJ160" s="228">
        <v>1.06</v>
      </c>
      <c r="DK160" s="228">
        <v>1.06</v>
      </c>
      <c r="DL160" s="228">
        <v>27.35</v>
      </c>
      <c r="DM160" s="228">
        <v>27.14</v>
      </c>
      <c r="DN160" s="228">
        <v>0.21</v>
      </c>
      <c r="DO160" s="228">
        <v>0.21</v>
      </c>
      <c r="DP160" s="228">
        <v>0.88</v>
      </c>
      <c r="DQ160" s="228">
        <v>0.86</v>
      </c>
      <c r="DR160" s="228">
        <v>0.02</v>
      </c>
      <c r="DS160" s="229">
        <v>2.3300000000000001E-2</v>
      </c>
      <c r="DT160" s="228">
        <v>80</v>
      </c>
      <c r="DU160" s="228">
        <v>71</v>
      </c>
      <c r="DV160" s="228">
        <v>0.8</v>
      </c>
      <c r="DW160" s="228">
        <v>0.65</v>
      </c>
      <c r="DX160" s="228">
        <v>0.15</v>
      </c>
      <c r="DY160" s="229">
        <v>0.23080000000000001</v>
      </c>
      <c r="DZ160" s="229">
        <v>0.87780000000000002</v>
      </c>
      <c r="EA160" s="230">
        <v>210087000</v>
      </c>
      <c r="EB160" s="229">
        <v>-1.0500000000000001E-2</v>
      </c>
      <c r="EC160" s="229">
        <v>0.87780000000000002</v>
      </c>
      <c r="ED160" s="228">
        <v>-0.62</v>
      </c>
      <c r="EE160" s="229">
        <v>-8.6999999999999994E-3</v>
      </c>
      <c r="EF160" s="230">
        <v>11537899</v>
      </c>
      <c r="EG160" s="230">
        <v>6257335</v>
      </c>
      <c r="EH160" s="229">
        <v>0.84389999999999998</v>
      </c>
      <c r="EI160" s="229">
        <v>0.62980000000000003</v>
      </c>
      <c r="EJ160" s="231">
        <v>56986.49</v>
      </c>
      <c r="EK160" s="231">
        <v>44158.94</v>
      </c>
      <c r="EL160" s="231">
        <v>170069.67</v>
      </c>
      <c r="EM160" s="228">
        <v>0</v>
      </c>
      <c r="EN160" s="231">
        <v>271215.09999999998</v>
      </c>
      <c r="EO160" s="231">
        <v>150913.57</v>
      </c>
      <c r="EP160" s="231">
        <v>120301.53</v>
      </c>
      <c r="EQ160" s="229">
        <v>0.79720000000000002</v>
      </c>
      <c r="ER160" s="231">
        <v>52473</v>
      </c>
      <c r="ES160" s="231">
        <v>43838</v>
      </c>
      <c r="ET160" s="231">
        <v>168230</v>
      </c>
      <c r="EU160" s="231">
        <v>689383367</v>
      </c>
      <c r="EV160" s="231">
        <v>264542</v>
      </c>
      <c r="EW160" s="231">
        <v>405475</v>
      </c>
      <c r="EX160" s="231">
        <v>-140933</v>
      </c>
      <c r="EY160" s="229">
        <v>-0.34760000000000002</v>
      </c>
      <c r="EZ160" s="229">
        <v>0.53790000000000004</v>
      </c>
      <c r="FA160" s="227" t="s">
        <v>568</v>
      </c>
      <c r="FB160" s="161">
        <f t="shared" si="3"/>
        <v>0</v>
      </c>
    </row>
    <row r="161" spans="1:158" ht="17.25" thickBot="1" x14ac:dyDescent="0.3">
      <c r="A161" s="226">
        <v>45869</v>
      </c>
      <c r="B161" s="227" t="s">
        <v>161</v>
      </c>
      <c r="C161" s="227" t="s">
        <v>268</v>
      </c>
      <c r="D161" s="228">
        <v>1500</v>
      </c>
      <c r="E161" s="228">
        <v>335.8</v>
      </c>
      <c r="F161" s="228">
        <v>340.8</v>
      </c>
      <c r="G161" s="228">
        <v>-5</v>
      </c>
      <c r="H161" s="229">
        <v>-1.47E-2</v>
      </c>
      <c r="I161" s="228">
        <v>334.25</v>
      </c>
      <c r="J161" s="228">
        <v>338.8</v>
      </c>
      <c r="K161" s="228">
        <v>-4.55</v>
      </c>
      <c r="L161" s="229">
        <v>-1.34E-2</v>
      </c>
      <c r="M161" s="228">
        <v>334.55</v>
      </c>
      <c r="N161" s="228">
        <v>338.95</v>
      </c>
      <c r="O161" s="228">
        <v>-4.4000000000000004</v>
      </c>
      <c r="P161" s="229">
        <v>-1.2999999999999999E-2</v>
      </c>
      <c r="Q161" s="228">
        <v>335.8</v>
      </c>
      <c r="R161" s="228">
        <v>340.8</v>
      </c>
      <c r="S161" s="228">
        <v>-5</v>
      </c>
      <c r="T161" s="229">
        <v>-1.47E-2</v>
      </c>
      <c r="U161" s="228">
        <v>334.9</v>
      </c>
      <c r="V161" s="228">
        <v>339.4</v>
      </c>
      <c r="W161" s="228">
        <v>-4.5</v>
      </c>
      <c r="X161" s="229">
        <v>-1.3299999999999999E-2</v>
      </c>
      <c r="Y161" s="228">
        <v>1.55</v>
      </c>
      <c r="Z161" s="228">
        <v>0.15</v>
      </c>
      <c r="AA161" s="228">
        <v>1.4</v>
      </c>
      <c r="AB161" s="229">
        <v>4.5999999999999999E-3</v>
      </c>
      <c r="AC161" s="228">
        <v>0.3</v>
      </c>
      <c r="AD161" s="228">
        <v>0.15</v>
      </c>
      <c r="AE161" s="228">
        <v>0.15</v>
      </c>
      <c r="AF161" s="229">
        <v>8.9999999999999998E-4</v>
      </c>
      <c r="AG161" s="228">
        <v>1.55</v>
      </c>
      <c r="AH161" s="228">
        <v>2</v>
      </c>
      <c r="AI161" s="228">
        <v>-0.45</v>
      </c>
      <c r="AJ161" s="229">
        <v>4.5999999999999999E-3</v>
      </c>
      <c r="AK161" s="228">
        <v>0.65</v>
      </c>
      <c r="AL161" s="228">
        <v>0.6</v>
      </c>
      <c r="AM161" s="228">
        <v>0.05</v>
      </c>
      <c r="AN161" s="229">
        <v>1.9E-3</v>
      </c>
      <c r="AO161" s="228">
        <v>337.48</v>
      </c>
      <c r="AP161" s="228">
        <v>338.6</v>
      </c>
      <c r="AQ161" s="228">
        <v>0</v>
      </c>
      <c r="AR161" s="230">
        <v>34273500</v>
      </c>
      <c r="AS161" s="230">
        <v>66592500</v>
      </c>
      <c r="AT161" s="230">
        <v>-32319000</v>
      </c>
      <c r="AU161" s="229">
        <v>-0.48530000000000001</v>
      </c>
      <c r="AV161" s="230">
        <v>13753500</v>
      </c>
      <c r="AW161" s="230">
        <v>30517500</v>
      </c>
      <c r="AX161" s="230">
        <v>-16764000</v>
      </c>
      <c r="AY161" s="229">
        <v>-0.54930000000000001</v>
      </c>
      <c r="AZ161" s="230">
        <v>20035500</v>
      </c>
      <c r="BA161" s="230">
        <v>35011500</v>
      </c>
      <c r="BB161" s="230">
        <v>-14976000</v>
      </c>
      <c r="BC161" s="229">
        <v>-0.42770000000000002</v>
      </c>
      <c r="BD161" s="230">
        <v>484500</v>
      </c>
      <c r="BE161" s="230">
        <v>1063500</v>
      </c>
      <c r="BF161" s="230">
        <v>-579000</v>
      </c>
      <c r="BG161" s="229">
        <v>-0.5444</v>
      </c>
      <c r="BH161" s="230">
        <v>19827000</v>
      </c>
      <c r="BI161" s="230">
        <v>111561000</v>
      </c>
      <c r="BJ161" s="230">
        <v>-91734000</v>
      </c>
      <c r="BK161" s="229">
        <v>-0.82230000000000003</v>
      </c>
      <c r="BL161" s="230">
        <v>16719000</v>
      </c>
      <c r="BM161" s="230">
        <v>45580500</v>
      </c>
      <c r="BN161" s="230">
        <v>-28861500</v>
      </c>
      <c r="BO161" s="229">
        <v>-0.63319999999999999</v>
      </c>
      <c r="BP161" s="230">
        <v>70819500</v>
      </c>
      <c r="BQ161" s="230">
        <v>223734000</v>
      </c>
      <c r="BR161" s="230">
        <v>-152914500</v>
      </c>
      <c r="BS161" s="229">
        <v>-0.6835</v>
      </c>
      <c r="BT161" s="230">
        <v>9258055</v>
      </c>
      <c r="BU161" s="230">
        <v>13053485</v>
      </c>
      <c r="BV161" s="230">
        <v>-3795430</v>
      </c>
      <c r="BW161" s="229">
        <v>-0.2908</v>
      </c>
      <c r="BX161" s="230">
        <v>103177500</v>
      </c>
      <c r="BY161" s="230">
        <v>111349500</v>
      </c>
      <c r="BZ161" s="230">
        <v>-8172000</v>
      </c>
      <c r="CA161" s="229">
        <v>-7.3400000000000007E-2</v>
      </c>
      <c r="CB161" s="230">
        <v>4515000</v>
      </c>
      <c r="CC161" s="230">
        <v>12319500</v>
      </c>
      <c r="CD161" s="230">
        <v>-7804500</v>
      </c>
      <c r="CE161" s="229">
        <v>-0.63349999999999995</v>
      </c>
      <c r="CF161" s="230">
        <v>101938500</v>
      </c>
      <c r="CG161" s="230">
        <v>97981500</v>
      </c>
      <c r="CH161" s="230">
        <v>3957000</v>
      </c>
      <c r="CI161" s="229">
        <v>4.0399999999999998E-2</v>
      </c>
      <c r="CJ161" s="230">
        <v>1239000</v>
      </c>
      <c r="CK161" s="230">
        <v>1048500</v>
      </c>
      <c r="CL161" s="230">
        <v>190500</v>
      </c>
      <c r="CM161" s="229">
        <v>0.1817</v>
      </c>
      <c r="CN161" s="230">
        <v>11134500</v>
      </c>
      <c r="CO161" s="230">
        <v>75363000</v>
      </c>
      <c r="CP161" s="230">
        <v>-64228500</v>
      </c>
      <c r="CQ161" s="229">
        <v>-0.85229999999999995</v>
      </c>
      <c r="CR161" s="230">
        <v>9826500</v>
      </c>
      <c r="CS161" s="230">
        <v>23575500</v>
      </c>
      <c r="CT161" s="230">
        <v>-13749000</v>
      </c>
      <c r="CU161" s="229">
        <v>-0.58320000000000005</v>
      </c>
      <c r="CV161" s="230">
        <v>124138500</v>
      </c>
      <c r="CW161" s="230">
        <v>210288000</v>
      </c>
      <c r="CX161" s="230">
        <v>-86149500</v>
      </c>
      <c r="CY161" s="229">
        <v>-0.40970000000000001</v>
      </c>
      <c r="CZ161" s="228">
        <v>19.96</v>
      </c>
      <c r="DA161" s="228">
        <v>20.97</v>
      </c>
      <c r="DB161" s="228">
        <v>-1.01</v>
      </c>
      <c r="DC161" s="228">
        <v>-1.01</v>
      </c>
      <c r="DD161" s="228">
        <v>31.32</v>
      </c>
      <c r="DE161" s="228">
        <v>31.34</v>
      </c>
      <c r="DF161" s="228">
        <v>-11.36</v>
      </c>
      <c r="DG161" s="228">
        <v>-0.02</v>
      </c>
      <c r="DH161" s="228">
        <v>20</v>
      </c>
      <c r="DI161" s="228">
        <v>20.37</v>
      </c>
      <c r="DJ161" s="228">
        <v>-0.37</v>
      </c>
      <c r="DK161" s="228">
        <v>-0.37</v>
      </c>
      <c r="DL161" s="228">
        <v>19.920000000000002</v>
      </c>
      <c r="DM161" s="228">
        <v>21.9</v>
      </c>
      <c r="DN161" s="228">
        <v>-1.98</v>
      </c>
      <c r="DO161" s="228">
        <v>-1.98</v>
      </c>
      <c r="DP161" s="228">
        <v>0.88</v>
      </c>
      <c r="DQ161" s="228">
        <v>0.31</v>
      </c>
      <c r="DR161" s="228">
        <v>0.56999999999999995</v>
      </c>
      <c r="DS161" s="229">
        <v>1.8387</v>
      </c>
      <c r="DT161" s="228">
        <v>345</v>
      </c>
      <c r="DU161" s="228">
        <v>380</v>
      </c>
      <c r="DV161" s="228">
        <v>0.84</v>
      </c>
      <c r="DW161" s="228">
        <v>0.41</v>
      </c>
      <c r="DX161" s="228">
        <v>0.43</v>
      </c>
      <c r="DY161" s="229">
        <v>1.0488</v>
      </c>
      <c r="DZ161" s="229">
        <v>0.95809999999999995</v>
      </c>
      <c r="EA161" s="230">
        <v>99030000</v>
      </c>
      <c r="EB161" s="229">
        <v>3.7000000000000002E-3</v>
      </c>
      <c r="EC161" s="229">
        <v>0.95809999999999995</v>
      </c>
      <c r="ED161" s="228">
        <v>1.1200000000000001</v>
      </c>
      <c r="EE161" s="229">
        <v>3.3E-3</v>
      </c>
      <c r="EF161" s="230">
        <v>5950338</v>
      </c>
      <c r="EG161" s="230">
        <v>6216523</v>
      </c>
      <c r="EH161" s="229">
        <v>-4.2799999999999998E-2</v>
      </c>
      <c r="EI161" s="229">
        <v>0.64270000000000005</v>
      </c>
      <c r="EJ161" s="231">
        <v>69090.48</v>
      </c>
      <c r="EK161" s="231">
        <v>55986.94</v>
      </c>
      <c r="EL161" s="231">
        <v>115887.86</v>
      </c>
      <c r="EM161" s="228">
        <v>0</v>
      </c>
      <c r="EN161" s="231">
        <v>240965.28</v>
      </c>
      <c r="EO161" s="231">
        <v>764038.73</v>
      </c>
      <c r="EP161" s="231">
        <v>-523073.45</v>
      </c>
      <c r="EQ161" s="229">
        <v>-0.68459999999999999</v>
      </c>
      <c r="ER161" s="231">
        <v>39372</v>
      </c>
      <c r="ES161" s="231">
        <v>33684</v>
      </c>
      <c r="ET161" s="231">
        <v>346459</v>
      </c>
      <c r="EU161" s="231">
        <v>948263976</v>
      </c>
      <c r="EV161" s="231">
        <v>419515</v>
      </c>
      <c r="EW161" s="231">
        <v>722100</v>
      </c>
      <c r="EX161" s="231">
        <v>-302585</v>
      </c>
      <c r="EY161" s="229">
        <v>-0.41899999999999998</v>
      </c>
      <c r="EZ161" s="229">
        <v>0.13089999999999999</v>
      </c>
      <c r="FA161" s="227" t="s">
        <v>568</v>
      </c>
      <c r="FB161" s="161">
        <f t="shared" si="3"/>
        <v>0</v>
      </c>
    </row>
    <row r="162" spans="1:158" ht="17.25" thickBot="1" x14ac:dyDescent="0.3">
      <c r="A162" s="226">
        <v>45869</v>
      </c>
      <c r="B162" s="227" t="s">
        <v>616</v>
      </c>
      <c r="C162" s="227" t="s">
        <v>614</v>
      </c>
      <c r="D162" s="228">
        <v>3125</v>
      </c>
      <c r="E162" s="228">
        <v>210.38</v>
      </c>
      <c r="F162" s="228">
        <v>212.01</v>
      </c>
      <c r="G162" s="228">
        <v>-1.63</v>
      </c>
      <c r="H162" s="229">
        <v>-7.7000000000000002E-3</v>
      </c>
      <c r="I162" s="228">
        <v>209.62</v>
      </c>
      <c r="J162" s="228">
        <v>213.84</v>
      </c>
      <c r="K162" s="228">
        <v>-4.22</v>
      </c>
      <c r="L162" s="229">
        <v>-1.9699999999999999E-2</v>
      </c>
      <c r="M162" s="228">
        <v>209.68</v>
      </c>
      <c r="N162" s="228">
        <v>214.25</v>
      </c>
      <c r="O162" s="228">
        <v>-4.57</v>
      </c>
      <c r="P162" s="229">
        <v>-2.1299999999999999E-2</v>
      </c>
      <c r="Q162" s="228">
        <v>210.38</v>
      </c>
      <c r="R162" s="228">
        <v>212.01</v>
      </c>
      <c r="S162" s="228">
        <v>-1.63</v>
      </c>
      <c r="T162" s="229">
        <v>-7.7000000000000002E-3</v>
      </c>
      <c r="U162" s="228">
        <v>209.77</v>
      </c>
      <c r="V162" s="228">
        <v>211.35</v>
      </c>
      <c r="W162" s="228">
        <v>-1.58</v>
      </c>
      <c r="X162" s="229">
        <v>-7.4999999999999997E-3</v>
      </c>
      <c r="Y162" s="228">
        <v>0.76</v>
      </c>
      <c r="Z162" s="228">
        <v>0.41</v>
      </c>
      <c r="AA162" s="228">
        <v>0.35</v>
      </c>
      <c r="AB162" s="229">
        <v>3.5999999999999999E-3</v>
      </c>
      <c r="AC162" s="228">
        <v>0.06</v>
      </c>
      <c r="AD162" s="228">
        <v>0.41</v>
      </c>
      <c r="AE162" s="228">
        <v>-0.35</v>
      </c>
      <c r="AF162" s="229">
        <v>2.9999999999999997E-4</v>
      </c>
      <c r="AG162" s="228">
        <v>0.76</v>
      </c>
      <c r="AH162" s="228">
        <v>-1.83</v>
      </c>
      <c r="AI162" s="228">
        <v>2.59</v>
      </c>
      <c r="AJ162" s="229">
        <v>3.5999999999999999E-3</v>
      </c>
      <c r="AK162" s="228">
        <v>0.15</v>
      </c>
      <c r="AL162" s="228">
        <v>-2.4900000000000002</v>
      </c>
      <c r="AM162" s="228">
        <v>2.64</v>
      </c>
      <c r="AN162" s="229">
        <v>6.9999999999999999E-4</v>
      </c>
      <c r="AO162" s="228">
        <v>210.69</v>
      </c>
      <c r="AP162" s="228">
        <v>210.84</v>
      </c>
      <c r="AQ162" s="228">
        <v>0</v>
      </c>
      <c r="AR162" s="230">
        <v>28046875</v>
      </c>
      <c r="AS162" s="230">
        <v>32565625</v>
      </c>
      <c r="AT162" s="230">
        <v>-4518750</v>
      </c>
      <c r="AU162" s="229">
        <v>-0.13880000000000001</v>
      </c>
      <c r="AV162" s="230">
        <v>13465625</v>
      </c>
      <c r="AW162" s="230">
        <v>15471875</v>
      </c>
      <c r="AX162" s="230">
        <v>-2006250</v>
      </c>
      <c r="AY162" s="229">
        <v>-0.12970000000000001</v>
      </c>
      <c r="AZ162" s="230">
        <v>14356250</v>
      </c>
      <c r="BA162" s="230">
        <v>16946875</v>
      </c>
      <c r="BB162" s="230">
        <v>-2590625</v>
      </c>
      <c r="BC162" s="229">
        <v>-0.15290000000000001</v>
      </c>
      <c r="BD162" s="230">
        <v>225000</v>
      </c>
      <c r="BE162" s="230">
        <v>146875</v>
      </c>
      <c r="BF162" s="230">
        <v>78125</v>
      </c>
      <c r="BG162" s="229">
        <v>0.53190000000000004</v>
      </c>
      <c r="BH162" s="230">
        <v>10459375</v>
      </c>
      <c r="BI162" s="230">
        <v>12865625</v>
      </c>
      <c r="BJ162" s="230">
        <v>-2406250</v>
      </c>
      <c r="BK162" s="229">
        <v>-0.187</v>
      </c>
      <c r="BL162" s="230">
        <v>4468750</v>
      </c>
      <c r="BM162" s="230">
        <v>4546875</v>
      </c>
      <c r="BN162" s="230">
        <v>-78125</v>
      </c>
      <c r="BO162" s="229">
        <v>-1.72E-2</v>
      </c>
      <c r="BP162" s="230">
        <v>42975000</v>
      </c>
      <c r="BQ162" s="230">
        <v>49978125</v>
      </c>
      <c r="BR162" s="230">
        <v>-7003125</v>
      </c>
      <c r="BS162" s="229">
        <v>-0.1401</v>
      </c>
      <c r="BT162" s="230">
        <v>4353791</v>
      </c>
      <c r="BU162" s="230">
        <v>2800341</v>
      </c>
      <c r="BV162" s="230">
        <v>1553450</v>
      </c>
      <c r="BW162" s="229">
        <v>0.55469999999999997</v>
      </c>
      <c r="BX162" s="230">
        <v>46828125</v>
      </c>
      <c r="BY162" s="230">
        <v>57009375</v>
      </c>
      <c r="BZ162" s="230">
        <v>-10181250</v>
      </c>
      <c r="CA162" s="229">
        <v>-0.17860000000000001</v>
      </c>
      <c r="CB162" s="230">
        <v>5987500</v>
      </c>
      <c r="CC162" s="230">
        <v>11400000</v>
      </c>
      <c r="CD162" s="230">
        <v>-5412500</v>
      </c>
      <c r="CE162" s="229">
        <v>-0.4748</v>
      </c>
      <c r="CF162" s="230">
        <v>46418750</v>
      </c>
      <c r="CG162" s="230">
        <v>45187500</v>
      </c>
      <c r="CH162" s="230">
        <v>1231250</v>
      </c>
      <c r="CI162" s="229">
        <v>2.7199999999999998E-2</v>
      </c>
      <c r="CJ162" s="230">
        <v>409375</v>
      </c>
      <c r="CK162" s="230">
        <v>421875</v>
      </c>
      <c r="CL162" s="230">
        <v>-12500</v>
      </c>
      <c r="CM162" s="229">
        <v>-2.9600000000000001E-2</v>
      </c>
      <c r="CN162" s="230">
        <v>3778125</v>
      </c>
      <c r="CO162" s="230">
        <v>15053125</v>
      </c>
      <c r="CP162" s="230">
        <v>-11275000</v>
      </c>
      <c r="CQ162" s="229">
        <v>-0.749</v>
      </c>
      <c r="CR162" s="230">
        <v>1946875</v>
      </c>
      <c r="CS162" s="230">
        <v>8906250</v>
      </c>
      <c r="CT162" s="230">
        <v>-6959375</v>
      </c>
      <c r="CU162" s="229">
        <v>-0.78139999999999998</v>
      </c>
      <c r="CV162" s="230">
        <v>52553125</v>
      </c>
      <c r="CW162" s="230">
        <v>80968750</v>
      </c>
      <c r="CX162" s="230">
        <v>-28415625</v>
      </c>
      <c r="CY162" s="229">
        <v>-0.35089999999999999</v>
      </c>
      <c r="CZ162" s="228">
        <v>34.46</v>
      </c>
      <c r="DA162" s="228">
        <v>34.67</v>
      </c>
      <c r="DB162" s="228">
        <v>-0.21</v>
      </c>
      <c r="DC162" s="228">
        <v>-0.21</v>
      </c>
      <c r="DD162" s="228">
        <v>37.92</v>
      </c>
      <c r="DE162" s="228">
        <v>38</v>
      </c>
      <c r="DF162" s="228">
        <v>-3.46</v>
      </c>
      <c r="DG162" s="228">
        <v>-0.08</v>
      </c>
      <c r="DH162" s="228">
        <v>34.54</v>
      </c>
      <c r="DI162" s="228">
        <v>34.83</v>
      </c>
      <c r="DJ162" s="228">
        <v>-0.28999999999999998</v>
      </c>
      <c r="DK162" s="228">
        <v>-0.28999999999999998</v>
      </c>
      <c r="DL162" s="228">
        <v>34.25</v>
      </c>
      <c r="DM162" s="228">
        <v>34.17</v>
      </c>
      <c r="DN162" s="228">
        <v>0.08</v>
      </c>
      <c r="DO162" s="228">
        <v>0.08</v>
      </c>
      <c r="DP162" s="228">
        <v>0.52</v>
      </c>
      <c r="DQ162" s="228">
        <v>0.59</v>
      </c>
      <c r="DR162" s="228">
        <v>-7.0000000000000007E-2</v>
      </c>
      <c r="DS162" s="229">
        <v>-0.1186</v>
      </c>
      <c r="DT162" s="228">
        <v>220</v>
      </c>
      <c r="DU162" s="228">
        <v>190</v>
      </c>
      <c r="DV162" s="228">
        <v>0.43</v>
      </c>
      <c r="DW162" s="228">
        <v>0.35</v>
      </c>
      <c r="DX162" s="228">
        <v>0.08</v>
      </c>
      <c r="DY162" s="229">
        <v>0.2286</v>
      </c>
      <c r="DZ162" s="229">
        <v>0.88660000000000005</v>
      </c>
      <c r="EA162" s="230">
        <v>45609375</v>
      </c>
      <c r="EB162" s="229">
        <v>3.3E-3</v>
      </c>
      <c r="EC162" s="229">
        <v>0.88660000000000005</v>
      </c>
      <c r="ED162" s="228">
        <v>0.15</v>
      </c>
      <c r="EE162" s="229">
        <v>6.9999999999999999E-4</v>
      </c>
      <c r="EF162" s="230">
        <v>1417862</v>
      </c>
      <c r="EG162" s="230">
        <v>997214</v>
      </c>
      <c r="EH162" s="229">
        <v>0.42180000000000001</v>
      </c>
      <c r="EI162" s="229">
        <v>0.32569999999999999</v>
      </c>
      <c r="EJ162" s="231">
        <v>23144.44</v>
      </c>
      <c r="EK162" s="231">
        <v>9604.91</v>
      </c>
      <c r="EL162" s="231">
        <v>59113.08</v>
      </c>
      <c r="EM162" s="228">
        <v>0</v>
      </c>
      <c r="EN162" s="231">
        <v>91862.43</v>
      </c>
      <c r="EO162" s="231">
        <v>107020.19</v>
      </c>
      <c r="EP162" s="231">
        <v>-15157.76</v>
      </c>
      <c r="EQ162" s="229">
        <v>-0.1416</v>
      </c>
      <c r="ER162" s="231">
        <v>8336</v>
      </c>
      <c r="ES162" s="231">
        <v>4015</v>
      </c>
      <c r="ET162" s="231">
        <v>98515</v>
      </c>
      <c r="EU162" s="231">
        <v>273572068</v>
      </c>
      <c r="EV162" s="231">
        <v>110866</v>
      </c>
      <c r="EW162" s="231">
        <v>172324</v>
      </c>
      <c r="EX162" s="231">
        <v>-61458</v>
      </c>
      <c r="EY162" s="229">
        <v>-0.35659999999999997</v>
      </c>
      <c r="EZ162" s="229">
        <v>0.19209999999999999</v>
      </c>
      <c r="FA162" s="227" t="s">
        <v>568</v>
      </c>
      <c r="FB162" s="161">
        <f t="shared" ref="FB162:FB194" si="4">BX244-CB244</f>
        <v>0</v>
      </c>
    </row>
    <row r="163" spans="1:158" ht="17.25" thickBot="1" x14ac:dyDescent="0.3">
      <c r="A163" s="226">
        <v>45869</v>
      </c>
      <c r="B163" s="227" t="s">
        <v>206</v>
      </c>
      <c r="C163" s="227" t="s">
        <v>528</v>
      </c>
      <c r="D163" s="228">
        <v>350</v>
      </c>
      <c r="E163" s="231">
        <v>1639.4</v>
      </c>
      <c r="F163" s="231">
        <v>1654.5</v>
      </c>
      <c r="G163" s="228">
        <v>-15.1</v>
      </c>
      <c r="H163" s="229">
        <v>-9.1000000000000004E-3</v>
      </c>
      <c r="I163" s="231">
        <v>1630.1</v>
      </c>
      <c r="J163" s="231">
        <v>1648</v>
      </c>
      <c r="K163" s="228">
        <v>-17.899999999999999</v>
      </c>
      <c r="L163" s="229">
        <v>-1.09E-2</v>
      </c>
      <c r="M163" s="231">
        <v>1630.7</v>
      </c>
      <c r="N163" s="231">
        <v>1649.1</v>
      </c>
      <c r="O163" s="228">
        <v>-18.399999999999999</v>
      </c>
      <c r="P163" s="229">
        <v>-1.12E-2</v>
      </c>
      <c r="Q163" s="231">
        <v>1639.4</v>
      </c>
      <c r="R163" s="231">
        <v>1654.5</v>
      </c>
      <c r="S163" s="228">
        <v>-15.1</v>
      </c>
      <c r="T163" s="229">
        <v>-9.1000000000000004E-3</v>
      </c>
      <c r="U163" s="231">
        <v>1645.1</v>
      </c>
      <c r="V163" s="231">
        <v>1660.8</v>
      </c>
      <c r="W163" s="228">
        <v>-15.7</v>
      </c>
      <c r="X163" s="229">
        <v>-9.4999999999999998E-3</v>
      </c>
      <c r="Y163" s="228">
        <v>9.3000000000000007</v>
      </c>
      <c r="Z163" s="228">
        <v>1.1000000000000001</v>
      </c>
      <c r="AA163" s="228">
        <v>8.1999999999999993</v>
      </c>
      <c r="AB163" s="229">
        <v>5.7000000000000002E-3</v>
      </c>
      <c r="AC163" s="228">
        <v>0.6</v>
      </c>
      <c r="AD163" s="228">
        <v>1.1000000000000001</v>
      </c>
      <c r="AE163" s="228">
        <v>-0.5</v>
      </c>
      <c r="AF163" s="229">
        <v>4.0000000000000002E-4</v>
      </c>
      <c r="AG163" s="228">
        <v>9.3000000000000007</v>
      </c>
      <c r="AH163" s="228">
        <v>6.5</v>
      </c>
      <c r="AI163" s="228">
        <v>2.8</v>
      </c>
      <c r="AJ163" s="229">
        <v>5.7000000000000002E-3</v>
      </c>
      <c r="AK163" s="228">
        <v>15</v>
      </c>
      <c r="AL163" s="228">
        <v>12.8</v>
      </c>
      <c r="AM163" s="228">
        <v>2.2000000000000002</v>
      </c>
      <c r="AN163" s="229">
        <v>9.1999999999999998E-3</v>
      </c>
      <c r="AO163" s="231">
        <v>1625.84</v>
      </c>
      <c r="AP163" s="231">
        <v>1635.48</v>
      </c>
      <c r="AQ163" s="228">
        <v>0</v>
      </c>
      <c r="AR163" s="230">
        <v>3475500</v>
      </c>
      <c r="AS163" s="230">
        <v>3449950</v>
      </c>
      <c r="AT163" s="230">
        <v>25550</v>
      </c>
      <c r="AU163" s="229">
        <v>7.4000000000000003E-3</v>
      </c>
      <c r="AV163" s="230">
        <v>1440250</v>
      </c>
      <c r="AW163" s="230">
        <v>1669850</v>
      </c>
      <c r="AX163" s="230">
        <v>-229600</v>
      </c>
      <c r="AY163" s="229">
        <v>-0.13750000000000001</v>
      </c>
      <c r="AZ163" s="230">
        <v>2009700</v>
      </c>
      <c r="BA163" s="230">
        <v>1761900</v>
      </c>
      <c r="BB163" s="230">
        <v>247800</v>
      </c>
      <c r="BC163" s="229">
        <v>0.1406</v>
      </c>
      <c r="BD163" s="230">
        <v>25550</v>
      </c>
      <c r="BE163" s="230">
        <v>18200</v>
      </c>
      <c r="BF163" s="230">
        <v>7350</v>
      </c>
      <c r="BG163" s="229">
        <v>0.40379999999999999</v>
      </c>
      <c r="BH163" s="230">
        <v>2750650</v>
      </c>
      <c r="BI163" s="230">
        <v>1743350</v>
      </c>
      <c r="BJ163" s="230">
        <v>1007300</v>
      </c>
      <c r="BK163" s="229">
        <v>0.57779999999999998</v>
      </c>
      <c r="BL163" s="230">
        <v>1547700</v>
      </c>
      <c r="BM163" s="230">
        <v>860300</v>
      </c>
      <c r="BN163" s="230">
        <v>687400</v>
      </c>
      <c r="BO163" s="229">
        <v>0.79900000000000004</v>
      </c>
      <c r="BP163" s="230">
        <v>7773850</v>
      </c>
      <c r="BQ163" s="230">
        <v>6053600</v>
      </c>
      <c r="BR163" s="230">
        <v>1720250</v>
      </c>
      <c r="BS163" s="229">
        <v>0.28420000000000001</v>
      </c>
      <c r="BT163" s="230">
        <v>738676</v>
      </c>
      <c r="BU163" s="230">
        <v>390322</v>
      </c>
      <c r="BV163" s="230">
        <v>348354</v>
      </c>
      <c r="BW163" s="229">
        <v>0.89249999999999996</v>
      </c>
      <c r="BX163" s="230">
        <v>5087950</v>
      </c>
      <c r="BY163" s="230">
        <v>5721100</v>
      </c>
      <c r="BZ163" s="230">
        <v>-633150</v>
      </c>
      <c r="CA163" s="229">
        <v>-0.11070000000000001</v>
      </c>
      <c r="CB163" s="230">
        <v>600950</v>
      </c>
      <c r="CC163" s="230">
        <v>1289400</v>
      </c>
      <c r="CD163" s="230">
        <v>-688450</v>
      </c>
      <c r="CE163" s="229">
        <v>-0.53390000000000004</v>
      </c>
      <c r="CF163" s="230">
        <v>5023200</v>
      </c>
      <c r="CG163" s="230">
        <v>4379900</v>
      </c>
      <c r="CH163" s="230">
        <v>643300</v>
      </c>
      <c r="CI163" s="229">
        <v>0.1469</v>
      </c>
      <c r="CJ163" s="230">
        <v>64750</v>
      </c>
      <c r="CK163" s="230">
        <v>51800</v>
      </c>
      <c r="CL163" s="230">
        <v>12950</v>
      </c>
      <c r="CM163" s="229">
        <v>0.25</v>
      </c>
      <c r="CN163" s="230">
        <v>661500</v>
      </c>
      <c r="CO163" s="230">
        <v>2964150</v>
      </c>
      <c r="CP163" s="230">
        <v>-2302650</v>
      </c>
      <c r="CQ163" s="229">
        <v>-0.77680000000000005</v>
      </c>
      <c r="CR163" s="230">
        <v>669900</v>
      </c>
      <c r="CS163" s="230">
        <v>1521800</v>
      </c>
      <c r="CT163" s="230">
        <v>-851900</v>
      </c>
      <c r="CU163" s="229">
        <v>-0.55979999999999996</v>
      </c>
      <c r="CV163" s="230">
        <v>6419350</v>
      </c>
      <c r="CW163" s="230">
        <v>10207050</v>
      </c>
      <c r="CX163" s="230">
        <v>-3787700</v>
      </c>
      <c r="CY163" s="229">
        <v>-0.37109999999999999</v>
      </c>
      <c r="CZ163" s="228">
        <v>29.28</v>
      </c>
      <c r="DA163" s="228">
        <v>31.26</v>
      </c>
      <c r="DB163" s="228">
        <v>-1.98</v>
      </c>
      <c r="DC163" s="228">
        <v>-1.98</v>
      </c>
      <c r="DD163" s="228">
        <v>41.35</v>
      </c>
      <c r="DE163" s="228">
        <v>41.43</v>
      </c>
      <c r="DF163" s="228">
        <v>-12.07</v>
      </c>
      <c r="DG163" s="228">
        <v>-0.08</v>
      </c>
      <c r="DH163" s="228">
        <v>29.26</v>
      </c>
      <c r="DI163" s="228">
        <v>31.54</v>
      </c>
      <c r="DJ163" s="228">
        <v>-2.2799999999999998</v>
      </c>
      <c r="DK163" s="228">
        <v>-2.2799999999999998</v>
      </c>
      <c r="DL163" s="228">
        <v>29.29</v>
      </c>
      <c r="DM163" s="228">
        <v>30.91</v>
      </c>
      <c r="DN163" s="228">
        <v>-1.62</v>
      </c>
      <c r="DO163" s="228">
        <v>-1.62</v>
      </c>
      <c r="DP163" s="228">
        <v>1.01</v>
      </c>
      <c r="DQ163" s="228">
        <v>0.51</v>
      </c>
      <c r="DR163" s="228">
        <v>0.5</v>
      </c>
      <c r="DS163" s="229">
        <v>0.98040000000000005</v>
      </c>
      <c r="DT163" s="231">
        <v>1900</v>
      </c>
      <c r="DU163" s="231">
        <v>1640</v>
      </c>
      <c r="DV163" s="228">
        <v>0.56000000000000005</v>
      </c>
      <c r="DW163" s="228">
        <v>0.49</v>
      </c>
      <c r="DX163" s="228">
        <v>7.0000000000000007E-2</v>
      </c>
      <c r="DY163" s="229">
        <v>0.1429</v>
      </c>
      <c r="DZ163" s="229">
        <v>0.89439999999999997</v>
      </c>
      <c r="EA163" s="230">
        <v>4431700</v>
      </c>
      <c r="EB163" s="229">
        <v>5.3E-3</v>
      </c>
      <c r="EC163" s="229">
        <v>0.89439999999999997</v>
      </c>
      <c r="ED163" s="228">
        <v>9.64</v>
      </c>
      <c r="EE163" s="229">
        <v>5.8999999999999999E-3</v>
      </c>
      <c r="EF163" s="230">
        <v>388239</v>
      </c>
      <c r="EG163" s="230">
        <v>184466</v>
      </c>
      <c r="EH163" s="229">
        <v>1.1047</v>
      </c>
      <c r="EI163" s="229">
        <v>0.52559999999999996</v>
      </c>
      <c r="EJ163" s="231">
        <v>48160.13</v>
      </c>
      <c r="EK163" s="231">
        <v>27080.71</v>
      </c>
      <c r="EL163" s="231">
        <v>56702.61</v>
      </c>
      <c r="EM163" s="228">
        <v>0</v>
      </c>
      <c r="EN163" s="231">
        <v>131943.45000000001</v>
      </c>
      <c r="EO163" s="231">
        <v>103281.74</v>
      </c>
      <c r="EP163" s="231">
        <v>28661.71</v>
      </c>
      <c r="EQ163" s="229">
        <v>0.27750000000000002</v>
      </c>
      <c r="ER163" s="231">
        <v>11964</v>
      </c>
      <c r="ES163" s="231">
        <v>11225</v>
      </c>
      <c r="ET163" s="231">
        <v>83416</v>
      </c>
      <c r="EU163" s="231">
        <v>23485458</v>
      </c>
      <c r="EV163" s="231">
        <v>106605</v>
      </c>
      <c r="EW163" s="231">
        <v>176331</v>
      </c>
      <c r="EX163" s="231">
        <v>-69726</v>
      </c>
      <c r="EY163" s="229">
        <v>-0.39539999999999997</v>
      </c>
      <c r="EZ163" s="229">
        <v>0.27329999999999999</v>
      </c>
      <c r="FA163" s="227" t="s">
        <v>568</v>
      </c>
      <c r="FB163" s="161">
        <f t="shared" si="4"/>
        <v>0</v>
      </c>
    </row>
    <row r="164" spans="1:158" ht="17.25" thickBot="1" x14ac:dyDescent="0.3">
      <c r="A164" s="226">
        <v>45869</v>
      </c>
      <c r="B164" s="227" t="s">
        <v>221</v>
      </c>
      <c r="C164" s="227" t="s">
        <v>518</v>
      </c>
      <c r="D164" s="228">
        <v>75</v>
      </c>
      <c r="E164" s="231">
        <v>8507.5</v>
      </c>
      <c r="F164" s="231">
        <v>8579.5</v>
      </c>
      <c r="G164" s="228">
        <v>-72</v>
      </c>
      <c r="H164" s="229">
        <v>-8.3999999999999995E-3</v>
      </c>
      <c r="I164" s="231">
        <v>8475</v>
      </c>
      <c r="J164" s="231">
        <v>8570</v>
      </c>
      <c r="K164" s="228">
        <v>-95</v>
      </c>
      <c r="L164" s="229">
        <v>-1.11E-2</v>
      </c>
      <c r="M164" s="231">
        <v>8472.5</v>
      </c>
      <c r="N164" s="231">
        <v>8563.5</v>
      </c>
      <c r="O164" s="228">
        <v>-91</v>
      </c>
      <c r="P164" s="229">
        <v>-1.06E-2</v>
      </c>
      <c r="Q164" s="231">
        <v>8507.5</v>
      </c>
      <c r="R164" s="231">
        <v>8579.5</v>
      </c>
      <c r="S164" s="228">
        <v>-72</v>
      </c>
      <c r="T164" s="229">
        <v>-8.3999999999999995E-3</v>
      </c>
      <c r="U164" s="231">
        <v>8550.5</v>
      </c>
      <c r="V164" s="231">
        <v>8615</v>
      </c>
      <c r="W164" s="228">
        <v>-64.5</v>
      </c>
      <c r="X164" s="229">
        <v>-7.4999999999999997E-3</v>
      </c>
      <c r="Y164" s="228">
        <v>32.5</v>
      </c>
      <c r="Z164" s="228">
        <v>-6.5</v>
      </c>
      <c r="AA164" s="228">
        <v>39</v>
      </c>
      <c r="AB164" s="229">
        <v>3.8E-3</v>
      </c>
      <c r="AC164" s="228">
        <v>-2.5</v>
      </c>
      <c r="AD164" s="228">
        <v>-6.5</v>
      </c>
      <c r="AE164" s="228">
        <v>4</v>
      </c>
      <c r="AF164" s="229">
        <v>-2.9999999999999997E-4</v>
      </c>
      <c r="AG164" s="228">
        <v>32.5</v>
      </c>
      <c r="AH164" s="228">
        <v>9.5</v>
      </c>
      <c r="AI164" s="228">
        <v>23</v>
      </c>
      <c r="AJ164" s="229">
        <v>3.8E-3</v>
      </c>
      <c r="AK164" s="228">
        <v>75.5</v>
      </c>
      <c r="AL164" s="228">
        <v>45</v>
      </c>
      <c r="AM164" s="228">
        <v>30.5</v>
      </c>
      <c r="AN164" s="229">
        <v>8.8999999999999999E-3</v>
      </c>
      <c r="AO164" s="231">
        <v>8505.61</v>
      </c>
      <c r="AP164" s="231">
        <v>8545.43</v>
      </c>
      <c r="AQ164" s="228">
        <v>0</v>
      </c>
      <c r="AR164" s="230">
        <v>756450</v>
      </c>
      <c r="AS164" s="230">
        <v>701025</v>
      </c>
      <c r="AT164" s="230">
        <v>55425</v>
      </c>
      <c r="AU164" s="229">
        <v>7.9100000000000004E-2</v>
      </c>
      <c r="AV164" s="230">
        <v>356325</v>
      </c>
      <c r="AW164" s="230">
        <v>331275</v>
      </c>
      <c r="AX164" s="230">
        <v>25050</v>
      </c>
      <c r="AY164" s="229">
        <v>7.5600000000000001E-2</v>
      </c>
      <c r="AZ164" s="230">
        <v>389625</v>
      </c>
      <c r="BA164" s="230">
        <v>364575</v>
      </c>
      <c r="BB164" s="230">
        <v>25050</v>
      </c>
      <c r="BC164" s="229">
        <v>6.8699999999999997E-2</v>
      </c>
      <c r="BD164" s="230">
        <v>10500</v>
      </c>
      <c r="BE164" s="230">
        <v>5175</v>
      </c>
      <c r="BF164" s="230">
        <v>5325</v>
      </c>
      <c r="BG164" s="229">
        <v>1.0289999999999999</v>
      </c>
      <c r="BH164" s="230">
        <v>724350</v>
      </c>
      <c r="BI164" s="230">
        <v>753750</v>
      </c>
      <c r="BJ164" s="230">
        <v>-29400</v>
      </c>
      <c r="BK164" s="229">
        <v>-3.9E-2</v>
      </c>
      <c r="BL164" s="230">
        <v>420225</v>
      </c>
      <c r="BM164" s="230">
        <v>226725</v>
      </c>
      <c r="BN164" s="230">
        <v>193500</v>
      </c>
      <c r="BO164" s="229">
        <v>0.85350000000000004</v>
      </c>
      <c r="BP164" s="230">
        <v>1901025</v>
      </c>
      <c r="BQ164" s="230">
        <v>1681500</v>
      </c>
      <c r="BR164" s="230">
        <v>219525</v>
      </c>
      <c r="BS164" s="229">
        <v>0.13059999999999999</v>
      </c>
      <c r="BT164" s="230">
        <v>154702</v>
      </c>
      <c r="BU164" s="230">
        <v>74586</v>
      </c>
      <c r="BV164" s="230">
        <v>80116</v>
      </c>
      <c r="BW164" s="229">
        <v>1.0741000000000001</v>
      </c>
      <c r="BX164" s="230">
        <v>994425</v>
      </c>
      <c r="BY164" s="230">
        <v>1145400</v>
      </c>
      <c r="BZ164" s="230">
        <v>-150975</v>
      </c>
      <c r="CA164" s="229">
        <v>-0.1318</v>
      </c>
      <c r="CB164" s="230">
        <v>105750</v>
      </c>
      <c r="CC164" s="230">
        <v>298050</v>
      </c>
      <c r="CD164" s="230">
        <v>-192300</v>
      </c>
      <c r="CE164" s="229">
        <v>-0.6452</v>
      </c>
      <c r="CF164" s="230">
        <v>974850</v>
      </c>
      <c r="CG164" s="230">
        <v>834450</v>
      </c>
      <c r="CH164" s="230">
        <v>140400</v>
      </c>
      <c r="CI164" s="229">
        <v>0.16830000000000001</v>
      </c>
      <c r="CJ164" s="230">
        <v>19575</v>
      </c>
      <c r="CK164" s="230">
        <v>12900</v>
      </c>
      <c r="CL164" s="230">
        <v>6675</v>
      </c>
      <c r="CM164" s="229">
        <v>0.51739999999999997</v>
      </c>
      <c r="CN164" s="230">
        <v>215100</v>
      </c>
      <c r="CO164" s="230">
        <v>662550</v>
      </c>
      <c r="CP164" s="230">
        <v>-447450</v>
      </c>
      <c r="CQ164" s="229">
        <v>-0.67530000000000001</v>
      </c>
      <c r="CR164" s="230">
        <v>132000</v>
      </c>
      <c r="CS164" s="230">
        <v>378900</v>
      </c>
      <c r="CT164" s="230">
        <v>-246900</v>
      </c>
      <c r="CU164" s="229">
        <v>-0.65159999999999996</v>
      </c>
      <c r="CV164" s="230">
        <v>1341525</v>
      </c>
      <c r="CW164" s="230">
        <v>2186850</v>
      </c>
      <c r="CX164" s="230">
        <v>-845325</v>
      </c>
      <c r="CY164" s="229">
        <v>-0.38650000000000001</v>
      </c>
      <c r="CZ164" s="228">
        <v>30.18</v>
      </c>
      <c r="DA164" s="228">
        <v>30.3</v>
      </c>
      <c r="DB164" s="228">
        <v>-0.12</v>
      </c>
      <c r="DC164" s="228">
        <v>-0.12</v>
      </c>
      <c r="DD164" s="228">
        <v>42.51</v>
      </c>
      <c r="DE164" s="228">
        <v>42.59</v>
      </c>
      <c r="DF164" s="228">
        <v>-12.33</v>
      </c>
      <c r="DG164" s="228">
        <v>-0.08</v>
      </c>
      <c r="DH164" s="228">
        <v>30.1</v>
      </c>
      <c r="DI164" s="228">
        <v>30.37</v>
      </c>
      <c r="DJ164" s="228">
        <v>-0.27</v>
      </c>
      <c r="DK164" s="228">
        <v>-0.27</v>
      </c>
      <c r="DL164" s="228">
        <v>30.28</v>
      </c>
      <c r="DM164" s="228">
        <v>30.15</v>
      </c>
      <c r="DN164" s="228">
        <v>0.13</v>
      </c>
      <c r="DO164" s="228">
        <v>0.13</v>
      </c>
      <c r="DP164" s="228">
        <v>0.61</v>
      </c>
      <c r="DQ164" s="228">
        <v>0.56999999999999995</v>
      </c>
      <c r="DR164" s="228">
        <v>0.04</v>
      </c>
      <c r="DS164" s="229">
        <v>7.0199999999999999E-2</v>
      </c>
      <c r="DT164" s="231">
        <v>9000</v>
      </c>
      <c r="DU164" s="231">
        <v>8500</v>
      </c>
      <c r="DV164" s="228">
        <v>0.57999999999999996</v>
      </c>
      <c r="DW164" s="228">
        <v>0.3</v>
      </c>
      <c r="DX164" s="228">
        <v>0.28000000000000003</v>
      </c>
      <c r="DY164" s="229">
        <v>0.93330000000000002</v>
      </c>
      <c r="DZ164" s="229">
        <v>0.90390000000000004</v>
      </c>
      <c r="EA164" s="230">
        <v>847350</v>
      </c>
      <c r="EB164" s="229">
        <v>4.1000000000000003E-3</v>
      </c>
      <c r="EC164" s="229">
        <v>0.90390000000000004</v>
      </c>
      <c r="ED164" s="228">
        <v>39.82</v>
      </c>
      <c r="EE164" s="229">
        <v>4.7000000000000002E-3</v>
      </c>
      <c r="EF164" s="230">
        <v>71486</v>
      </c>
      <c r="EG164" s="230">
        <v>23344</v>
      </c>
      <c r="EH164" s="229">
        <v>2.0623</v>
      </c>
      <c r="EI164" s="229">
        <v>0.46210000000000001</v>
      </c>
      <c r="EJ164" s="231">
        <v>65644.639999999999</v>
      </c>
      <c r="EK164" s="231">
        <v>36274.14</v>
      </c>
      <c r="EL164" s="231">
        <v>64504.68</v>
      </c>
      <c r="EM164" s="228">
        <v>0</v>
      </c>
      <c r="EN164" s="231">
        <v>166423.46</v>
      </c>
      <c r="EO164" s="231">
        <v>148046.04</v>
      </c>
      <c r="EP164" s="231">
        <v>18377.419999999998</v>
      </c>
      <c r="EQ164" s="229">
        <v>0.1241</v>
      </c>
      <c r="ER164" s="231">
        <v>19737</v>
      </c>
      <c r="ES164" s="231">
        <v>11204</v>
      </c>
      <c r="ET164" s="231">
        <v>84609</v>
      </c>
      <c r="EU164" s="231">
        <v>4762380</v>
      </c>
      <c r="EV164" s="231">
        <v>115550</v>
      </c>
      <c r="EW164" s="231">
        <v>192299</v>
      </c>
      <c r="EX164" s="231">
        <v>-76749</v>
      </c>
      <c r="EY164" s="229">
        <v>-0.39910000000000001</v>
      </c>
      <c r="EZ164" s="229">
        <v>0.28170000000000001</v>
      </c>
      <c r="FA164" s="227" t="s">
        <v>568</v>
      </c>
      <c r="FB164" s="161">
        <f t="shared" si="4"/>
        <v>0</v>
      </c>
    </row>
    <row r="165" spans="1:158" ht="17.25" thickBot="1" x14ac:dyDescent="0.3">
      <c r="A165" s="226">
        <v>45869</v>
      </c>
      <c r="B165" s="227" t="s">
        <v>193</v>
      </c>
      <c r="C165" s="227" t="s">
        <v>588</v>
      </c>
      <c r="D165" s="228">
        <v>1400</v>
      </c>
      <c r="E165" s="228">
        <v>440.8</v>
      </c>
      <c r="F165" s="228">
        <v>446.7</v>
      </c>
      <c r="G165" s="228">
        <v>-5.9</v>
      </c>
      <c r="H165" s="229">
        <v>-1.32E-2</v>
      </c>
      <c r="I165" s="228">
        <v>440</v>
      </c>
      <c r="J165" s="228">
        <v>444.8</v>
      </c>
      <c r="K165" s="228">
        <v>-4.8</v>
      </c>
      <c r="L165" s="229">
        <v>-1.0800000000000001E-2</v>
      </c>
      <c r="M165" s="228">
        <v>439.25</v>
      </c>
      <c r="N165" s="228">
        <v>445.2</v>
      </c>
      <c r="O165" s="228">
        <v>-5.95</v>
      </c>
      <c r="P165" s="229">
        <v>-1.34E-2</v>
      </c>
      <c r="Q165" s="228">
        <v>440.8</v>
      </c>
      <c r="R165" s="228">
        <v>446.7</v>
      </c>
      <c r="S165" s="228">
        <v>-5.9</v>
      </c>
      <c r="T165" s="229">
        <v>-1.32E-2</v>
      </c>
      <c r="U165" s="228">
        <v>442.4</v>
      </c>
      <c r="V165" s="228">
        <v>448.05</v>
      </c>
      <c r="W165" s="228">
        <v>-5.65</v>
      </c>
      <c r="X165" s="229">
        <v>-1.26E-2</v>
      </c>
      <c r="Y165" s="228">
        <v>0.8</v>
      </c>
      <c r="Z165" s="228">
        <v>0.4</v>
      </c>
      <c r="AA165" s="228">
        <v>0.4</v>
      </c>
      <c r="AB165" s="229">
        <v>1.8E-3</v>
      </c>
      <c r="AC165" s="228">
        <v>-0.75</v>
      </c>
      <c r="AD165" s="228">
        <v>0.4</v>
      </c>
      <c r="AE165" s="228">
        <v>-1.1499999999999999</v>
      </c>
      <c r="AF165" s="229">
        <v>-1.6999999999999999E-3</v>
      </c>
      <c r="AG165" s="228">
        <v>0.8</v>
      </c>
      <c r="AH165" s="228">
        <v>1.9</v>
      </c>
      <c r="AI165" s="228">
        <v>-1.1000000000000001</v>
      </c>
      <c r="AJ165" s="229">
        <v>1.8E-3</v>
      </c>
      <c r="AK165" s="228">
        <v>2.4</v>
      </c>
      <c r="AL165" s="228">
        <v>3.25</v>
      </c>
      <c r="AM165" s="228">
        <v>-0.85</v>
      </c>
      <c r="AN165" s="229">
        <v>5.4999999999999997E-3</v>
      </c>
      <c r="AO165" s="228">
        <v>441.31</v>
      </c>
      <c r="AP165" s="228">
        <v>442.94</v>
      </c>
      <c r="AQ165" s="228">
        <v>0</v>
      </c>
      <c r="AR165" s="230">
        <v>7880600</v>
      </c>
      <c r="AS165" s="230">
        <v>10005800</v>
      </c>
      <c r="AT165" s="230">
        <v>-2125200</v>
      </c>
      <c r="AU165" s="229">
        <v>-0.21240000000000001</v>
      </c>
      <c r="AV165" s="230">
        <v>4320400</v>
      </c>
      <c r="AW165" s="230">
        <v>4796400</v>
      </c>
      <c r="AX165" s="230">
        <v>-476000</v>
      </c>
      <c r="AY165" s="229">
        <v>-9.9199999999999997E-2</v>
      </c>
      <c r="AZ165" s="230">
        <v>3533600</v>
      </c>
      <c r="BA165" s="230">
        <v>5185600</v>
      </c>
      <c r="BB165" s="230">
        <v>-1652000</v>
      </c>
      <c r="BC165" s="229">
        <v>-0.31859999999999999</v>
      </c>
      <c r="BD165" s="230">
        <v>26600</v>
      </c>
      <c r="BE165" s="230">
        <v>23800</v>
      </c>
      <c r="BF165" s="230">
        <v>2800</v>
      </c>
      <c r="BG165" s="229">
        <v>0.1176</v>
      </c>
      <c r="BH165" s="230">
        <v>3054800</v>
      </c>
      <c r="BI165" s="230">
        <v>8474200</v>
      </c>
      <c r="BJ165" s="230">
        <v>-5419400</v>
      </c>
      <c r="BK165" s="229">
        <v>-0.63949999999999996</v>
      </c>
      <c r="BL165" s="230">
        <v>1372000</v>
      </c>
      <c r="BM165" s="230">
        <v>3530800</v>
      </c>
      <c r="BN165" s="230">
        <v>-2158800</v>
      </c>
      <c r="BO165" s="229">
        <v>-0.61140000000000005</v>
      </c>
      <c r="BP165" s="230">
        <v>12307400</v>
      </c>
      <c r="BQ165" s="230">
        <v>22010800</v>
      </c>
      <c r="BR165" s="230">
        <v>-9703400</v>
      </c>
      <c r="BS165" s="229">
        <v>-0.44080000000000003</v>
      </c>
      <c r="BT165" s="230">
        <v>1667968</v>
      </c>
      <c r="BU165" s="230">
        <v>2004293</v>
      </c>
      <c r="BV165" s="230">
        <v>-336325</v>
      </c>
      <c r="BW165" s="229">
        <v>-0.1678</v>
      </c>
      <c r="BX165" s="230">
        <v>10215800</v>
      </c>
      <c r="BY165" s="230">
        <v>13720000</v>
      </c>
      <c r="BZ165" s="230">
        <v>-3504200</v>
      </c>
      <c r="CA165" s="229">
        <v>-0.25540000000000002</v>
      </c>
      <c r="CB165" s="230">
        <v>2669800</v>
      </c>
      <c r="CC165" s="230">
        <v>4498200</v>
      </c>
      <c r="CD165" s="230">
        <v>-1828400</v>
      </c>
      <c r="CE165" s="229">
        <v>-0.40649999999999997</v>
      </c>
      <c r="CF165" s="230">
        <v>10122000</v>
      </c>
      <c r="CG165" s="230">
        <v>9133600</v>
      </c>
      <c r="CH165" s="230">
        <v>988400</v>
      </c>
      <c r="CI165" s="229">
        <v>0.1082</v>
      </c>
      <c r="CJ165" s="230">
        <v>93800</v>
      </c>
      <c r="CK165" s="230">
        <v>88200</v>
      </c>
      <c r="CL165" s="230">
        <v>5600</v>
      </c>
      <c r="CM165" s="229">
        <v>6.3500000000000001E-2</v>
      </c>
      <c r="CN165" s="230">
        <v>1388800</v>
      </c>
      <c r="CO165" s="230">
        <v>6085800</v>
      </c>
      <c r="CP165" s="230">
        <v>-4697000</v>
      </c>
      <c r="CQ165" s="229">
        <v>-0.77180000000000004</v>
      </c>
      <c r="CR165" s="230">
        <v>933800</v>
      </c>
      <c r="CS165" s="230">
        <v>3801000</v>
      </c>
      <c r="CT165" s="230">
        <v>-2867200</v>
      </c>
      <c r="CU165" s="229">
        <v>-0.75429999999999997</v>
      </c>
      <c r="CV165" s="230">
        <v>12538400</v>
      </c>
      <c r="CW165" s="230">
        <v>23606800</v>
      </c>
      <c r="CX165" s="230">
        <v>-11068400</v>
      </c>
      <c r="CY165" s="229">
        <v>-0.46889999999999998</v>
      </c>
      <c r="CZ165" s="228">
        <v>33.75</v>
      </c>
      <c r="DA165" s="228">
        <v>34.15</v>
      </c>
      <c r="DB165" s="228">
        <v>-0.4</v>
      </c>
      <c r="DC165" s="228">
        <v>-0.4</v>
      </c>
      <c r="DD165" s="228">
        <v>48.88</v>
      </c>
      <c r="DE165" s="228">
        <v>48.97</v>
      </c>
      <c r="DF165" s="228">
        <v>-15.13</v>
      </c>
      <c r="DG165" s="228">
        <v>-0.09</v>
      </c>
      <c r="DH165" s="228">
        <v>33.81</v>
      </c>
      <c r="DI165" s="228">
        <v>34.14</v>
      </c>
      <c r="DJ165" s="228">
        <v>-0.33</v>
      </c>
      <c r="DK165" s="228">
        <v>-0.33</v>
      </c>
      <c r="DL165" s="228">
        <v>33.67</v>
      </c>
      <c r="DM165" s="228">
        <v>34.159999999999997</v>
      </c>
      <c r="DN165" s="228">
        <v>-0.49</v>
      </c>
      <c r="DO165" s="228">
        <v>-0.49</v>
      </c>
      <c r="DP165" s="228">
        <v>0.67</v>
      </c>
      <c r="DQ165" s="228">
        <v>0.62</v>
      </c>
      <c r="DR165" s="228">
        <v>0.05</v>
      </c>
      <c r="DS165" s="229">
        <v>8.0600000000000005E-2</v>
      </c>
      <c r="DT165" s="228">
        <v>450</v>
      </c>
      <c r="DU165" s="228">
        <v>450</v>
      </c>
      <c r="DV165" s="228">
        <v>0.45</v>
      </c>
      <c r="DW165" s="228">
        <v>0.42</v>
      </c>
      <c r="DX165" s="228">
        <v>0.03</v>
      </c>
      <c r="DY165" s="229">
        <v>7.1400000000000005E-2</v>
      </c>
      <c r="DZ165" s="229">
        <v>0.79279999999999995</v>
      </c>
      <c r="EA165" s="230">
        <v>9221800</v>
      </c>
      <c r="EB165" s="229">
        <v>3.5000000000000001E-3</v>
      </c>
      <c r="EC165" s="229">
        <v>0.79279999999999995</v>
      </c>
      <c r="ED165" s="228">
        <v>1.63</v>
      </c>
      <c r="EE165" s="229">
        <v>3.7000000000000002E-3</v>
      </c>
      <c r="EF165" s="230">
        <v>593877</v>
      </c>
      <c r="EG165" s="230">
        <v>913283</v>
      </c>
      <c r="EH165" s="229">
        <v>-0.34970000000000001</v>
      </c>
      <c r="EI165" s="229">
        <v>0.35599999999999998</v>
      </c>
      <c r="EJ165" s="231">
        <v>14181.25</v>
      </c>
      <c r="EK165" s="231">
        <v>6108.25</v>
      </c>
      <c r="EL165" s="231">
        <v>34836.58</v>
      </c>
      <c r="EM165" s="228">
        <v>0</v>
      </c>
      <c r="EN165" s="231">
        <v>55126.080000000002</v>
      </c>
      <c r="EO165" s="231">
        <v>99569.18</v>
      </c>
      <c r="EP165" s="231">
        <v>-44443.1</v>
      </c>
      <c r="EQ165" s="229">
        <v>-0.44640000000000002</v>
      </c>
      <c r="ER165" s="231">
        <v>6506</v>
      </c>
      <c r="ES165" s="231">
        <v>4015</v>
      </c>
      <c r="ET165" s="231">
        <v>45033</v>
      </c>
      <c r="EU165" s="231">
        <v>141008560</v>
      </c>
      <c r="EV165" s="231">
        <v>55554</v>
      </c>
      <c r="EW165" s="231">
        <v>105974</v>
      </c>
      <c r="EX165" s="231">
        <v>-50420</v>
      </c>
      <c r="EY165" s="229">
        <v>-0.4758</v>
      </c>
      <c r="EZ165" s="229">
        <v>8.8900000000000007E-2</v>
      </c>
      <c r="FA165" s="227" t="s">
        <v>568</v>
      </c>
      <c r="FB165" s="161">
        <f t="shared" si="4"/>
        <v>0</v>
      </c>
    </row>
    <row r="166" spans="1:158" ht="17.25" thickBot="1" x14ac:dyDescent="0.3">
      <c r="A166" s="226">
        <v>45869</v>
      </c>
      <c r="B166" s="227" t="s">
        <v>193</v>
      </c>
      <c r="C166" s="227" t="s">
        <v>269</v>
      </c>
      <c r="D166" s="228">
        <v>2250</v>
      </c>
      <c r="E166" s="228">
        <v>240.99</v>
      </c>
      <c r="F166" s="228">
        <v>242.65</v>
      </c>
      <c r="G166" s="228">
        <v>-1.66</v>
      </c>
      <c r="H166" s="229">
        <v>-6.7999999999999996E-3</v>
      </c>
      <c r="I166" s="228">
        <v>241</v>
      </c>
      <c r="J166" s="228">
        <v>241.81</v>
      </c>
      <c r="K166" s="228">
        <v>-0.81</v>
      </c>
      <c r="L166" s="229">
        <v>-3.3E-3</v>
      </c>
      <c r="M166" s="228">
        <v>240.85</v>
      </c>
      <c r="N166" s="228">
        <v>241.94</v>
      </c>
      <c r="O166" s="228">
        <v>-1.0900000000000001</v>
      </c>
      <c r="P166" s="229">
        <v>-4.4999999999999997E-3</v>
      </c>
      <c r="Q166" s="228">
        <v>240.99</v>
      </c>
      <c r="R166" s="228">
        <v>242.65</v>
      </c>
      <c r="S166" s="228">
        <v>-1.66</v>
      </c>
      <c r="T166" s="229">
        <v>-6.7999999999999996E-3</v>
      </c>
      <c r="U166" s="228">
        <v>241.93</v>
      </c>
      <c r="V166" s="228">
        <v>243.21</v>
      </c>
      <c r="W166" s="228">
        <v>-1.28</v>
      </c>
      <c r="X166" s="229">
        <v>-5.3E-3</v>
      </c>
      <c r="Y166" s="228">
        <v>-0.01</v>
      </c>
      <c r="Z166" s="228">
        <v>0.13</v>
      </c>
      <c r="AA166" s="228">
        <v>-0.14000000000000001</v>
      </c>
      <c r="AB166" s="229">
        <v>0</v>
      </c>
      <c r="AC166" s="228">
        <v>-0.15</v>
      </c>
      <c r="AD166" s="228">
        <v>0.13</v>
      </c>
      <c r="AE166" s="228">
        <v>-0.28000000000000003</v>
      </c>
      <c r="AF166" s="229">
        <v>-5.9999999999999995E-4</v>
      </c>
      <c r="AG166" s="228">
        <v>-0.01</v>
      </c>
      <c r="AH166" s="228">
        <v>0.84</v>
      </c>
      <c r="AI166" s="228">
        <v>-0.85</v>
      </c>
      <c r="AJ166" s="229">
        <v>0</v>
      </c>
      <c r="AK166" s="228">
        <v>0.93</v>
      </c>
      <c r="AL166" s="228">
        <v>1.4</v>
      </c>
      <c r="AM166" s="228">
        <v>-0.47</v>
      </c>
      <c r="AN166" s="229">
        <v>3.8999999999999998E-3</v>
      </c>
      <c r="AO166" s="228">
        <v>240.94</v>
      </c>
      <c r="AP166" s="228">
        <v>241.34</v>
      </c>
      <c r="AQ166" s="228">
        <v>0</v>
      </c>
      <c r="AR166" s="230">
        <v>52924500</v>
      </c>
      <c r="AS166" s="230">
        <v>61341750</v>
      </c>
      <c r="AT166" s="230">
        <v>-8417250</v>
      </c>
      <c r="AU166" s="229">
        <v>-0.13719999999999999</v>
      </c>
      <c r="AV166" s="230">
        <v>23575500</v>
      </c>
      <c r="AW166" s="230">
        <v>28878750</v>
      </c>
      <c r="AX166" s="230">
        <v>-5303250</v>
      </c>
      <c r="AY166" s="229">
        <v>-0.18360000000000001</v>
      </c>
      <c r="AZ166" s="230">
        <v>28343250</v>
      </c>
      <c r="BA166" s="230">
        <v>30325500</v>
      </c>
      <c r="BB166" s="230">
        <v>-1982250</v>
      </c>
      <c r="BC166" s="229">
        <v>-6.54E-2</v>
      </c>
      <c r="BD166" s="230">
        <v>1005750</v>
      </c>
      <c r="BE166" s="230">
        <v>2137500</v>
      </c>
      <c r="BF166" s="230">
        <v>-1131750</v>
      </c>
      <c r="BG166" s="229">
        <v>-0.52949999999999997</v>
      </c>
      <c r="BH166" s="230">
        <v>20232000</v>
      </c>
      <c r="BI166" s="230">
        <v>38486250</v>
      </c>
      <c r="BJ166" s="230">
        <v>-18254250</v>
      </c>
      <c r="BK166" s="229">
        <v>-0.4743</v>
      </c>
      <c r="BL166" s="230">
        <v>12672000</v>
      </c>
      <c r="BM166" s="230">
        <v>16236000</v>
      </c>
      <c r="BN166" s="230">
        <v>-3564000</v>
      </c>
      <c r="BO166" s="229">
        <v>-0.2195</v>
      </c>
      <c r="BP166" s="230">
        <v>85828500</v>
      </c>
      <c r="BQ166" s="230">
        <v>116064000</v>
      </c>
      <c r="BR166" s="230">
        <v>-30235500</v>
      </c>
      <c r="BS166" s="229">
        <v>-0.26050000000000001</v>
      </c>
      <c r="BT166" s="230">
        <v>10430489</v>
      </c>
      <c r="BU166" s="230">
        <v>9551432</v>
      </c>
      <c r="BV166" s="230">
        <v>879057</v>
      </c>
      <c r="BW166" s="229">
        <v>9.1999999999999998E-2</v>
      </c>
      <c r="BX166" s="230">
        <v>87426000</v>
      </c>
      <c r="BY166" s="230">
        <v>99047250</v>
      </c>
      <c r="BZ166" s="230">
        <v>-11621250</v>
      </c>
      <c r="CA166" s="229">
        <v>-0.1173</v>
      </c>
      <c r="CB166" s="230">
        <v>11328750</v>
      </c>
      <c r="CC166" s="230">
        <v>26750250</v>
      </c>
      <c r="CD166" s="230">
        <v>-15421500</v>
      </c>
      <c r="CE166" s="229">
        <v>-0.57650000000000001</v>
      </c>
      <c r="CF166" s="230">
        <v>85081500</v>
      </c>
      <c r="CG166" s="230">
        <v>70346250</v>
      </c>
      <c r="CH166" s="230">
        <v>14735250</v>
      </c>
      <c r="CI166" s="229">
        <v>0.20949999999999999</v>
      </c>
      <c r="CJ166" s="230">
        <v>2344500</v>
      </c>
      <c r="CK166" s="230">
        <v>1950750</v>
      </c>
      <c r="CL166" s="230">
        <v>393750</v>
      </c>
      <c r="CM166" s="229">
        <v>0.20180000000000001</v>
      </c>
      <c r="CN166" s="230">
        <v>12321000</v>
      </c>
      <c r="CO166" s="230">
        <v>71910000</v>
      </c>
      <c r="CP166" s="230">
        <v>-59589000</v>
      </c>
      <c r="CQ166" s="229">
        <v>-0.82869999999999999</v>
      </c>
      <c r="CR166" s="230">
        <v>11110500</v>
      </c>
      <c r="CS166" s="230">
        <v>21309750</v>
      </c>
      <c r="CT166" s="230">
        <v>-10199250</v>
      </c>
      <c r="CU166" s="229">
        <v>-0.47860000000000003</v>
      </c>
      <c r="CV166" s="230">
        <v>110857500</v>
      </c>
      <c r="CW166" s="230">
        <v>192267000</v>
      </c>
      <c r="CX166" s="230">
        <v>-81409500</v>
      </c>
      <c r="CY166" s="229">
        <v>-0.4234</v>
      </c>
      <c r="CZ166" s="228">
        <v>23.93</v>
      </c>
      <c r="DA166" s="228">
        <v>24.77</v>
      </c>
      <c r="DB166" s="228">
        <v>-0.84</v>
      </c>
      <c r="DC166" s="228">
        <v>-0.84</v>
      </c>
      <c r="DD166" s="228">
        <v>35.83</v>
      </c>
      <c r="DE166" s="228">
        <v>35.909999999999997</v>
      </c>
      <c r="DF166" s="228">
        <v>-11.9</v>
      </c>
      <c r="DG166" s="228">
        <v>-0.08</v>
      </c>
      <c r="DH166" s="228">
        <v>23.96</v>
      </c>
      <c r="DI166" s="228">
        <v>24.77</v>
      </c>
      <c r="DJ166" s="228">
        <v>-0.81</v>
      </c>
      <c r="DK166" s="228">
        <v>-0.81</v>
      </c>
      <c r="DL166" s="228">
        <v>23.89</v>
      </c>
      <c r="DM166" s="228">
        <v>24.76</v>
      </c>
      <c r="DN166" s="228">
        <v>-0.87</v>
      </c>
      <c r="DO166" s="228">
        <v>-0.87</v>
      </c>
      <c r="DP166" s="228">
        <v>0.9</v>
      </c>
      <c r="DQ166" s="228">
        <v>0.3</v>
      </c>
      <c r="DR166" s="228">
        <v>0.6</v>
      </c>
      <c r="DS166" s="229">
        <v>2</v>
      </c>
      <c r="DT166" s="228">
        <v>250</v>
      </c>
      <c r="DU166" s="228">
        <v>240</v>
      </c>
      <c r="DV166" s="228">
        <v>0.63</v>
      </c>
      <c r="DW166" s="228">
        <v>0.42</v>
      </c>
      <c r="DX166" s="228">
        <v>0.21</v>
      </c>
      <c r="DY166" s="229">
        <v>0.5</v>
      </c>
      <c r="DZ166" s="229">
        <v>0.88529999999999998</v>
      </c>
      <c r="EA166" s="230">
        <v>72297000</v>
      </c>
      <c r="EB166" s="229">
        <v>5.9999999999999995E-4</v>
      </c>
      <c r="EC166" s="229">
        <v>0.88529999999999998</v>
      </c>
      <c r="ED166" s="228">
        <v>0.4</v>
      </c>
      <c r="EE166" s="229">
        <v>1.6999999999999999E-3</v>
      </c>
      <c r="EF166" s="230">
        <v>6291922</v>
      </c>
      <c r="EG166" s="230">
        <v>5707537</v>
      </c>
      <c r="EH166" s="229">
        <v>0.1024</v>
      </c>
      <c r="EI166" s="229">
        <v>0.60319999999999996</v>
      </c>
      <c r="EJ166" s="231">
        <v>50690.080000000002</v>
      </c>
      <c r="EK166" s="231">
        <v>31318.02</v>
      </c>
      <c r="EL166" s="231">
        <v>127642.1</v>
      </c>
      <c r="EM166" s="228">
        <v>0</v>
      </c>
      <c r="EN166" s="231">
        <v>209650.2</v>
      </c>
      <c r="EO166" s="231">
        <v>283393.91999999998</v>
      </c>
      <c r="EP166" s="231">
        <v>-73743.72</v>
      </c>
      <c r="EQ166" s="229">
        <v>-0.26019999999999999</v>
      </c>
      <c r="ER166" s="231">
        <v>31045</v>
      </c>
      <c r="ES166" s="231">
        <v>27151</v>
      </c>
      <c r="ET166" s="231">
        <v>210710</v>
      </c>
      <c r="EU166" s="231">
        <v>1034282422</v>
      </c>
      <c r="EV166" s="231">
        <v>268906</v>
      </c>
      <c r="EW166" s="231">
        <v>472891</v>
      </c>
      <c r="EX166" s="231">
        <v>-203985</v>
      </c>
      <c r="EY166" s="229">
        <v>-0.43140000000000001</v>
      </c>
      <c r="EZ166" s="229">
        <v>0.1072</v>
      </c>
      <c r="FA166" s="227" t="s">
        <v>568</v>
      </c>
      <c r="FB166" s="161">
        <f t="shared" si="4"/>
        <v>0</v>
      </c>
    </row>
    <row r="167" spans="1:158" ht="17.25" thickBot="1" x14ac:dyDescent="0.3">
      <c r="A167" s="226">
        <v>45869</v>
      </c>
      <c r="B167" s="227" t="s">
        <v>197</v>
      </c>
      <c r="C167" s="227" t="s">
        <v>270</v>
      </c>
      <c r="D167" s="228">
        <v>15</v>
      </c>
      <c r="E167" s="231">
        <v>46140</v>
      </c>
      <c r="F167" s="231">
        <v>46875</v>
      </c>
      <c r="G167" s="228">
        <v>-735</v>
      </c>
      <c r="H167" s="229">
        <v>-1.5699999999999999E-2</v>
      </c>
      <c r="I167" s="231">
        <v>48805</v>
      </c>
      <c r="J167" s="231">
        <v>48315</v>
      </c>
      <c r="K167" s="228">
        <v>490</v>
      </c>
      <c r="L167" s="229">
        <v>1.01E-2</v>
      </c>
      <c r="M167" s="231">
        <v>48910</v>
      </c>
      <c r="N167" s="231">
        <v>48450</v>
      </c>
      <c r="O167" s="228">
        <v>460</v>
      </c>
      <c r="P167" s="229">
        <v>9.4999999999999998E-3</v>
      </c>
      <c r="Q167" s="231">
        <v>46140</v>
      </c>
      <c r="R167" s="231">
        <v>46875</v>
      </c>
      <c r="S167" s="228">
        <v>-735</v>
      </c>
      <c r="T167" s="229">
        <v>-1.5699999999999999E-2</v>
      </c>
      <c r="U167" s="231">
        <v>45135</v>
      </c>
      <c r="V167" s="231">
        <v>45945</v>
      </c>
      <c r="W167" s="228">
        <v>-810</v>
      </c>
      <c r="X167" s="229">
        <v>-1.7600000000000001E-2</v>
      </c>
      <c r="Y167" s="231">
        <v>-2665</v>
      </c>
      <c r="Z167" s="228">
        <v>135</v>
      </c>
      <c r="AA167" s="231">
        <v>-2800</v>
      </c>
      <c r="AB167" s="229">
        <v>-5.4600000000000003E-2</v>
      </c>
      <c r="AC167" s="228">
        <v>105</v>
      </c>
      <c r="AD167" s="228">
        <v>135</v>
      </c>
      <c r="AE167" s="228">
        <v>-30</v>
      </c>
      <c r="AF167" s="229">
        <v>2.2000000000000001E-3</v>
      </c>
      <c r="AG167" s="231">
        <v>-2665</v>
      </c>
      <c r="AH167" s="231">
        <v>-1440</v>
      </c>
      <c r="AI167" s="231">
        <v>-1225</v>
      </c>
      <c r="AJ167" s="229">
        <v>-5.4600000000000003E-2</v>
      </c>
      <c r="AK167" s="231">
        <v>-3670</v>
      </c>
      <c r="AL167" s="231">
        <v>-2370</v>
      </c>
      <c r="AM167" s="231">
        <v>-1300</v>
      </c>
      <c r="AN167" s="229">
        <v>-7.5200000000000003E-2</v>
      </c>
      <c r="AO167" s="231">
        <v>48610.080000000002</v>
      </c>
      <c r="AP167" s="231">
        <v>46478.96</v>
      </c>
      <c r="AQ167" s="228">
        <v>0</v>
      </c>
      <c r="AR167" s="230">
        <v>139125</v>
      </c>
      <c r="AS167" s="230">
        <v>302925</v>
      </c>
      <c r="AT167" s="230">
        <v>-163800</v>
      </c>
      <c r="AU167" s="229">
        <v>-0.54069999999999996</v>
      </c>
      <c r="AV167" s="230">
        <v>57450</v>
      </c>
      <c r="AW167" s="230">
        <v>153495</v>
      </c>
      <c r="AX167" s="230">
        <v>-96045</v>
      </c>
      <c r="AY167" s="229">
        <v>-0.62570000000000003</v>
      </c>
      <c r="AZ167" s="230">
        <v>81030</v>
      </c>
      <c r="BA167" s="230">
        <v>148590</v>
      </c>
      <c r="BB167" s="230">
        <v>-67560</v>
      </c>
      <c r="BC167" s="229">
        <v>-0.45469999999999999</v>
      </c>
      <c r="BD167" s="228">
        <v>645</v>
      </c>
      <c r="BE167" s="228">
        <v>840</v>
      </c>
      <c r="BF167" s="228">
        <v>-195</v>
      </c>
      <c r="BG167" s="229">
        <v>-0.2321</v>
      </c>
      <c r="BH167" s="230">
        <v>119055</v>
      </c>
      <c r="BI167" s="230">
        <v>387765</v>
      </c>
      <c r="BJ167" s="230">
        <v>-268710</v>
      </c>
      <c r="BK167" s="229">
        <v>-0.69299999999999995</v>
      </c>
      <c r="BL167" s="230">
        <v>30570</v>
      </c>
      <c r="BM167" s="230">
        <v>78255</v>
      </c>
      <c r="BN167" s="230">
        <v>-47685</v>
      </c>
      <c r="BO167" s="229">
        <v>-0.60940000000000005</v>
      </c>
      <c r="BP167" s="230">
        <v>288750</v>
      </c>
      <c r="BQ167" s="230">
        <v>768945</v>
      </c>
      <c r="BR167" s="230">
        <v>-480195</v>
      </c>
      <c r="BS167" s="229">
        <v>-0.62450000000000006</v>
      </c>
      <c r="BT167" s="230">
        <v>25918</v>
      </c>
      <c r="BU167" s="230">
        <v>64870</v>
      </c>
      <c r="BV167" s="230">
        <v>-38952</v>
      </c>
      <c r="BW167" s="229">
        <v>-0.60050000000000003</v>
      </c>
      <c r="BX167" s="230">
        <v>280080</v>
      </c>
      <c r="BY167" s="230">
        <v>314115</v>
      </c>
      <c r="BZ167" s="230">
        <v>-34035</v>
      </c>
      <c r="CA167" s="229">
        <v>-0.1084</v>
      </c>
      <c r="CB167" s="230">
        <v>35595</v>
      </c>
      <c r="CC167" s="230">
        <v>52215</v>
      </c>
      <c r="CD167" s="230">
        <v>-16620</v>
      </c>
      <c r="CE167" s="229">
        <v>-0.31830000000000003</v>
      </c>
      <c r="CF167" s="230">
        <v>278745</v>
      </c>
      <c r="CG167" s="230">
        <v>260850</v>
      </c>
      <c r="CH167" s="230">
        <v>17895</v>
      </c>
      <c r="CI167" s="229">
        <v>6.8599999999999994E-2</v>
      </c>
      <c r="CJ167" s="230">
        <v>1335</v>
      </c>
      <c r="CK167" s="230">
        <v>1050</v>
      </c>
      <c r="CL167" s="228">
        <v>285</v>
      </c>
      <c r="CM167" s="229">
        <v>0.27139999999999997</v>
      </c>
      <c r="CN167" s="230">
        <v>10620</v>
      </c>
      <c r="CO167" s="230">
        <v>57375</v>
      </c>
      <c r="CP167" s="230">
        <v>-46755</v>
      </c>
      <c r="CQ167" s="229">
        <v>-0.81489999999999996</v>
      </c>
      <c r="CR167" s="230">
        <v>3060</v>
      </c>
      <c r="CS167" s="230">
        <v>23925</v>
      </c>
      <c r="CT167" s="230">
        <v>-20865</v>
      </c>
      <c r="CU167" s="229">
        <v>-0.87209999999999999</v>
      </c>
      <c r="CV167" s="230">
        <v>293760</v>
      </c>
      <c r="CW167" s="230">
        <v>395415</v>
      </c>
      <c r="CX167" s="230">
        <v>-101655</v>
      </c>
      <c r="CY167" s="229">
        <v>-0.2571</v>
      </c>
      <c r="CZ167" s="228">
        <v>33.130000000000003</v>
      </c>
      <c r="DA167" s="228">
        <v>34.25</v>
      </c>
      <c r="DB167" s="228">
        <v>-1.1200000000000001</v>
      </c>
      <c r="DC167" s="228">
        <v>-1.1200000000000001</v>
      </c>
      <c r="DD167" s="228">
        <v>29.41</v>
      </c>
      <c r="DE167" s="228">
        <v>29.45</v>
      </c>
      <c r="DF167" s="228">
        <v>3.72</v>
      </c>
      <c r="DG167" s="228">
        <v>-0.04</v>
      </c>
      <c r="DH167" s="228">
        <v>33.229999999999997</v>
      </c>
      <c r="DI167" s="228">
        <v>34.24</v>
      </c>
      <c r="DJ167" s="228">
        <v>-1.01</v>
      </c>
      <c r="DK167" s="228">
        <v>-1.01</v>
      </c>
      <c r="DL167" s="228">
        <v>31.97</v>
      </c>
      <c r="DM167" s="228">
        <v>34.31</v>
      </c>
      <c r="DN167" s="228">
        <v>-2.34</v>
      </c>
      <c r="DO167" s="228">
        <v>-2.34</v>
      </c>
      <c r="DP167" s="228">
        <v>0.28999999999999998</v>
      </c>
      <c r="DQ167" s="228">
        <v>0.42</v>
      </c>
      <c r="DR167" s="228">
        <v>-0.13</v>
      </c>
      <c r="DS167" s="229">
        <v>-0.3095</v>
      </c>
      <c r="DT167" s="231">
        <v>50000</v>
      </c>
      <c r="DU167" s="231">
        <v>45000</v>
      </c>
      <c r="DV167" s="228">
        <v>0.26</v>
      </c>
      <c r="DW167" s="228">
        <v>0.2</v>
      </c>
      <c r="DX167" s="228">
        <v>0.06</v>
      </c>
      <c r="DY167" s="229">
        <v>0.3</v>
      </c>
      <c r="DZ167" s="229">
        <v>0.88719999999999999</v>
      </c>
      <c r="EA167" s="230">
        <v>261900</v>
      </c>
      <c r="EB167" s="229">
        <v>-5.6599999999999998E-2</v>
      </c>
      <c r="EC167" s="229">
        <v>0.88719999999999999</v>
      </c>
      <c r="ED167" s="231">
        <v>-2131.12</v>
      </c>
      <c r="EE167" s="229">
        <v>-4.3799999999999999E-2</v>
      </c>
      <c r="EF167" s="230">
        <v>10606</v>
      </c>
      <c r="EG167" s="230">
        <v>39855</v>
      </c>
      <c r="EH167" s="229">
        <v>-0.7339</v>
      </c>
      <c r="EI167" s="229">
        <v>0.40920000000000001</v>
      </c>
      <c r="EJ167" s="231">
        <v>59657.47</v>
      </c>
      <c r="EK167" s="231">
        <v>14247.35</v>
      </c>
      <c r="EL167" s="231">
        <v>65881.8</v>
      </c>
      <c r="EM167" s="228">
        <v>0</v>
      </c>
      <c r="EN167" s="231">
        <v>139786.62</v>
      </c>
      <c r="EO167" s="231">
        <v>373139.32</v>
      </c>
      <c r="EP167" s="231">
        <v>-233352.7</v>
      </c>
      <c r="EQ167" s="229">
        <v>-0.62539999999999996</v>
      </c>
      <c r="ER167" s="231">
        <v>5321</v>
      </c>
      <c r="ES167" s="231">
        <v>1359</v>
      </c>
      <c r="ET167" s="231">
        <v>129215</v>
      </c>
      <c r="EU167" s="231">
        <v>1274066</v>
      </c>
      <c r="EV167" s="231">
        <v>135896</v>
      </c>
      <c r="EW167" s="231">
        <v>187739</v>
      </c>
      <c r="EX167" s="231">
        <v>-51843</v>
      </c>
      <c r="EY167" s="229">
        <v>-0.27610000000000001</v>
      </c>
      <c r="EZ167" s="229">
        <v>0.2306</v>
      </c>
      <c r="FA167" s="227" t="s">
        <v>568</v>
      </c>
      <c r="FB167" s="161">
        <f t="shared" si="4"/>
        <v>0</v>
      </c>
    </row>
    <row r="168" spans="1:158" ht="17.25" thickBot="1" x14ac:dyDescent="0.3">
      <c r="A168" s="226">
        <v>45869</v>
      </c>
      <c r="B168" s="227" t="s">
        <v>168</v>
      </c>
      <c r="C168" s="227" t="s">
        <v>667</v>
      </c>
      <c r="D168" s="228">
        <v>300</v>
      </c>
      <c r="E168" s="231">
        <v>1881.1</v>
      </c>
      <c r="F168" s="231">
        <v>1907.6</v>
      </c>
      <c r="G168" s="228">
        <v>-26.5</v>
      </c>
      <c r="H168" s="229">
        <v>-1.3899999999999999E-2</v>
      </c>
      <c r="I168" s="231">
        <v>1873.7</v>
      </c>
      <c r="J168" s="231">
        <v>1899.9</v>
      </c>
      <c r="K168" s="228">
        <v>-26.2</v>
      </c>
      <c r="L168" s="229">
        <v>-1.38E-2</v>
      </c>
      <c r="M168" s="231">
        <v>1870.3</v>
      </c>
      <c r="N168" s="231">
        <v>1898.4</v>
      </c>
      <c r="O168" s="228">
        <v>-28.1</v>
      </c>
      <c r="P168" s="229">
        <v>-1.4800000000000001E-2</v>
      </c>
      <c r="Q168" s="231">
        <v>1881.1</v>
      </c>
      <c r="R168" s="231">
        <v>1907.6</v>
      </c>
      <c r="S168" s="228">
        <v>-26.5</v>
      </c>
      <c r="T168" s="229">
        <v>-1.3899999999999999E-2</v>
      </c>
      <c r="U168" s="231">
        <v>1885</v>
      </c>
      <c r="V168" s="231">
        <v>1911.9</v>
      </c>
      <c r="W168" s="228">
        <v>-26.9</v>
      </c>
      <c r="X168" s="229">
        <v>-1.41E-2</v>
      </c>
      <c r="Y168" s="228">
        <v>7.4</v>
      </c>
      <c r="Z168" s="228">
        <v>-1.5</v>
      </c>
      <c r="AA168" s="228">
        <v>8.9</v>
      </c>
      <c r="AB168" s="229">
        <v>3.8999999999999998E-3</v>
      </c>
      <c r="AC168" s="228">
        <v>-3.4</v>
      </c>
      <c r="AD168" s="228">
        <v>-1.5</v>
      </c>
      <c r="AE168" s="228">
        <v>-1.9</v>
      </c>
      <c r="AF168" s="229">
        <v>-1.8E-3</v>
      </c>
      <c r="AG168" s="228">
        <v>7.4</v>
      </c>
      <c r="AH168" s="228">
        <v>7.7</v>
      </c>
      <c r="AI168" s="228">
        <v>-0.3</v>
      </c>
      <c r="AJ168" s="229">
        <v>3.8999999999999998E-3</v>
      </c>
      <c r="AK168" s="228">
        <v>11.3</v>
      </c>
      <c r="AL168" s="228">
        <v>12</v>
      </c>
      <c r="AM168" s="228">
        <v>-0.7</v>
      </c>
      <c r="AN168" s="229">
        <v>6.0000000000000001E-3</v>
      </c>
      <c r="AO168" s="231">
        <v>1880.56</v>
      </c>
      <c r="AP168" s="231">
        <v>1890.81</v>
      </c>
      <c r="AQ168" s="228">
        <v>0</v>
      </c>
      <c r="AR168" s="230">
        <v>7362900</v>
      </c>
      <c r="AS168" s="230">
        <v>5595600</v>
      </c>
      <c r="AT168" s="230">
        <v>1767300</v>
      </c>
      <c r="AU168" s="229">
        <v>0.31580000000000003</v>
      </c>
      <c r="AV168" s="230">
        <v>3263700</v>
      </c>
      <c r="AW168" s="230">
        <v>2490000</v>
      </c>
      <c r="AX168" s="230">
        <v>773700</v>
      </c>
      <c r="AY168" s="229">
        <v>0.31069999999999998</v>
      </c>
      <c r="AZ168" s="230">
        <v>4095900</v>
      </c>
      <c r="BA168" s="230">
        <v>3101400</v>
      </c>
      <c r="BB168" s="230">
        <v>994500</v>
      </c>
      <c r="BC168" s="229">
        <v>0.32069999999999999</v>
      </c>
      <c r="BD168" s="230">
        <v>3300</v>
      </c>
      <c r="BE168" s="230">
        <v>4200</v>
      </c>
      <c r="BF168" s="228">
        <v>-900</v>
      </c>
      <c r="BG168" s="229">
        <v>-0.21429999999999999</v>
      </c>
      <c r="BH168" s="230">
        <v>3183000</v>
      </c>
      <c r="BI168" s="230">
        <v>4523100</v>
      </c>
      <c r="BJ168" s="230">
        <v>-1340100</v>
      </c>
      <c r="BK168" s="229">
        <v>-0.29630000000000001</v>
      </c>
      <c r="BL168" s="230">
        <v>1655700</v>
      </c>
      <c r="BM168" s="230">
        <v>1652100</v>
      </c>
      <c r="BN168" s="230">
        <v>3600</v>
      </c>
      <c r="BO168" s="229">
        <v>2.2000000000000001E-3</v>
      </c>
      <c r="BP168" s="230">
        <v>12201600</v>
      </c>
      <c r="BQ168" s="230">
        <v>11770800</v>
      </c>
      <c r="BR168" s="230">
        <v>430800</v>
      </c>
      <c r="BS168" s="229">
        <v>3.6600000000000001E-2</v>
      </c>
      <c r="BT168" s="230">
        <v>1112023</v>
      </c>
      <c r="BU168" s="230">
        <v>1346658</v>
      </c>
      <c r="BV168" s="230">
        <v>-234635</v>
      </c>
      <c r="BW168" s="229">
        <v>-0.17419999999999999</v>
      </c>
      <c r="BX168" s="230">
        <v>9879000</v>
      </c>
      <c r="BY168" s="230">
        <v>10714200</v>
      </c>
      <c r="BZ168" s="230">
        <v>-835200</v>
      </c>
      <c r="CA168" s="229">
        <v>-7.8E-2</v>
      </c>
      <c r="CB168" s="230">
        <v>1119000</v>
      </c>
      <c r="CC168" s="230">
        <v>3308100</v>
      </c>
      <c r="CD168" s="230">
        <v>-2189100</v>
      </c>
      <c r="CE168" s="229">
        <v>-0.66169999999999995</v>
      </c>
      <c r="CF168" s="230">
        <v>9858600</v>
      </c>
      <c r="CG168" s="230">
        <v>7386900</v>
      </c>
      <c r="CH168" s="230">
        <v>2471700</v>
      </c>
      <c r="CI168" s="229">
        <v>0.33460000000000001</v>
      </c>
      <c r="CJ168" s="230">
        <v>20400</v>
      </c>
      <c r="CK168" s="230">
        <v>19200</v>
      </c>
      <c r="CL168" s="230">
        <v>1200</v>
      </c>
      <c r="CM168" s="229">
        <v>6.25E-2</v>
      </c>
      <c r="CN168" s="230">
        <v>708300</v>
      </c>
      <c r="CO168" s="230">
        <v>3699600</v>
      </c>
      <c r="CP168" s="230">
        <v>-2991300</v>
      </c>
      <c r="CQ168" s="229">
        <v>-0.8085</v>
      </c>
      <c r="CR168" s="230">
        <v>404400</v>
      </c>
      <c r="CS168" s="230">
        <v>2141100</v>
      </c>
      <c r="CT168" s="230">
        <v>-1736700</v>
      </c>
      <c r="CU168" s="229">
        <v>-0.81110000000000004</v>
      </c>
      <c r="CV168" s="230">
        <v>10991700</v>
      </c>
      <c r="CW168" s="230">
        <v>16554900</v>
      </c>
      <c r="CX168" s="230">
        <v>-5563200</v>
      </c>
      <c r="CY168" s="229">
        <v>-0.33600000000000002</v>
      </c>
      <c r="CZ168" s="228">
        <v>32.03</v>
      </c>
      <c r="DA168" s="228">
        <v>32.21</v>
      </c>
      <c r="DB168" s="228">
        <v>-0.18</v>
      </c>
      <c r="DC168" s="228">
        <v>-0.18</v>
      </c>
      <c r="DD168" s="228">
        <v>37.33</v>
      </c>
      <c r="DE168" s="228">
        <v>37.369999999999997</v>
      </c>
      <c r="DF168" s="228">
        <v>-5.3</v>
      </c>
      <c r="DG168" s="228">
        <v>-0.04</v>
      </c>
      <c r="DH168" s="228">
        <v>32.159999999999997</v>
      </c>
      <c r="DI168" s="228">
        <v>32.18</v>
      </c>
      <c r="DJ168" s="228">
        <v>-0.02</v>
      </c>
      <c r="DK168" s="228">
        <v>-0.02</v>
      </c>
      <c r="DL168" s="228">
        <v>31.76</v>
      </c>
      <c r="DM168" s="228">
        <v>32.299999999999997</v>
      </c>
      <c r="DN168" s="228">
        <v>-0.54</v>
      </c>
      <c r="DO168" s="228">
        <v>-0.54</v>
      </c>
      <c r="DP168" s="228">
        <v>0.56999999999999995</v>
      </c>
      <c r="DQ168" s="228">
        <v>0.57999999999999996</v>
      </c>
      <c r="DR168" s="228">
        <v>-0.01</v>
      </c>
      <c r="DS168" s="229">
        <v>-1.72E-2</v>
      </c>
      <c r="DT168" s="231">
        <v>2000</v>
      </c>
      <c r="DU168" s="231">
        <v>1820</v>
      </c>
      <c r="DV168" s="228">
        <v>0.52</v>
      </c>
      <c r="DW168" s="228">
        <v>0.37</v>
      </c>
      <c r="DX168" s="228">
        <v>0.15</v>
      </c>
      <c r="DY168" s="229">
        <v>0.40539999999999998</v>
      </c>
      <c r="DZ168" s="229">
        <v>0.89829999999999999</v>
      </c>
      <c r="EA168" s="230">
        <v>7406100</v>
      </c>
      <c r="EB168" s="229">
        <v>5.7999999999999996E-3</v>
      </c>
      <c r="EC168" s="229">
        <v>0.89829999999999999</v>
      </c>
      <c r="ED168" s="228">
        <v>10.25</v>
      </c>
      <c r="EE168" s="229">
        <v>5.4999999999999997E-3</v>
      </c>
      <c r="EF168" s="230">
        <v>555166</v>
      </c>
      <c r="EG168" s="230">
        <v>593909</v>
      </c>
      <c r="EH168" s="229">
        <v>-6.5199999999999994E-2</v>
      </c>
      <c r="EI168" s="229">
        <v>0.49919999999999998</v>
      </c>
      <c r="EJ168" s="231">
        <v>61870.45</v>
      </c>
      <c r="EK168" s="231">
        <v>30500.7</v>
      </c>
      <c r="EL168" s="231">
        <v>138883.85999999999</v>
      </c>
      <c r="EM168" s="228">
        <v>0</v>
      </c>
      <c r="EN168" s="231">
        <v>231255.01</v>
      </c>
      <c r="EO168" s="231">
        <v>226580.8</v>
      </c>
      <c r="EP168" s="231">
        <v>4674.21</v>
      </c>
      <c r="EQ168" s="229">
        <v>2.06E-2</v>
      </c>
      <c r="ER168" s="231">
        <v>13994</v>
      </c>
      <c r="ES168" s="231">
        <v>7395</v>
      </c>
      <c r="ET168" s="231">
        <v>185835</v>
      </c>
      <c r="EU168" s="231">
        <v>22129978</v>
      </c>
      <c r="EV168" s="231">
        <v>207223</v>
      </c>
      <c r="EW168" s="231">
        <v>312966</v>
      </c>
      <c r="EX168" s="231">
        <v>-105743</v>
      </c>
      <c r="EY168" s="229">
        <v>-0.33789999999999998</v>
      </c>
      <c r="EZ168" s="229">
        <v>0.49669999999999997</v>
      </c>
      <c r="FA168" s="227" t="s">
        <v>568</v>
      </c>
      <c r="FB168" s="161">
        <f t="shared" si="4"/>
        <v>0</v>
      </c>
    </row>
    <row r="169" spans="1:158" ht="17.25" thickBot="1" x14ac:dyDescent="0.3">
      <c r="A169" s="226">
        <v>45869</v>
      </c>
      <c r="B169" s="227" t="s">
        <v>616</v>
      </c>
      <c r="C169" s="227" t="s">
        <v>576</v>
      </c>
      <c r="D169" s="228">
        <v>725</v>
      </c>
      <c r="E169" s="231">
        <v>1093.0999999999999</v>
      </c>
      <c r="F169" s="231">
        <v>1073.4000000000001</v>
      </c>
      <c r="G169" s="228">
        <v>19.7</v>
      </c>
      <c r="H169" s="229">
        <v>1.84E-2</v>
      </c>
      <c r="I169" s="231">
        <v>1089.3499999999999</v>
      </c>
      <c r="J169" s="231">
        <v>1068.2</v>
      </c>
      <c r="K169" s="228">
        <v>21.15</v>
      </c>
      <c r="L169" s="229">
        <v>1.9800000000000002E-2</v>
      </c>
      <c r="M169" s="231">
        <v>1086.55</v>
      </c>
      <c r="N169" s="231">
        <v>1067.5</v>
      </c>
      <c r="O169" s="228">
        <v>19.05</v>
      </c>
      <c r="P169" s="229">
        <v>1.78E-2</v>
      </c>
      <c r="Q169" s="231">
        <v>1093.0999999999999</v>
      </c>
      <c r="R169" s="231">
        <v>1073.4000000000001</v>
      </c>
      <c r="S169" s="228">
        <v>19.7</v>
      </c>
      <c r="T169" s="229">
        <v>1.84E-2</v>
      </c>
      <c r="U169" s="231">
        <v>1099.7</v>
      </c>
      <c r="V169" s="231">
        <v>1079.2</v>
      </c>
      <c r="W169" s="228">
        <v>20.5</v>
      </c>
      <c r="X169" s="229">
        <v>1.9E-2</v>
      </c>
      <c r="Y169" s="228">
        <v>3.75</v>
      </c>
      <c r="Z169" s="228">
        <v>-0.7</v>
      </c>
      <c r="AA169" s="228">
        <v>4.45</v>
      </c>
      <c r="AB169" s="229">
        <v>3.3999999999999998E-3</v>
      </c>
      <c r="AC169" s="228">
        <v>-2.8</v>
      </c>
      <c r="AD169" s="228">
        <v>-0.7</v>
      </c>
      <c r="AE169" s="228">
        <v>-2.1</v>
      </c>
      <c r="AF169" s="229">
        <v>-2.5999999999999999E-3</v>
      </c>
      <c r="AG169" s="228">
        <v>3.75</v>
      </c>
      <c r="AH169" s="228">
        <v>5.2</v>
      </c>
      <c r="AI169" s="228">
        <v>-1.45</v>
      </c>
      <c r="AJ169" s="229">
        <v>3.3999999999999998E-3</v>
      </c>
      <c r="AK169" s="228">
        <v>10.35</v>
      </c>
      <c r="AL169" s="228">
        <v>11</v>
      </c>
      <c r="AM169" s="228">
        <v>-0.65</v>
      </c>
      <c r="AN169" s="229">
        <v>9.4999999999999998E-3</v>
      </c>
      <c r="AO169" s="231">
        <v>1080.07</v>
      </c>
      <c r="AP169" s="231">
        <v>1085.19</v>
      </c>
      <c r="AQ169" s="228">
        <v>0</v>
      </c>
      <c r="AR169" s="230">
        <v>15194550</v>
      </c>
      <c r="AS169" s="230">
        <v>16358175</v>
      </c>
      <c r="AT169" s="230">
        <v>-1163625</v>
      </c>
      <c r="AU169" s="229">
        <v>-7.1099999999999997E-2</v>
      </c>
      <c r="AV169" s="230">
        <v>5914550</v>
      </c>
      <c r="AW169" s="230">
        <v>8098250</v>
      </c>
      <c r="AX169" s="230">
        <v>-2183700</v>
      </c>
      <c r="AY169" s="229">
        <v>-0.2697</v>
      </c>
      <c r="AZ169" s="230">
        <v>9113975</v>
      </c>
      <c r="BA169" s="230">
        <v>8214250</v>
      </c>
      <c r="BB169" s="230">
        <v>899725</v>
      </c>
      <c r="BC169" s="229">
        <v>0.1095</v>
      </c>
      <c r="BD169" s="230">
        <v>166025</v>
      </c>
      <c r="BE169" s="230">
        <v>45675</v>
      </c>
      <c r="BF169" s="230">
        <v>120350</v>
      </c>
      <c r="BG169" s="229">
        <v>2.6349</v>
      </c>
      <c r="BH169" s="230">
        <v>22293750</v>
      </c>
      <c r="BI169" s="230">
        <v>16269725</v>
      </c>
      <c r="BJ169" s="230">
        <v>6024025</v>
      </c>
      <c r="BK169" s="229">
        <v>0.37030000000000002</v>
      </c>
      <c r="BL169" s="230">
        <v>9626550</v>
      </c>
      <c r="BM169" s="230">
        <v>8847175</v>
      </c>
      <c r="BN169" s="230">
        <v>779375</v>
      </c>
      <c r="BO169" s="229">
        <v>8.8099999999999998E-2</v>
      </c>
      <c r="BP169" s="230">
        <v>47114850</v>
      </c>
      <c r="BQ169" s="230">
        <v>41475075</v>
      </c>
      <c r="BR169" s="230">
        <v>5639775</v>
      </c>
      <c r="BS169" s="229">
        <v>0.13600000000000001</v>
      </c>
      <c r="BT169" s="230">
        <v>5721592</v>
      </c>
      <c r="BU169" s="230">
        <v>3195153</v>
      </c>
      <c r="BV169" s="230">
        <v>2526439</v>
      </c>
      <c r="BW169" s="229">
        <v>0.79069999999999996</v>
      </c>
      <c r="BX169" s="230">
        <v>22204575</v>
      </c>
      <c r="BY169" s="230">
        <v>24686975</v>
      </c>
      <c r="BZ169" s="230">
        <v>-2482400</v>
      </c>
      <c r="CA169" s="229">
        <v>-0.10059999999999999</v>
      </c>
      <c r="CB169" s="230">
        <v>2411350</v>
      </c>
      <c r="CC169" s="230">
        <v>3920800</v>
      </c>
      <c r="CD169" s="230">
        <v>-1509450</v>
      </c>
      <c r="CE169" s="229">
        <v>-0.38500000000000001</v>
      </c>
      <c r="CF169" s="230">
        <v>21985625</v>
      </c>
      <c r="CG169" s="230">
        <v>20589275</v>
      </c>
      <c r="CH169" s="230">
        <v>1396350</v>
      </c>
      <c r="CI169" s="229">
        <v>6.7799999999999999E-2</v>
      </c>
      <c r="CJ169" s="230">
        <v>218950</v>
      </c>
      <c r="CK169" s="230">
        <v>176900</v>
      </c>
      <c r="CL169" s="230">
        <v>42050</v>
      </c>
      <c r="CM169" s="229">
        <v>0.23769999999999999</v>
      </c>
      <c r="CN169" s="230">
        <v>4452950</v>
      </c>
      <c r="CO169" s="230">
        <v>11606525</v>
      </c>
      <c r="CP169" s="230">
        <v>-7153575</v>
      </c>
      <c r="CQ169" s="229">
        <v>-0.61629999999999996</v>
      </c>
      <c r="CR169" s="230">
        <v>3135625</v>
      </c>
      <c r="CS169" s="230">
        <v>8353450</v>
      </c>
      <c r="CT169" s="230">
        <v>-5217825</v>
      </c>
      <c r="CU169" s="229">
        <v>-0.62460000000000004</v>
      </c>
      <c r="CV169" s="230">
        <v>29793150</v>
      </c>
      <c r="CW169" s="230">
        <v>44646950</v>
      </c>
      <c r="CX169" s="230">
        <v>-14853800</v>
      </c>
      <c r="CY169" s="229">
        <v>-0.3327</v>
      </c>
      <c r="CZ169" s="228">
        <v>37.14</v>
      </c>
      <c r="DA169" s="228">
        <v>36.549999999999997</v>
      </c>
      <c r="DB169" s="228">
        <v>0.59</v>
      </c>
      <c r="DC169" s="228">
        <v>0.59</v>
      </c>
      <c r="DD169" s="228">
        <v>60.38</v>
      </c>
      <c r="DE169" s="228">
        <v>60.48</v>
      </c>
      <c r="DF169" s="228">
        <v>-23.24</v>
      </c>
      <c r="DG169" s="228">
        <v>-0.1</v>
      </c>
      <c r="DH169" s="228">
        <v>36.090000000000003</v>
      </c>
      <c r="DI169" s="228">
        <v>36.36</v>
      </c>
      <c r="DJ169" s="228">
        <v>-0.27</v>
      </c>
      <c r="DK169" s="228">
        <v>-0.27</v>
      </c>
      <c r="DL169" s="228">
        <v>39.94</v>
      </c>
      <c r="DM169" s="228">
        <v>36.97</v>
      </c>
      <c r="DN169" s="228">
        <v>2.97</v>
      </c>
      <c r="DO169" s="228">
        <v>2.97</v>
      </c>
      <c r="DP169" s="228">
        <v>0.7</v>
      </c>
      <c r="DQ169" s="228">
        <v>0.72</v>
      </c>
      <c r="DR169" s="228">
        <v>-0.02</v>
      </c>
      <c r="DS169" s="229">
        <v>-2.7799999999999998E-2</v>
      </c>
      <c r="DT169" s="231">
        <v>1100</v>
      </c>
      <c r="DU169" s="231">
        <v>1000</v>
      </c>
      <c r="DV169" s="228">
        <v>0.43</v>
      </c>
      <c r="DW169" s="228">
        <v>0.54</v>
      </c>
      <c r="DX169" s="228">
        <v>-0.11</v>
      </c>
      <c r="DY169" s="229">
        <v>-0.20369999999999999</v>
      </c>
      <c r="DZ169" s="229">
        <v>0.90200000000000002</v>
      </c>
      <c r="EA169" s="230">
        <v>20766175</v>
      </c>
      <c r="EB169" s="229">
        <v>6.0000000000000001E-3</v>
      </c>
      <c r="EC169" s="229">
        <v>0.90200000000000002</v>
      </c>
      <c r="ED169" s="228">
        <v>5.12</v>
      </c>
      <c r="EE169" s="229">
        <v>4.7000000000000002E-3</v>
      </c>
      <c r="EF169" s="230">
        <v>2591185</v>
      </c>
      <c r="EG169" s="230">
        <v>826344</v>
      </c>
      <c r="EH169" s="229">
        <v>2.1356999999999999</v>
      </c>
      <c r="EI169" s="229">
        <v>0.45290000000000002</v>
      </c>
      <c r="EJ169" s="231">
        <v>253295.65</v>
      </c>
      <c r="EK169" s="231">
        <v>101718.53</v>
      </c>
      <c r="EL169" s="231">
        <v>164594.22</v>
      </c>
      <c r="EM169" s="228">
        <v>0</v>
      </c>
      <c r="EN169" s="231">
        <v>519608.4</v>
      </c>
      <c r="EO169" s="231">
        <v>449484.79999999999</v>
      </c>
      <c r="EP169" s="231">
        <v>70123.600000000006</v>
      </c>
      <c r="EQ169" s="229">
        <v>0.156</v>
      </c>
      <c r="ER169" s="231">
        <v>50513</v>
      </c>
      <c r="ES169" s="231">
        <v>31793</v>
      </c>
      <c r="ET169" s="231">
        <v>242733</v>
      </c>
      <c r="EU169" s="231">
        <v>127569096</v>
      </c>
      <c r="EV169" s="231">
        <v>325038</v>
      </c>
      <c r="EW169" s="231">
        <v>472809</v>
      </c>
      <c r="EX169" s="231">
        <v>-147771</v>
      </c>
      <c r="EY169" s="229">
        <v>-0.3125</v>
      </c>
      <c r="EZ169" s="229">
        <v>0.23350000000000001</v>
      </c>
      <c r="FA169" s="227" t="s">
        <v>556</v>
      </c>
      <c r="FB169" s="161">
        <f t="shared" si="4"/>
        <v>0</v>
      </c>
    </row>
    <row r="170" spans="1:158" ht="17.25" thickBot="1" x14ac:dyDescent="0.3">
      <c r="A170" s="226">
        <v>45869</v>
      </c>
      <c r="B170" s="227" t="s">
        <v>175</v>
      </c>
      <c r="C170" s="227" t="s">
        <v>271</v>
      </c>
      <c r="D170" s="228">
        <v>750</v>
      </c>
      <c r="E170" s="228">
        <v>0</v>
      </c>
      <c r="F170" s="228">
        <v>0</v>
      </c>
      <c r="G170" s="228">
        <v>0</v>
      </c>
      <c r="H170" s="229">
        <v>0</v>
      </c>
      <c r="I170" s="231">
        <v>1251.8</v>
      </c>
      <c r="J170" s="231">
        <v>1287.5999999999999</v>
      </c>
      <c r="K170" s="228">
        <v>-35.799999999999997</v>
      </c>
      <c r="L170" s="229">
        <v>-2.7799999999999998E-2</v>
      </c>
      <c r="M170" s="231">
        <v>1250.5999999999999</v>
      </c>
      <c r="N170" s="231">
        <v>1287.5999999999999</v>
      </c>
      <c r="O170" s="228">
        <v>-37</v>
      </c>
      <c r="P170" s="229">
        <v>-2.87E-2</v>
      </c>
      <c r="Q170" s="228">
        <v>0</v>
      </c>
      <c r="R170" s="228">
        <v>0</v>
      </c>
      <c r="S170" s="228">
        <v>0</v>
      </c>
      <c r="T170" s="229">
        <v>0</v>
      </c>
      <c r="U170" s="228">
        <v>0</v>
      </c>
      <c r="V170" s="228">
        <v>0</v>
      </c>
      <c r="W170" s="228">
        <v>0</v>
      </c>
      <c r="X170" s="229">
        <v>0</v>
      </c>
      <c r="Y170" s="228">
        <v>0</v>
      </c>
      <c r="Z170" s="228">
        <v>0</v>
      </c>
      <c r="AA170" s="228">
        <v>0</v>
      </c>
      <c r="AB170" s="229">
        <v>0</v>
      </c>
      <c r="AC170" s="228">
        <v>-1.2</v>
      </c>
      <c r="AD170" s="228">
        <v>0</v>
      </c>
      <c r="AE170" s="228">
        <v>-1.2</v>
      </c>
      <c r="AF170" s="229">
        <v>-1E-3</v>
      </c>
      <c r="AG170" s="228">
        <v>0</v>
      </c>
      <c r="AH170" s="228">
        <v>0</v>
      </c>
      <c r="AI170" s="228">
        <v>0</v>
      </c>
      <c r="AJ170" s="229">
        <v>0</v>
      </c>
      <c r="AK170" s="228">
        <v>0</v>
      </c>
      <c r="AL170" s="228">
        <v>0</v>
      </c>
      <c r="AM170" s="228">
        <v>0</v>
      </c>
      <c r="AN170" s="229">
        <v>0</v>
      </c>
      <c r="AO170" s="231">
        <v>1256.55</v>
      </c>
      <c r="AP170" s="228">
        <v>0</v>
      </c>
      <c r="AQ170" s="228">
        <v>0</v>
      </c>
      <c r="AR170" s="230">
        <v>2472750</v>
      </c>
      <c r="AS170" s="230">
        <v>4659750</v>
      </c>
      <c r="AT170" s="230">
        <v>-2187000</v>
      </c>
      <c r="AU170" s="229">
        <v>-0.46929999999999999</v>
      </c>
      <c r="AV170" s="230">
        <v>2472750</v>
      </c>
      <c r="AW170" s="230">
        <v>4659750</v>
      </c>
      <c r="AX170" s="230">
        <v>-2187000</v>
      </c>
      <c r="AY170" s="229">
        <v>-0.46929999999999999</v>
      </c>
      <c r="AZ170" s="228">
        <v>0</v>
      </c>
      <c r="BA170" s="228">
        <v>0</v>
      </c>
      <c r="BB170" s="228">
        <v>0</v>
      </c>
      <c r="BC170" s="229">
        <v>0</v>
      </c>
      <c r="BD170" s="228">
        <v>0</v>
      </c>
      <c r="BE170" s="228">
        <v>0</v>
      </c>
      <c r="BF170" s="228">
        <v>0</v>
      </c>
      <c r="BG170" s="229">
        <v>0</v>
      </c>
      <c r="BH170" s="230">
        <v>7299000</v>
      </c>
      <c r="BI170" s="230">
        <v>34102500</v>
      </c>
      <c r="BJ170" s="230">
        <v>-26803500</v>
      </c>
      <c r="BK170" s="229">
        <v>-0.78600000000000003</v>
      </c>
      <c r="BL170" s="230">
        <v>2433750</v>
      </c>
      <c r="BM170" s="230">
        <v>12974250</v>
      </c>
      <c r="BN170" s="230">
        <v>-10540500</v>
      </c>
      <c r="BO170" s="229">
        <v>-0.81240000000000001</v>
      </c>
      <c r="BP170" s="230">
        <v>12205500</v>
      </c>
      <c r="BQ170" s="230">
        <v>51736500</v>
      </c>
      <c r="BR170" s="230">
        <v>-39531000</v>
      </c>
      <c r="BS170" s="229">
        <v>-0.7641</v>
      </c>
      <c r="BT170" s="230">
        <v>2343184</v>
      </c>
      <c r="BU170" s="230">
        <v>4532294</v>
      </c>
      <c r="BV170" s="230">
        <v>-2189110</v>
      </c>
      <c r="BW170" s="229">
        <v>-0.48299999999999998</v>
      </c>
      <c r="BX170" s="228">
        <v>0</v>
      </c>
      <c r="BY170" s="230">
        <v>3124500</v>
      </c>
      <c r="BZ170" s="230">
        <v>-3124500</v>
      </c>
      <c r="CA170" s="229">
        <v>-1</v>
      </c>
      <c r="CB170" s="230">
        <v>2283000</v>
      </c>
      <c r="CC170" s="230">
        <v>3124500</v>
      </c>
      <c r="CD170" s="230">
        <v>-841500</v>
      </c>
      <c r="CE170" s="229">
        <v>-0.26929999999999998</v>
      </c>
      <c r="CF170" s="228">
        <v>0</v>
      </c>
      <c r="CG170" s="228">
        <v>0</v>
      </c>
      <c r="CH170" s="228">
        <v>0</v>
      </c>
      <c r="CI170" s="229">
        <v>0</v>
      </c>
      <c r="CJ170" s="228">
        <v>0</v>
      </c>
      <c r="CK170" s="228">
        <v>0</v>
      </c>
      <c r="CL170" s="228">
        <v>0</v>
      </c>
      <c r="CM170" s="229">
        <v>0</v>
      </c>
      <c r="CN170" s="230">
        <v>2763000</v>
      </c>
      <c r="CO170" s="230">
        <v>4054500</v>
      </c>
      <c r="CP170" s="230">
        <v>-1291500</v>
      </c>
      <c r="CQ170" s="229">
        <v>-0.31850000000000001</v>
      </c>
      <c r="CR170" s="230">
        <v>1632000</v>
      </c>
      <c r="CS170" s="230">
        <v>2103000</v>
      </c>
      <c r="CT170" s="230">
        <v>-471000</v>
      </c>
      <c r="CU170" s="229">
        <v>-0.224</v>
      </c>
      <c r="CV170" s="230">
        <v>4395000</v>
      </c>
      <c r="CW170" s="230">
        <v>9282000</v>
      </c>
      <c r="CX170" s="230">
        <v>-4887000</v>
      </c>
      <c r="CY170" s="229">
        <v>-0.52649999999999997</v>
      </c>
      <c r="CZ170" s="228">
        <v>45.3</v>
      </c>
      <c r="DA170" s="228">
        <v>45.3</v>
      </c>
      <c r="DB170" s="228">
        <v>0</v>
      </c>
      <c r="DC170" s="228">
        <v>0</v>
      </c>
      <c r="DD170" s="228">
        <v>45.3</v>
      </c>
      <c r="DE170" s="228">
        <v>45.3</v>
      </c>
      <c r="DF170" s="228">
        <v>0</v>
      </c>
      <c r="DG170" s="228">
        <v>0</v>
      </c>
      <c r="DH170" s="228">
        <v>45.3</v>
      </c>
      <c r="DI170" s="228">
        <v>45.3</v>
      </c>
      <c r="DJ170" s="228">
        <v>0</v>
      </c>
      <c r="DK170" s="228">
        <v>0</v>
      </c>
      <c r="DL170" s="228">
        <v>45.3</v>
      </c>
      <c r="DM170" s="228">
        <v>45.3</v>
      </c>
      <c r="DN170" s="228">
        <v>0</v>
      </c>
      <c r="DO170" s="228">
        <v>0</v>
      </c>
      <c r="DP170" s="228">
        <v>0.59</v>
      </c>
      <c r="DQ170" s="228">
        <v>0.52</v>
      </c>
      <c r="DR170" s="228">
        <v>7.0000000000000007E-2</v>
      </c>
      <c r="DS170" s="229">
        <v>0.1346</v>
      </c>
      <c r="DT170" s="231">
        <v>1320</v>
      </c>
      <c r="DU170" s="231">
        <v>1320</v>
      </c>
      <c r="DV170" s="228">
        <v>0.33</v>
      </c>
      <c r="DW170" s="228">
        <v>0.38</v>
      </c>
      <c r="DX170" s="228">
        <v>-0.05</v>
      </c>
      <c r="DY170" s="229">
        <v>-0.13159999999999999</v>
      </c>
      <c r="DZ170" s="229">
        <v>0</v>
      </c>
      <c r="EA170" s="228">
        <v>0</v>
      </c>
      <c r="EB170" s="229">
        <v>0</v>
      </c>
      <c r="EC170" s="229">
        <v>0</v>
      </c>
      <c r="ED170" s="228">
        <v>0</v>
      </c>
      <c r="EE170" s="229">
        <v>0</v>
      </c>
      <c r="EF170" s="230">
        <v>1331186</v>
      </c>
      <c r="EG170" s="230">
        <v>1473918</v>
      </c>
      <c r="EH170" s="229">
        <v>-9.6799999999999997E-2</v>
      </c>
      <c r="EI170" s="229">
        <v>0.56810000000000005</v>
      </c>
      <c r="EJ170" s="231">
        <v>95537.96</v>
      </c>
      <c r="EK170" s="231">
        <v>30611.38</v>
      </c>
      <c r="EL170" s="231">
        <v>31071.35</v>
      </c>
      <c r="EM170" s="228">
        <v>0</v>
      </c>
      <c r="EN170" s="231">
        <v>157220.69</v>
      </c>
      <c r="EO170" s="231">
        <v>691589.11</v>
      </c>
      <c r="EP170" s="231">
        <v>-534368.42000000004</v>
      </c>
      <c r="EQ170" s="229">
        <v>-0.77270000000000005</v>
      </c>
      <c r="ER170" s="228">
        <v>0</v>
      </c>
      <c r="ES170" s="228">
        <v>0</v>
      </c>
      <c r="ET170" s="228">
        <v>0</v>
      </c>
      <c r="EU170" s="231">
        <v>24011656</v>
      </c>
      <c r="EV170" s="228">
        <v>0</v>
      </c>
      <c r="EW170" s="231">
        <v>119662</v>
      </c>
      <c r="EX170" s="231">
        <v>-119662</v>
      </c>
      <c r="EY170" s="229">
        <v>-1</v>
      </c>
      <c r="EZ170" s="229">
        <v>0.183</v>
      </c>
      <c r="FA170" s="227" t="s">
        <v>237</v>
      </c>
      <c r="FB170" s="161">
        <f t="shared" si="4"/>
        <v>0</v>
      </c>
    </row>
    <row r="171" spans="1:158" ht="17.25" thickBot="1" x14ac:dyDescent="0.3">
      <c r="A171" s="226">
        <v>45869</v>
      </c>
      <c r="B171" s="227" t="s">
        <v>221</v>
      </c>
      <c r="C171" s="227" t="s">
        <v>529</v>
      </c>
      <c r="D171" s="228">
        <v>100</v>
      </c>
      <c r="E171" s="231">
        <v>5177.5</v>
      </c>
      <c r="F171" s="231">
        <v>5188</v>
      </c>
      <c r="G171" s="228">
        <v>-10.5</v>
      </c>
      <c r="H171" s="229">
        <v>-2E-3</v>
      </c>
      <c r="I171" s="231">
        <v>5160.5</v>
      </c>
      <c r="J171" s="231">
        <v>5162.5</v>
      </c>
      <c r="K171" s="228">
        <v>-2</v>
      </c>
      <c r="L171" s="229">
        <v>-4.0000000000000002E-4</v>
      </c>
      <c r="M171" s="231">
        <v>5157.5</v>
      </c>
      <c r="N171" s="231">
        <v>5162.5</v>
      </c>
      <c r="O171" s="228">
        <v>-5</v>
      </c>
      <c r="P171" s="229">
        <v>-1E-3</v>
      </c>
      <c r="Q171" s="231">
        <v>5177.5</v>
      </c>
      <c r="R171" s="231">
        <v>5188</v>
      </c>
      <c r="S171" s="228">
        <v>-10.5</v>
      </c>
      <c r="T171" s="229">
        <v>-2E-3</v>
      </c>
      <c r="U171" s="231">
        <v>5206.5</v>
      </c>
      <c r="V171" s="231">
        <v>5212</v>
      </c>
      <c r="W171" s="228">
        <v>-5.5</v>
      </c>
      <c r="X171" s="229">
        <v>-1.1000000000000001E-3</v>
      </c>
      <c r="Y171" s="228">
        <v>17</v>
      </c>
      <c r="Z171" s="228">
        <v>0</v>
      </c>
      <c r="AA171" s="228">
        <v>17</v>
      </c>
      <c r="AB171" s="229">
        <v>3.3E-3</v>
      </c>
      <c r="AC171" s="228">
        <v>-3</v>
      </c>
      <c r="AD171" s="228">
        <v>0</v>
      </c>
      <c r="AE171" s="228">
        <v>-3</v>
      </c>
      <c r="AF171" s="229">
        <v>-5.9999999999999995E-4</v>
      </c>
      <c r="AG171" s="228">
        <v>17</v>
      </c>
      <c r="AH171" s="228">
        <v>25.5</v>
      </c>
      <c r="AI171" s="228">
        <v>-8.5</v>
      </c>
      <c r="AJ171" s="229">
        <v>3.3E-3</v>
      </c>
      <c r="AK171" s="228">
        <v>46</v>
      </c>
      <c r="AL171" s="228">
        <v>49.5</v>
      </c>
      <c r="AM171" s="228">
        <v>-3.5</v>
      </c>
      <c r="AN171" s="229">
        <v>8.8999999999999999E-3</v>
      </c>
      <c r="AO171" s="231">
        <v>5145.58</v>
      </c>
      <c r="AP171" s="231">
        <v>5168.75</v>
      </c>
      <c r="AQ171" s="228">
        <v>0</v>
      </c>
      <c r="AR171" s="230">
        <v>1735300</v>
      </c>
      <c r="AS171" s="230">
        <v>1654300</v>
      </c>
      <c r="AT171" s="230">
        <v>81000</v>
      </c>
      <c r="AU171" s="229">
        <v>4.9000000000000002E-2</v>
      </c>
      <c r="AV171" s="230">
        <v>731300</v>
      </c>
      <c r="AW171" s="230">
        <v>739800</v>
      </c>
      <c r="AX171" s="230">
        <v>-8500</v>
      </c>
      <c r="AY171" s="229">
        <v>-1.15E-2</v>
      </c>
      <c r="AZ171" s="230">
        <v>978900</v>
      </c>
      <c r="BA171" s="230">
        <v>897200</v>
      </c>
      <c r="BB171" s="230">
        <v>81700</v>
      </c>
      <c r="BC171" s="229">
        <v>9.11E-2</v>
      </c>
      <c r="BD171" s="230">
        <v>25100</v>
      </c>
      <c r="BE171" s="230">
        <v>17300</v>
      </c>
      <c r="BF171" s="230">
        <v>7800</v>
      </c>
      <c r="BG171" s="229">
        <v>0.45090000000000002</v>
      </c>
      <c r="BH171" s="230">
        <v>2862800</v>
      </c>
      <c r="BI171" s="230">
        <v>3889100</v>
      </c>
      <c r="BJ171" s="230">
        <v>-1026300</v>
      </c>
      <c r="BK171" s="229">
        <v>-0.26390000000000002</v>
      </c>
      <c r="BL171" s="230">
        <v>1396300</v>
      </c>
      <c r="BM171" s="230">
        <v>1360500</v>
      </c>
      <c r="BN171" s="230">
        <v>35800</v>
      </c>
      <c r="BO171" s="229">
        <v>2.63E-2</v>
      </c>
      <c r="BP171" s="230">
        <v>5994400</v>
      </c>
      <c r="BQ171" s="230">
        <v>6903900</v>
      </c>
      <c r="BR171" s="230">
        <v>-909500</v>
      </c>
      <c r="BS171" s="229">
        <v>-0.13170000000000001</v>
      </c>
      <c r="BT171" s="230">
        <v>562574</v>
      </c>
      <c r="BU171" s="230">
        <v>383330</v>
      </c>
      <c r="BV171" s="230">
        <v>179244</v>
      </c>
      <c r="BW171" s="229">
        <v>0.46760000000000002</v>
      </c>
      <c r="BX171" s="230">
        <v>2966100</v>
      </c>
      <c r="BY171" s="230">
        <v>3439400</v>
      </c>
      <c r="BZ171" s="230">
        <v>-473300</v>
      </c>
      <c r="CA171" s="229">
        <v>-0.1376</v>
      </c>
      <c r="CB171" s="230">
        <v>412300</v>
      </c>
      <c r="CC171" s="230">
        <v>838200</v>
      </c>
      <c r="CD171" s="230">
        <v>-425900</v>
      </c>
      <c r="CE171" s="229">
        <v>-0.5081</v>
      </c>
      <c r="CF171" s="230">
        <v>2890800</v>
      </c>
      <c r="CG171" s="230">
        <v>2533900</v>
      </c>
      <c r="CH171" s="230">
        <v>356900</v>
      </c>
      <c r="CI171" s="229">
        <v>0.1409</v>
      </c>
      <c r="CJ171" s="230">
        <v>75300</v>
      </c>
      <c r="CK171" s="230">
        <v>67300</v>
      </c>
      <c r="CL171" s="230">
        <v>8000</v>
      </c>
      <c r="CM171" s="229">
        <v>0.11890000000000001</v>
      </c>
      <c r="CN171" s="230">
        <v>1254600</v>
      </c>
      <c r="CO171" s="230">
        <v>2736000</v>
      </c>
      <c r="CP171" s="230">
        <v>-1481400</v>
      </c>
      <c r="CQ171" s="229">
        <v>-0.54139999999999999</v>
      </c>
      <c r="CR171" s="230">
        <v>641800</v>
      </c>
      <c r="CS171" s="230">
        <v>1278000</v>
      </c>
      <c r="CT171" s="230">
        <v>-636200</v>
      </c>
      <c r="CU171" s="229">
        <v>-0.49780000000000002</v>
      </c>
      <c r="CV171" s="230">
        <v>4862500</v>
      </c>
      <c r="CW171" s="230">
        <v>7453400</v>
      </c>
      <c r="CX171" s="230">
        <v>-2590900</v>
      </c>
      <c r="CY171" s="229">
        <v>-0.34760000000000002</v>
      </c>
      <c r="CZ171" s="228">
        <v>32.340000000000003</v>
      </c>
      <c r="DA171" s="228">
        <v>32.99</v>
      </c>
      <c r="DB171" s="228">
        <v>-0.65</v>
      </c>
      <c r="DC171" s="228">
        <v>-0.65</v>
      </c>
      <c r="DD171" s="228">
        <v>43.2</v>
      </c>
      <c r="DE171" s="228">
        <v>43.31</v>
      </c>
      <c r="DF171" s="228">
        <v>-10.86</v>
      </c>
      <c r="DG171" s="228">
        <v>-0.11</v>
      </c>
      <c r="DH171" s="228">
        <v>32.36</v>
      </c>
      <c r="DI171" s="228">
        <v>33.08</v>
      </c>
      <c r="DJ171" s="228">
        <v>-0.72</v>
      </c>
      <c r="DK171" s="228">
        <v>-0.72</v>
      </c>
      <c r="DL171" s="228">
        <v>32.299999999999997</v>
      </c>
      <c r="DM171" s="228">
        <v>32.799999999999997</v>
      </c>
      <c r="DN171" s="228">
        <v>-0.5</v>
      </c>
      <c r="DO171" s="228">
        <v>-0.5</v>
      </c>
      <c r="DP171" s="228">
        <v>0.51</v>
      </c>
      <c r="DQ171" s="228">
        <v>0.47</v>
      </c>
      <c r="DR171" s="228">
        <v>0.04</v>
      </c>
      <c r="DS171" s="229">
        <v>8.5099999999999995E-2</v>
      </c>
      <c r="DT171" s="231">
        <v>6000</v>
      </c>
      <c r="DU171" s="231">
        <v>5200</v>
      </c>
      <c r="DV171" s="228">
        <v>0.49</v>
      </c>
      <c r="DW171" s="228">
        <v>0.35</v>
      </c>
      <c r="DX171" s="228">
        <v>0.14000000000000001</v>
      </c>
      <c r="DY171" s="229">
        <v>0.4</v>
      </c>
      <c r="DZ171" s="229">
        <v>0.878</v>
      </c>
      <c r="EA171" s="230">
        <v>2601200</v>
      </c>
      <c r="EB171" s="229">
        <v>3.8999999999999998E-3</v>
      </c>
      <c r="EC171" s="229">
        <v>0.878</v>
      </c>
      <c r="ED171" s="228">
        <v>23.17</v>
      </c>
      <c r="EE171" s="229">
        <v>4.4999999999999997E-3</v>
      </c>
      <c r="EF171" s="230">
        <v>267608</v>
      </c>
      <c r="EG171" s="230">
        <v>166099</v>
      </c>
      <c r="EH171" s="229">
        <v>0.61109999999999998</v>
      </c>
      <c r="EI171" s="229">
        <v>0.47570000000000001</v>
      </c>
      <c r="EJ171" s="231">
        <v>158956.26</v>
      </c>
      <c r="EK171" s="231">
        <v>71591.070000000007</v>
      </c>
      <c r="EL171" s="231">
        <v>89528.61</v>
      </c>
      <c r="EM171" s="228">
        <v>0</v>
      </c>
      <c r="EN171" s="231">
        <v>320075.94</v>
      </c>
      <c r="EO171" s="231">
        <v>369651.14</v>
      </c>
      <c r="EP171" s="231">
        <v>-49575.199999999997</v>
      </c>
      <c r="EQ171" s="229">
        <v>-0.1341</v>
      </c>
      <c r="ER171" s="231">
        <v>70686</v>
      </c>
      <c r="ES171" s="231">
        <v>32811</v>
      </c>
      <c r="ET171" s="231">
        <v>153592</v>
      </c>
      <c r="EU171" s="231">
        <v>21354101</v>
      </c>
      <c r="EV171" s="231">
        <v>257089</v>
      </c>
      <c r="EW171" s="231">
        <v>401960</v>
      </c>
      <c r="EX171" s="231">
        <v>-144871</v>
      </c>
      <c r="EY171" s="229">
        <v>-0.3604</v>
      </c>
      <c r="EZ171" s="229">
        <v>0.22770000000000001</v>
      </c>
      <c r="FA171" s="227" t="s">
        <v>568</v>
      </c>
      <c r="FB171" s="161">
        <f t="shared" si="4"/>
        <v>0</v>
      </c>
    </row>
    <row r="172" spans="1:158" ht="17.25" thickBot="1" x14ac:dyDescent="0.3">
      <c r="A172" s="226">
        <v>45869</v>
      </c>
      <c r="B172" s="227" t="s">
        <v>193</v>
      </c>
      <c r="C172" s="227" t="s">
        <v>272</v>
      </c>
      <c r="D172" s="228">
        <v>1800</v>
      </c>
      <c r="E172" s="228">
        <v>289.8</v>
      </c>
      <c r="F172" s="228">
        <v>293.89999999999998</v>
      </c>
      <c r="G172" s="228">
        <v>-4.0999999999999996</v>
      </c>
      <c r="H172" s="229">
        <v>-1.4E-2</v>
      </c>
      <c r="I172" s="228">
        <v>288.2</v>
      </c>
      <c r="J172" s="228">
        <v>292.05</v>
      </c>
      <c r="K172" s="228">
        <v>-3.85</v>
      </c>
      <c r="L172" s="229">
        <v>-1.32E-2</v>
      </c>
      <c r="M172" s="228">
        <v>288.5</v>
      </c>
      <c r="N172" s="228">
        <v>292.35000000000002</v>
      </c>
      <c r="O172" s="228">
        <v>-3.85</v>
      </c>
      <c r="P172" s="229">
        <v>-1.32E-2</v>
      </c>
      <c r="Q172" s="228">
        <v>289.8</v>
      </c>
      <c r="R172" s="228">
        <v>293.89999999999998</v>
      </c>
      <c r="S172" s="228">
        <v>-4.0999999999999996</v>
      </c>
      <c r="T172" s="229">
        <v>-1.4E-2</v>
      </c>
      <c r="U172" s="228">
        <v>291.5</v>
      </c>
      <c r="V172" s="228">
        <v>295.5</v>
      </c>
      <c r="W172" s="228">
        <v>-4</v>
      </c>
      <c r="X172" s="229">
        <v>-1.35E-2</v>
      </c>
      <c r="Y172" s="228">
        <v>1.6</v>
      </c>
      <c r="Z172" s="228">
        <v>0.3</v>
      </c>
      <c r="AA172" s="228">
        <v>1.3</v>
      </c>
      <c r="AB172" s="229">
        <v>5.5999999999999999E-3</v>
      </c>
      <c r="AC172" s="228">
        <v>0.3</v>
      </c>
      <c r="AD172" s="228">
        <v>0.3</v>
      </c>
      <c r="AE172" s="228">
        <v>0</v>
      </c>
      <c r="AF172" s="229">
        <v>1E-3</v>
      </c>
      <c r="AG172" s="228">
        <v>1.6</v>
      </c>
      <c r="AH172" s="228">
        <v>1.85</v>
      </c>
      <c r="AI172" s="228">
        <v>-0.25</v>
      </c>
      <c r="AJ172" s="229">
        <v>5.5999999999999999E-3</v>
      </c>
      <c r="AK172" s="228">
        <v>3.3</v>
      </c>
      <c r="AL172" s="228">
        <v>3.45</v>
      </c>
      <c r="AM172" s="228">
        <v>-0.15</v>
      </c>
      <c r="AN172" s="229">
        <v>1.15E-2</v>
      </c>
      <c r="AO172" s="228">
        <v>289.08</v>
      </c>
      <c r="AP172" s="228">
        <v>290.58</v>
      </c>
      <c r="AQ172" s="228">
        <v>0</v>
      </c>
      <c r="AR172" s="230">
        <v>18208800</v>
      </c>
      <c r="AS172" s="230">
        <v>22104000</v>
      </c>
      <c r="AT172" s="230">
        <v>-3895200</v>
      </c>
      <c r="AU172" s="229">
        <v>-0.1762</v>
      </c>
      <c r="AV172" s="230">
        <v>7977600</v>
      </c>
      <c r="AW172" s="230">
        <v>10465200</v>
      </c>
      <c r="AX172" s="230">
        <v>-2487600</v>
      </c>
      <c r="AY172" s="229">
        <v>-0.23769999999999999</v>
      </c>
      <c r="AZ172" s="230">
        <v>10134000</v>
      </c>
      <c r="BA172" s="230">
        <v>11543400</v>
      </c>
      <c r="BB172" s="230">
        <v>-1409400</v>
      </c>
      <c r="BC172" s="229">
        <v>-0.1221</v>
      </c>
      <c r="BD172" s="230">
        <v>97200</v>
      </c>
      <c r="BE172" s="230">
        <v>95400</v>
      </c>
      <c r="BF172" s="230">
        <v>1800</v>
      </c>
      <c r="BG172" s="229">
        <v>1.89E-2</v>
      </c>
      <c r="BH172" s="230">
        <v>16738200</v>
      </c>
      <c r="BI172" s="230">
        <v>8024400</v>
      </c>
      <c r="BJ172" s="230">
        <v>8713800</v>
      </c>
      <c r="BK172" s="229">
        <v>1.0859000000000001</v>
      </c>
      <c r="BL172" s="230">
        <v>12504600</v>
      </c>
      <c r="BM172" s="230">
        <v>6598800</v>
      </c>
      <c r="BN172" s="230">
        <v>5905800</v>
      </c>
      <c r="BO172" s="229">
        <v>0.89500000000000002</v>
      </c>
      <c r="BP172" s="230">
        <v>47451600</v>
      </c>
      <c r="BQ172" s="230">
        <v>36727200</v>
      </c>
      <c r="BR172" s="230">
        <v>10724400</v>
      </c>
      <c r="BS172" s="229">
        <v>0.29199999999999998</v>
      </c>
      <c r="BT172" s="230">
        <v>1446190</v>
      </c>
      <c r="BU172" s="230">
        <v>1667988</v>
      </c>
      <c r="BV172" s="230">
        <v>-221798</v>
      </c>
      <c r="BW172" s="229">
        <v>-0.13300000000000001</v>
      </c>
      <c r="BX172" s="230">
        <v>37605600</v>
      </c>
      <c r="BY172" s="230">
        <v>38035800</v>
      </c>
      <c r="BZ172" s="230">
        <v>-430200</v>
      </c>
      <c r="CA172" s="229">
        <v>-1.1299999999999999E-2</v>
      </c>
      <c r="CB172" s="230">
        <v>2934000</v>
      </c>
      <c r="CC172" s="230">
        <v>5684400</v>
      </c>
      <c r="CD172" s="230">
        <v>-2750400</v>
      </c>
      <c r="CE172" s="229">
        <v>-0.4839</v>
      </c>
      <c r="CF172" s="230">
        <v>37360800</v>
      </c>
      <c r="CG172" s="230">
        <v>32169600</v>
      </c>
      <c r="CH172" s="230">
        <v>5191200</v>
      </c>
      <c r="CI172" s="229">
        <v>0.16139999999999999</v>
      </c>
      <c r="CJ172" s="230">
        <v>244800</v>
      </c>
      <c r="CK172" s="230">
        <v>181800</v>
      </c>
      <c r="CL172" s="230">
        <v>63000</v>
      </c>
      <c r="CM172" s="229">
        <v>0.34649999999999997</v>
      </c>
      <c r="CN172" s="230">
        <v>9086400</v>
      </c>
      <c r="CO172" s="230">
        <v>15613200</v>
      </c>
      <c r="CP172" s="230">
        <v>-6526800</v>
      </c>
      <c r="CQ172" s="229">
        <v>-0.41799999999999998</v>
      </c>
      <c r="CR172" s="230">
        <v>7272000</v>
      </c>
      <c r="CS172" s="230">
        <v>10598400</v>
      </c>
      <c r="CT172" s="230">
        <v>-3326400</v>
      </c>
      <c r="CU172" s="229">
        <v>-0.31390000000000001</v>
      </c>
      <c r="CV172" s="230">
        <v>53964000</v>
      </c>
      <c r="CW172" s="230">
        <v>64247400</v>
      </c>
      <c r="CX172" s="230">
        <v>-10283400</v>
      </c>
      <c r="CY172" s="229">
        <v>-0.16009999999999999</v>
      </c>
      <c r="CZ172" s="228">
        <v>20.98</v>
      </c>
      <c r="DA172" s="228">
        <v>21.86</v>
      </c>
      <c r="DB172" s="228">
        <v>-0.88</v>
      </c>
      <c r="DC172" s="228">
        <v>-0.88</v>
      </c>
      <c r="DD172" s="228">
        <v>34.31</v>
      </c>
      <c r="DE172" s="228">
        <v>34.35</v>
      </c>
      <c r="DF172" s="228">
        <v>-13.33</v>
      </c>
      <c r="DG172" s="228">
        <v>-0.04</v>
      </c>
      <c r="DH172" s="228">
        <v>21.38</v>
      </c>
      <c r="DI172" s="228">
        <v>22.29</v>
      </c>
      <c r="DJ172" s="228">
        <v>-0.91</v>
      </c>
      <c r="DK172" s="228">
        <v>-0.91</v>
      </c>
      <c r="DL172" s="228">
        <v>20.309999999999999</v>
      </c>
      <c r="DM172" s="228">
        <v>21.24</v>
      </c>
      <c r="DN172" s="228">
        <v>-0.93</v>
      </c>
      <c r="DO172" s="228">
        <v>-0.93</v>
      </c>
      <c r="DP172" s="228">
        <v>0.8</v>
      </c>
      <c r="DQ172" s="228">
        <v>0.68</v>
      </c>
      <c r="DR172" s="228">
        <v>0.12</v>
      </c>
      <c r="DS172" s="229">
        <v>0.17649999999999999</v>
      </c>
      <c r="DT172" s="228">
        <v>310</v>
      </c>
      <c r="DU172" s="228">
        <v>310</v>
      </c>
      <c r="DV172" s="228">
        <v>0.75</v>
      </c>
      <c r="DW172" s="228">
        <v>0.82</v>
      </c>
      <c r="DX172" s="228">
        <v>-7.0000000000000007E-2</v>
      </c>
      <c r="DY172" s="229">
        <v>-8.5400000000000004E-2</v>
      </c>
      <c r="DZ172" s="229">
        <v>0.92759999999999998</v>
      </c>
      <c r="EA172" s="230">
        <v>32351400</v>
      </c>
      <c r="EB172" s="229">
        <v>4.4999999999999997E-3</v>
      </c>
      <c r="EC172" s="229">
        <v>0.92759999999999998</v>
      </c>
      <c r="ED172" s="228">
        <v>1.5</v>
      </c>
      <c r="EE172" s="229">
        <v>5.1999999999999998E-3</v>
      </c>
      <c r="EF172" s="230">
        <v>708913</v>
      </c>
      <c r="EG172" s="230">
        <v>788276</v>
      </c>
      <c r="EH172" s="229">
        <v>-0.1007</v>
      </c>
      <c r="EI172" s="229">
        <v>0.49020000000000002</v>
      </c>
      <c r="EJ172" s="231">
        <v>51548.7</v>
      </c>
      <c r="EK172" s="231">
        <v>39643.74</v>
      </c>
      <c r="EL172" s="231">
        <v>52793.35</v>
      </c>
      <c r="EM172" s="228">
        <v>0</v>
      </c>
      <c r="EN172" s="231">
        <v>143985.79</v>
      </c>
      <c r="EO172" s="231">
        <v>109424.57</v>
      </c>
      <c r="EP172" s="231">
        <v>34561.22</v>
      </c>
      <c r="EQ172" s="229">
        <v>0.31580000000000003</v>
      </c>
      <c r="ER172" s="231">
        <v>28002</v>
      </c>
      <c r="ES172" s="231">
        <v>21844</v>
      </c>
      <c r="ET172" s="231">
        <v>108985</v>
      </c>
      <c r="EU172" s="231">
        <v>150000017</v>
      </c>
      <c r="EV172" s="231">
        <v>158831</v>
      </c>
      <c r="EW172" s="231">
        <v>192289</v>
      </c>
      <c r="EX172" s="231">
        <v>-33458</v>
      </c>
      <c r="EY172" s="229">
        <v>-0.17399999999999999</v>
      </c>
      <c r="EZ172" s="229">
        <v>0.35980000000000001</v>
      </c>
      <c r="FA172" s="227" t="s">
        <v>568</v>
      </c>
      <c r="FB172" s="161">
        <f t="shared" si="4"/>
        <v>0</v>
      </c>
    </row>
    <row r="173" spans="1:158" ht="17.25" thickBot="1" x14ac:dyDescent="0.3">
      <c r="A173" s="226">
        <v>45869</v>
      </c>
      <c r="B173" s="227" t="s">
        <v>175</v>
      </c>
      <c r="C173" s="227" t="s">
        <v>273</v>
      </c>
      <c r="D173" s="228">
        <v>1300</v>
      </c>
      <c r="E173" s="228">
        <v>408.95</v>
      </c>
      <c r="F173" s="228">
        <v>410.95</v>
      </c>
      <c r="G173" s="228">
        <v>-2</v>
      </c>
      <c r="H173" s="229">
        <v>-4.8999999999999998E-3</v>
      </c>
      <c r="I173" s="228">
        <v>409.95</v>
      </c>
      <c r="J173" s="228">
        <v>411.9</v>
      </c>
      <c r="K173" s="228">
        <v>-1.95</v>
      </c>
      <c r="L173" s="229">
        <v>-4.7000000000000002E-3</v>
      </c>
      <c r="M173" s="228">
        <v>409.4</v>
      </c>
      <c r="N173" s="228">
        <v>411.2</v>
      </c>
      <c r="O173" s="228">
        <v>-1.8</v>
      </c>
      <c r="P173" s="229">
        <v>-4.4000000000000003E-3</v>
      </c>
      <c r="Q173" s="228">
        <v>408.95</v>
      </c>
      <c r="R173" s="228">
        <v>410.95</v>
      </c>
      <c r="S173" s="228">
        <v>-2</v>
      </c>
      <c r="T173" s="229">
        <v>-4.8999999999999998E-3</v>
      </c>
      <c r="U173" s="228">
        <v>410.45</v>
      </c>
      <c r="V173" s="228">
        <v>412.2</v>
      </c>
      <c r="W173" s="228">
        <v>-1.75</v>
      </c>
      <c r="X173" s="229">
        <v>-4.1999999999999997E-3</v>
      </c>
      <c r="Y173" s="228">
        <v>-1</v>
      </c>
      <c r="Z173" s="228">
        <v>-0.7</v>
      </c>
      <c r="AA173" s="228">
        <v>-0.3</v>
      </c>
      <c r="AB173" s="229">
        <v>-2.3999999999999998E-3</v>
      </c>
      <c r="AC173" s="228">
        <v>-0.55000000000000004</v>
      </c>
      <c r="AD173" s="228">
        <v>-0.7</v>
      </c>
      <c r="AE173" s="228">
        <v>0.15</v>
      </c>
      <c r="AF173" s="229">
        <v>-1.2999999999999999E-3</v>
      </c>
      <c r="AG173" s="228">
        <v>-1</v>
      </c>
      <c r="AH173" s="228">
        <v>-0.95</v>
      </c>
      <c r="AI173" s="228">
        <v>-0.05</v>
      </c>
      <c r="AJ173" s="229">
        <v>-2.3999999999999998E-3</v>
      </c>
      <c r="AK173" s="228">
        <v>0.5</v>
      </c>
      <c r="AL173" s="228">
        <v>0.3</v>
      </c>
      <c r="AM173" s="228">
        <v>0.2</v>
      </c>
      <c r="AN173" s="229">
        <v>1.1999999999999999E-3</v>
      </c>
      <c r="AO173" s="228">
        <v>408.8</v>
      </c>
      <c r="AP173" s="228">
        <v>408.19</v>
      </c>
      <c r="AQ173" s="228">
        <v>0</v>
      </c>
      <c r="AR173" s="230">
        <v>33647900</v>
      </c>
      <c r="AS173" s="230">
        <v>37259300</v>
      </c>
      <c r="AT173" s="230">
        <v>-3611400</v>
      </c>
      <c r="AU173" s="229">
        <v>-9.69E-2</v>
      </c>
      <c r="AV173" s="230">
        <v>16295500</v>
      </c>
      <c r="AW173" s="230">
        <v>18391100</v>
      </c>
      <c r="AX173" s="230">
        <v>-2095600</v>
      </c>
      <c r="AY173" s="229">
        <v>-0.1139</v>
      </c>
      <c r="AZ173" s="230">
        <v>15126800</v>
      </c>
      <c r="BA173" s="230">
        <v>15951000</v>
      </c>
      <c r="BB173" s="230">
        <v>-824200</v>
      </c>
      <c r="BC173" s="229">
        <v>-5.1700000000000003E-2</v>
      </c>
      <c r="BD173" s="230">
        <v>2225600</v>
      </c>
      <c r="BE173" s="230">
        <v>2917200</v>
      </c>
      <c r="BF173" s="230">
        <v>-691600</v>
      </c>
      <c r="BG173" s="229">
        <v>-0.23710000000000001</v>
      </c>
      <c r="BH173" s="230">
        <v>19241300</v>
      </c>
      <c r="BI173" s="230">
        <v>19293300</v>
      </c>
      <c r="BJ173" s="230">
        <v>-52000</v>
      </c>
      <c r="BK173" s="229">
        <v>-2.7000000000000001E-3</v>
      </c>
      <c r="BL173" s="230">
        <v>14822600</v>
      </c>
      <c r="BM173" s="230">
        <v>14730300</v>
      </c>
      <c r="BN173" s="230">
        <v>92300</v>
      </c>
      <c r="BO173" s="229">
        <v>6.3E-3</v>
      </c>
      <c r="BP173" s="230">
        <v>67711800</v>
      </c>
      <c r="BQ173" s="230">
        <v>71282900</v>
      </c>
      <c r="BR173" s="230">
        <v>-3571100</v>
      </c>
      <c r="BS173" s="229">
        <v>-5.0099999999999999E-2</v>
      </c>
      <c r="BT173" s="230">
        <v>4118055</v>
      </c>
      <c r="BU173" s="230">
        <v>2309442</v>
      </c>
      <c r="BV173" s="230">
        <v>1808613</v>
      </c>
      <c r="BW173" s="229">
        <v>0.78310000000000002</v>
      </c>
      <c r="BX173" s="230">
        <v>48664200</v>
      </c>
      <c r="BY173" s="230">
        <v>55979300</v>
      </c>
      <c r="BZ173" s="230">
        <v>-7315100</v>
      </c>
      <c r="CA173" s="229">
        <v>-0.13070000000000001</v>
      </c>
      <c r="CB173" s="230">
        <v>6143800</v>
      </c>
      <c r="CC173" s="230">
        <v>15238600</v>
      </c>
      <c r="CD173" s="230">
        <v>-9094800</v>
      </c>
      <c r="CE173" s="229">
        <v>-0.5968</v>
      </c>
      <c r="CF173" s="230">
        <v>40116700</v>
      </c>
      <c r="CG173" s="230">
        <v>33722000</v>
      </c>
      <c r="CH173" s="230">
        <v>6394700</v>
      </c>
      <c r="CI173" s="229">
        <v>0.18959999999999999</v>
      </c>
      <c r="CJ173" s="230">
        <v>8547500</v>
      </c>
      <c r="CK173" s="230">
        <v>7018700</v>
      </c>
      <c r="CL173" s="230">
        <v>1528800</v>
      </c>
      <c r="CM173" s="229">
        <v>0.21779999999999999</v>
      </c>
      <c r="CN173" s="230">
        <v>12223900</v>
      </c>
      <c r="CO173" s="230">
        <v>22375600</v>
      </c>
      <c r="CP173" s="230">
        <v>-10151700</v>
      </c>
      <c r="CQ173" s="229">
        <v>-0.45369999999999999</v>
      </c>
      <c r="CR173" s="230">
        <v>12669800</v>
      </c>
      <c r="CS173" s="230">
        <v>17295200</v>
      </c>
      <c r="CT173" s="230">
        <v>-4625400</v>
      </c>
      <c r="CU173" s="229">
        <v>-0.26740000000000003</v>
      </c>
      <c r="CV173" s="230">
        <v>73557900</v>
      </c>
      <c r="CW173" s="230">
        <v>95650100</v>
      </c>
      <c r="CX173" s="230">
        <v>-22092200</v>
      </c>
      <c r="CY173" s="229">
        <v>-0.23100000000000001</v>
      </c>
      <c r="CZ173" s="228">
        <v>30.9</v>
      </c>
      <c r="DA173" s="228">
        <v>30.32</v>
      </c>
      <c r="DB173" s="228">
        <v>0.57999999999999996</v>
      </c>
      <c r="DC173" s="228">
        <v>0.57999999999999996</v>
      </c>
      <c r="DD173" s="228">
        <v>48.84</v>
      </c>
      <c r="DE173" s="228">
        <v>48.96</v>
      </c>
      <c r="DF173" s="228">
        <v>-17.940000000000001</v>
      </c>
      <c r="DG173" s="228">
        <v>-0.12</v>
      </c>
      <c r="DH173" s="228">
        <v>30.88</v>
      </c>
      <c r="DI173" s="228">
        <v>30.8</v>
      </c>
      <c r="DJ173" s="228">
        <v>0.08</v>
      </c>
      <c r="DK173" s="228">
        <v>0.08</v>
      </c>
      <c r="DL173" s="228">
        <v>30.93</v>
      </c>
      <c r="DM173" s="228">
        <v>29.87</v>
      </c>
      <c r="DN173" s="228">
        <v>1.06</v>
      </c>
      <c r="DO173" s="228">
        <v>1.06</v>
      </c>
      <c r="DP173" s="228">
        <v>1.04</v>
      </c>
      <c r="DQ173" s="228">
        <v>0.77</v>
      </c>
      <c r="DR173" s="228">
        <v>0.27</v>
      </c>
      <c r="DS173" s="229">
        <v>0.35060000000000002</v>
      </c>
      <c r="DT173" s="228">
        <v>420</v>
      </c>
      <c r="DU173" s="228">
        <v>400</v>
      </c>
      <c r="DV173" s="228">
        <v>0.77</v>
      </c>
      <c r="DW173" s="228">
        <v>0.76</v>
      </c>
      <c r="DX173" s="228">
        <v>0.01</v>
      </c>
      <c r="DY173" s="229">
        <v>1.32E-2</v>
      </c>
      <c r="DZ173" s="229">
        <v>0.88790000000000002</v>
      </c>
      <c r="EA173" s="230">
        <v>40740700</v>
      </c>
      <c r="EB173" s="229">
        <v>-1.1000000000000001E-3</v>
      </c>
      <c r="EC173" s="229">
        <v>0.88790000000000002</v>
      </c>
      <c r="ED173" s="228">
        <v>-0.61</v>
      </c>
      <c r="EE173" s="229">
        <v>-1.5E-3</v>
      </c>
      <c r="EF173" s="230">
        <v>1886484</v>
      </c>
      <c r="EG173" s="230">
        <v>1017938</v>
      </c>
      <c r="EH173" s="229">
        <v>0.85319999999999996</v>
      </c>
      <c r="EI173" s="229">
        <v>0.45810000000000001</v>
      </c>
      <c r="EJ173" s="231">
        <v>82895.59</v>
      </c>
      <c r="EK173" s="231">
        <v>61764.41</v>
      </c>
      <c r="EL173" s="231">
        <v>137470.70000000001</v>
      </c>
      <c r="EM173" s="228">
        <v>0</v>
      </c>
      <c r="EN173" s="231">
        <v>282130.7</v>
      </c>
      <c r="EO173" s="231">
        <v>299016.33</v>
      </c>
      <c r="EP173" s="231">
        <v>-16885.63</v>
      </c>
      <c r="EQ173" s="229">
        <v>-5.6500000000000002E-2</v>
      </c>
      <c r="ER173" s="231">
        <v>52973</v>
      </c>
      <c r="ES173" s="231">
        <v>52197</v>
      </c>
      <c r="ET173" s="231">
        <v>199140</v>
      </c>
      <c r="EU173" s="231">
        <v>290447407</v>
      </c>
      <c r="EV173" s="231">
        <v>304310</v>
      </c>
      <c r="EW173" s="231">
        <v>399312</v>
      </c>
      <c r="EX173" s="231">
        <v>-95002</v>
      </c>
      <c r="EY173" s="229">
        <v>-0.2379</v>
      </c>
      <c r="EZ173" s="229">
        <v>0.25330000000000003</v>
      </c>
      <c r="FA173" s="227" t="s">
        <v>568</v>
      </c>
      <c r="FB173" s="161">
        <f t="shared" si="4"/>
        <v>0</v>
      </c>
    </row>
    <row r="174" spans="1:158" ht="17.25" thickBot="1" x14ac:dyDescent="0.3">
      <c r="A174" s="226">
        <v>45869</v>
      </c>
      <c r="B174" s="227" t="s">
        <v>184</v>
      </c>
      <c r="C174" s="227" t="s">
        <v>682</v>
      </c>
      <c r="D174" s="228">
        <v>700</v>
      </c>
      <c r="E174" s="228">
        <v>817.6</v>
      </c>
      <c r="F174" s="228">
        <v>810.5</v>
      </c>
      <c r="G174" s="228">
        <v>7.1</v>
      </c>
      <c r="H174" s="229">
        <v>8.8000000000000005E-3</v>
      </c>
      <c r="I174" s="228">
        <v>811.65</v>
      </c>
      <c r="J174" s="228">
        <v>805.4</v>
      </c>
      <c r="K174" s="228">
        <v>6.25</v>
      </c>
      <c r="L174" s="229">
        <v>7.7999999999999996E-3</v>
      </c>
      <c r="M174" s="228">
        <v>811.95</v>
      </c>
      <c r="N174" s="228">
        <v>806.1</v>
      </c>
      <c r="O174" s="228">
        <v>5.85</v>
      </c>
      <c r="P174" s="229">
        <v>7.3000000000000001E-3</v>
      </c>
      <c r="Q174" s="228">
        <v>817.6</v>
      </c>
      <c r="R174" s="228">
        <v>810.5</v>
      </c>
      <c r="S174" s="228">
        <v>7.1</v>
      </c>
      <c r="T174" s="229">
        <v>8.8000000000000005E-3</v>
      </c>
      <c r="U174" s="228">
        <v>823.25</v>
      </c>
      <c r="V174" s="228">
        <v>814.65</v>
      </c>
      <c r="W174" s="228">
        <v>8.6</v>
      </c>
      <c r="X174" s="229">
        <v>1.06E-2</v>
      </c>
      <c r="Y174" s="228">
        <v>5.95</v>
      </c>
      <c r="Z174" s="228">
        <v>0.7</v>
      </c>
      <c r="AA174" s="228">
        <v>5.25</v>
      </c>
      <c r="AB174" s="229">
        <v>7.3000000000000001E-3</v>
      </c>
      <c r="AC174" s="228">
        <v>0.3</v>
      </c>
      <c r="AD174" s="228">
        <v>0.7</v>
      </c>
      <c r="AE174" s="228">
        <v>-0.4</v>
      </c>
      <c r="AF174" s="229">
        <v>4.0000000000000002E-4</v>
      </c>
      <c r="AG174" s="228">
        <v>5.95</v>
      </c>
      <c r="AH174" s="228">
        <v>5.0999999999999996</v>
      </c>
      <c r="AI174" s="228">
        <v>0.85</v>
      </c>
      <c r="AJ174" s="229">
        <v>7.3000000000000001E-3</v>
      </c>
      <c r="AK174" s="228">
        <v>11.6</v>
      </c>
      <c r="AL174" s="228">
        <v>9.25</v>
      </c>
      <c r="AM174" s="228">
        <v>2.35</v>
      </c>
      <c r="AN174" s="229">
        <v>1.43E-2</v>
      </c>
      <c r="AO174" s="228">
        <v>810.9</v>
      </c>
      <c r="AP174" s="228">
        <v>815.95</v>
      </c>
      <c r="AQ174" s="228">
        <v>0</v>
      </c>
      <c r="AR174" s="230">
        <v>6042400</v>
      </c>
      <c r="AS174" s="230">
        <v>4451300</v>
      </c>
      <c r="AT174" s="230">
        <v>1591100</v>
      </c>
      <c r="AU174" s="229">
        <v>0.3574</v>
      </c>
      <c r="AV174" s="230">
        <v>1922200</v>
      </c>
      <c r="AW174" s="230">
        <v>1929900</v>
      </c>
      <c r="AX174" s="230">
        <v>-7700</v>
      </c>
      <c r="AY174" s="229">
        <v>-4.0000000000000001E-3</v>
      </c>
      <c r="AZ174" s="230">
        <v>4080300</v>
      </c>
      <c r="BA174" s="230">
        <v>2506700</v>
      </c>
      <c r="BB174" s="230">
        <v>1573600</v>
      </c>
      <c r="BC174" s="229">
        <v>0.62780000000000002</v>
      </c>
      <c r="BD174" s="230">
        <v>39900</v>
      </c>
      <c r="BE174" s="230">
        <v>14700</v>
      </c>
      <c r="BF174" s="230">
        <v>25200</v>
      </c>
      <c r="BG174" s="229">
        <v>1.7142999999999999</v>
      </c>
      <c r="BH174" s="230">
        <v>3087700</v>
      </c>
      <c r="BI174" s="230">
        <v>2450700</v>
      </c>
      <c r="BJ174" s="230">
        <v>637000</v>
      </c>
      <c r="BK174" s="229">
        <v>0.25990000000000002</v>
      </c>
      <c r="BL174" s="230">
        <v>777000</v>
      </c>
      <c r="BM174" s="230">
        <v>793100</v>
      </c>
      <c r="BN174" s="230">
        <v>-16100</v>
      </c>
      <c r="BO174" s="229">
        <v>-2.0299999999999999E-2</v>
      </c>
      <c r="BP174" s="230">
        <v>9907100</v>
      </c>
      <c r="BQ174" s="230">
        <v>7695100</v>
      </c>
      <c r="BR174" s="230">
        <v>2212000</v>
      </c>
      <c r="BS174" s="229">
        <v>0.28749999999999998</v>
      </c>
      <c r="BT174" s="230">
        <v>2349927</v>
      </c>
      <c r="BU174" s="230">
        <v>1073075</v>
      </c>
      <c r="BV174" s="230">
        <v>1276852</v>
      </c>
      <c r="BW174" s="229">
        <v>1.1899</v>
      </c>
      <c r="BX174" s="230">
        <v>6881000</v>
      </c>
      <c r="BY174" s="230">
        <v>6729100</v>
      </c>
      <c r="BZ174" s="230">
        <v>151900</v>
      </c>
      <c r="CA174" s="229">
        <v>2.2599999999999999E-2</v>
      </c>
      <c r="CB174" s="230">
        <v>205100</v>
      </c>
      <c r="CC174" s="230">
        <v>1215200</v>
      </c>
      <c r="CD174" s="230">
        <v>-1010100</v>
      </c>
      <c r="CE174" s="229">
        <v>-0.83120000000000005</v>
      </c>
      <c r="CF174" s="230">
        <v>6827800</v>
      </c>
      <c r="CG174" s="230">
        <v>5475400</v>
      </c>
      <c r="CH174" s="230">
        <v>1352400</v>
      </c>
      <c r="CI174" s="229">
        <v>0.247</v>
      </c>
      <c r="CJ174" s="230">
        <v>53200</v>
      </c>
      <c r="CK174" s="230">
        <v>38500</v>
      </c>
      <c r="CL174" s="230">
        <v>14700</v>
      </c>
      <c r="CM174" s="229">
        <v>0.38179999999999997</v>
      </c>
      <c r="CN174" s="230">
        <v>806400</v>
      </c>
      <c r="CO174" s="230">
        <v>1659700</v>
      </c>
      <c r="CP174" s="230">
        <v>-853300</v>
      </c>
      <c r="CQ174" s="229">
        <v>-0.5141</v>
      </c>
      <c r="CR174" s="230">
        <v>341600</v>
      </c>
      <c r="CS174" s="230">
        <v>922600</v>
      </c>
      <c r="CT174" s="230">
        <v>-581000</v>
      </c>
      <c r="CU174" s="229">
        <v>-0.62970000000000004</v>
      </c>
      <c r="CV174" s="230">
        <v>8029000</v>
      </c>
      <c r="CW174" s="230">
        <v>9311400</v>
      </c>
      <c r="CX174" s="230">
        <v>-1282400</v>
      </c>
      <c r="CY174" s="229">
        <v>-0.13769999999999999</v>
      </c>
      <c r="CZ174" s="228">
        <v>41.56</v>
      </c>
      <c r="DA174" s="228">
        <v>41.15</v>
      </c>
      <c r="DB174" s="228">
        <v>0.41</v>
      </c>
      <c r="DC174" s="228">
        <v>0.41</v>
      </c>
      <c r="DD174" s="228">
        <v>64.56</v>
      </c>
      <c r="DE174" s="228">
        <v>64.72</v>
      </c>
      <c r="DF174" s="228">
        <v>-23</v>
      </c>
      <c r="DG174" s="228">
        <v>-0.16</v>
      </c>
      <c r="DH174" s="228">
        <v>41.52</v>
      </c>
      <c r="DI174" s="228">
        <v>41.24</v>
      </c>
      <c r="DJ174" s="228">
        <v>0.28000000000000003</v>
      </c>
      <c r="DK174" s="228">
        <v>0.28000000000000003</v>
      </c>
      <c r="DL174" s="228">
        <v>41.72</v>
      </c>
      <c r="DM174" s="228">
        <v>40.83</v>
      </c>
      <c r="DN174" s="228">
        <v>0.89</v>
      </c>
      <c r="DO174" s="228">
        <v>0.89</v>
      </c>
      <c r="DP174" s="228">
        <v>0.42</v>
      </c>
      <c r="DQ174" s="228">
        <v>0.56000000000000005</v>
      </c>
      <c r="DR174" s="228">
        <v>-0.14000000000000001</v>
      </c>
      <c r="DS174" s="229">
        <v>-0.25</v>
      </c>
      <c r="DT174" s="228">
        <v>840</v>
      </c>
      <c r="DU174" s="228">
        <v>800</v>
      </c>
      <c r="DV174" s="228">
        <v>0.25</v>
      </c>
      <c r="DW174" s="228">
        <v>0.32</v>
      </c>
      <c r="DX174" s="228">
        <v>-7.0000000000000007E-2</v>
      </c>
      <c r="DY174" s="229">
        <v>-0.21879999999999999</v>
      </c>
      <c r="DZ174" s="229">
        <v>0.97109999999999996</v>
      </c>
      <c r="EA174" s="230">
        <v>5513900</v>
      </c>
      <c r="EB174" s="229">
        <v>7.0000000000000001E-3</v>
      </c>
      <c r="EC174" s="229">
        <v>0.97109999999999996</v>
      </c>
      <c r="ED174" s="228">
        <v>5.05</v>
      </c>
      <c r="EE174" s="229">
        <v>6.1999999999999998E-3</v>
      </c>
      <c r="EF174" s="230">
        <v>692295</v>
      </c>
      <c r="EG174" s="230">
        <v>362135</v>
      </c>
      <c r="EH174" s="229">
        <v>0.91169999999999995</v>
      </c>
      <c r="EI174" s="229">
        <v>0.29459999999999997</v>
      </c>
      <c r="EJ174" s="231">
        <v>26194.87</v>
      </c>
      <c r="EK174" s="231">
        <v>6187.69</v>
      </c>
      <c r="EL174" s="231">
        <v>49206.94</v>
      </c>
      <c r="EM174" s="228">
        <v>0</v>
      </c>
      <c r="EN174" s="231">
        <v>81589.5</v>
      </c>
      <c r="EO174" s="231">
        <v>62883.99</v>
      </c>
      <c r="EP174" s="231">
        <v>18705.509999999998</v>
      </c>
      <c r="EQ174" s="229">
        <v>0.29749999999999999</v>
      </c>
      <c r="ER174" s="231">
        <v>6732</v>
      </c>
      <c r="ES174" s="231">
        <v>2637</v>
      </c>
      <c r="ET174" s="231">
        <v>56262</v>
      </c>
      <c r="EU174" s="231">
        <v>28664814</v>
      </c>
      <c r="EV174" s="231">
        <v>65631</v>
      </c>
      <c r="EW174" s="231">
        <v>75112</v>
      </c>
      <c r="EX174" s="231">
        <v>-9481</v>
      </c>
      <c r="EY174" s="229">
        <v>-0.12620000000000001</v>
      </c>
      <c r="EZ174" s="229">
        <v>0.28010000000000002</v>
      </c>
      <c r="FA174" s="227" t="s">
        <v>555</v>
      </c>
      <c r="FB174" s="161">
        <f t="shared" si="4"/>
        <v>0</v>
      </c>
    </row>
    <row r="175" spans="1:158" ht="17.25" thickBot="1" x14ac:dyDescent="0.3">
      <c r="A175" s="226">
        <v>45869</v>
      </c>
      <c r="B175" s="227" t="s">
        <v>206</v>
      </c>
      <c r="C175" s="227" t="s">
        <v>646</v>
      </c>
      <c r="D175" s="228">
        <v>350</v>
      </c>
      <c r="E175" s="231">
        <v>1490.9</v>
      </c>
      <c r="F175" s="231">
        <v>1509.2</v>
      </c>
      <c r="G175" s="228">
        <v>-18.3</v>
      </c>
      <c r="H175" s="229">
        <v>-1.21E-2</v>
      </c>
      <c r="I175" s="231">
        <v>1484</v>
      </c>
      <c r="J175" s="231">
        <v>1501.8</v>
      </c>
      <c r="K175" s="228">
        <v>-17.8</v>
      </c>
      <c r="L175" s="229">
        <v>-1.1900000000000001E-2</v>
      </c>
      <c r="M175" s="231">
        <v>1485.2</v>
      </c>
      <c r="N175" s="231">
        <v>1501.4</v>
      </c>
      <c r="O175" s="228">
        <v>-16.2</v>
      </c>
      <c r="P175" s="229">
        <v>-1.0800000000000001E-2</v>
      </c>
      <c r="Q175" s="231">
        <v>1490.9</v>
      </c>
      <c r="R175" s="231">
        <v>1509.2</v>
      </c>
      <c r="S175" s="228">
        <v>-18.3</v>
      </c>
      <c r="T175" s="229">
        <v>-1.21E-2</v>
      </c>
      <c r="U175" s="231">
        <v>1495.6</v>
      </c>
      <c r="V175" s="231">
        <v>1516.6</v>
      </c>
      <c r="W175" s="228">
        <v>-21</v>
      </c>
      <c r="X175" s="229">
        <v>-1.38E-2</v>
      </c>
      <c r="Y175" s="228">
        <v>6.9</v>
      </c>
      <c r="Z175" s="228">
        <v>-0.4</v>
      </c>
      <c r="AA175" s="228">
        <v>7.3</v>
      </c>
      <c r="AB175" s="229">
        <v>4.5999999999999999E-3</v>
      </c>
      <c r="AC175" s="228">
        <v>1.2</v>
      </c>
      <c r="AD175" s="228">
        <v>-0.4</v>
      </c>
      <c r="AE175" s="228">
        <v>1.6</v>
      </c>
      <c r="AF175" s="229">
        <v>8.0000000000000004E-4</v>
      </c>
      <c r="AG175" s="228">
        <v>6.9</v>
      </c>
      <c r="AH175" s="228">
        <v>7.4</v>
      </c>
      <c r="AI175" s="228">
        <v>-0.5</v>
      </c>
      <c r="AJ175" s="229">
        <v>4.5999999999999999E-3</v>
      </c>
      <c r="AK175" s="228">
        <v>11.6</v>
      </c>
      <c r="AL175" s="228">
        <v>14.8</v>
      </c>
      <c r="AM175" s="228">
        <v>-3.2</v>
      </c>
      <c r="AN175" s="229">
        <v>7.7999999999999996E-3</v>
      </c>
      <c r="AO175" s="231">
        <v>1481.31</v>
      </c>
      <c r="AP175" s="231">
        <v>1487.79</v>
      </c>
      <c r="AQ175" s="228">
        <v>0</v>
      </c>
      <c r="AR175" s="230">
        <v>2241750</v>
      </c>
      <c r="AS175" s="230">
        <v>2563400</v>
      </c>
      <c r="AT175" s="230">
        <v>-321650</v>
      </c>
      <c r="AU175" s="229">
        <v>-0.1255</v>
      </c>
      <c r="AV175" s="230">
        <v>1072050</v>
      </c>
      <c r="AW175" s="230">
        <v>1255800</v>
      </c>
      <c r="AX175" s="230">
        <v>-183750</v>
      </c>
      <c r="AY175" s="229">
        <v>-0.14630000000000001</v>
      </c>
      <c r="AZ175" s="230">
        <v>1162350</v>
      </c>
      <c r="BA175" s="230">
        <v>1303750</v>
      </c>
      <c r="BB175" s="230">
        <v>-141400</v>
      </c>
      <c r="BC175" s="229">
        <v>-0.1085</v>
      </c>
      <c r="BD175" s="230">
        <v>7350</v>
      </c>
      <c r="BE175" s="230">
        <v>3850</v>
      </c>
      <c r="BF175" s="230">
        <v>3500</v>
      </c>
      <c r="BG175" s="229">
        <v>0.90910000000000002</v>
      </c>
      <c r="BH175" s="230">
        <v>675150</v>
      </c>
      <c r="BI175" s="230">
        <v>1069250</v>
      </c>
      <c r="BJ175" s="230">
        <v>-394100</v>
      </c>
      <c r="BK175" s="229">
        <v>-0.36859999999999998</v>
      </c>
      <c r="BL175" s="230">
        <v>281050</v>
      </c>
      <c r="BM175" s="230">
        <v>252000</v>
      </c>
      <c r="BN175" s="230">
        <v>29050</v>
      </c>
      <c r="BO175" s="229">
        <v>0.1153</v>
      </c>
      <c r="BP175" s="230">
        <v>3197950</v>
      </c>
      <c r="BQ175" s="230">
        <v>3884650</v>
      </c>
      <c r="BR175" s="230">
        <v>-686700</v>
      </c>
      <c r="BS175" s="229">
        <v>-0.17680000000000001</v>
      </c>
      <c r="BT175" s="230">
        <v>490950</v>
      </c>
      <c r="BU175" s="230">
        <v>363464</v>
      </c>
      <c r="BV175" s="230">
        <v>127486</v>
      </c>
      <c r="BW175" s="229">
        <v>0.3508</v>
      </c>
      <c r="BX175" s="230">
        <v>4010650</v>
      </c>
      <c r="BY175" s="230">
        <v>4649050</v>
      </c>
      <c r="BZ175" s="230">
        <v>-638400</v>
      </c>
      <c r="CA175" s="229">
        <v>-0.13730000000000001</v>
      </c>
      <c r="CB175" s="230">
        <v>640850</v>
      </c>
      <c r="CC175" s="230">
        <v>1407700</v>
      </c>
      <c r="CD175" s="230">
        <v>-766850</v>
      </c>
      <c r="CE175" s="229">
        <v>-0.54479999999999995</v>
      </c>
      <c r="CF175" s="230">
        <v>3990700</v>
      </c>
      <c r="CG175" s="230">
        <v>3223150</v>
      </c>
      <c r="CH175" s="230">
        <v>767550</v>
      </c>
      <c r="CI175" s="229">
        <v>0.23810000000000001</v>
      </c>
      <c r="CJ175" s="230">
        <v>19950</v>
      </c>
      <c r="CK175" s="230">
        <v>18200</v>
      </c>
      <c r="CL175" s="230">
        <v>1750</v>
      </c>
      <c r="CM175" s="229">
        <v>9.6199999999999994E-2</v>
      </c>
      <c r="CN175" s="230">
        <v>297150</v>
      </c>
      <c r="CO175" s="230">
        <v>1110550</v>
      </c>
      <c r="CP175" s="230">
        <v>-813400</v>
      </c>
      <c r="CQ175" s="229">
        <v>-0.73240000000000005</v>
      </c>
      <c r="CR175" s="230">
        <v>173600</v>
      </c>
      <c r="CS175" s="230">
        <v>584500</v>
      </c>
      <c r="CT175" s="230">
        <v>-410900</v>
      </c>
      <c r="CU175" s="229">
        <v>-0.70299999999999996</v>
      </c>
      <c r="CV175" s="230">
        <v>4481400</v>
      </c>
      <c r="CW175" s="230">
        <v>6344100</v>
      </c>
      <c r="CX175" s="230">
        <v>-1862700</v>
      </c>
      <c r="CY175" s="229">
        <v>-0.29360000000000003</v>
      </c>
      <c r="CZ175" s="228">
        <v>30.23</v>
      </c>
      <c r="DA175" s="228">
        <v>30.4</v>
      </c>
      <c r="DB175" s="228">
        <v>-0.17</v>
      </c>
      <c r="DC175" s="228">
        <v>-0.17</v>
      </c>
      <c r="DD175" s="228">
        <v>47.72</v>
      </c>
      <c r="DE175" s="228">
        <v>47.81</v>
      </c>
      <c r="DF175" s="228">
        <v>-17.489999999999998</v>
      </c>
      <c r="DG175" s="228">
        <v>-0.09</v>
      </c>
      <c r="DH175" s="228">
        <v>30.17</v>
      </c>
      <c r="DI175" s="228">
        <v>30.19</v>
      </c>
      <c r="DJ175" s="228">
        <v>-0.02</v>
      </c>
      <c r="DK175" s="228">
        <v>-0.02</v>
      </c>
      <c r="DL175" s="228">
        <v>30.32</v>
      </c>
      <c r="DM175" s="228">
        <v>31.14</v>
      </c>
      <c r="DN175" s="228">
        <v>-0.82</v>
      </c>
      <c r="DO175" s="228">
        <v>-0.82</v>
      </c>
      <c r="DP175" s="228">
        <v>0.57999999999999996</v>
      </c>
      <c r="DQ175" s="228">
        <v>0.53</v>
      </c>
      <c r="DR175" s="228">
        <v>0.05</v>
      </c>
      <c r="DS175" s="229">
        <v>9.4299999999999995E-2</v>
      </c>
      <c r="DT175" s="231">
        <v>1600</v>
      </c>
      <c r="DU175" s="231">
        <v>1500</v>
      </c>
      <c r="DV175" s="228">
        <v>0.42</v>
      </c>
      <c r="DW175" s="228">
        <v>0.24</v>
      </c>
      <c r="DX175" s="228">
        <v>0.18</v>
      </c>
      <c r="DY175" s="229">
        <v>0.75</v>
      </c>
      <c r="DZ175" s="229">
        <v>0.86219999999999997</v>
      </c>
      <c r="EA175" s="230">
        <v>3241350</v>
      </c>
      <c r="EB175" s="229">
        <v>3.8E-3</v>
      </c>
      <c r="EC175" s="229">
        <v>0.86219999999999997</v>
      </c>
      <c r="ED175" s="228">
        <v>6.48</v>
      </c>
      <c r="EE175" s="229">
        <v>4.4000000000000003E-3</v>
      </c>
      <c r="EF175" s="230">
        <v>301581</v>
      </c>
      <c r="EG175" s="230">
        <v>184857</v>
      </c>
      <c r="EH175" s="229">
        <v>0.63139999999999996</v>
      </c>
      <c r="EI175" s="229">
        <v>0.61429999999999996</v>
      </c>
      <c r="EJ175" s="231">
        <v>10626.66</v>
      </c>
      <c r="EK175" s="231">
        <v>4251.18</v>
      </c>
      <c r="EL175" s="231">
        <v>33283.64</v>
      </c>
      <c r="EM175" s="228">
        <v>0</v>
      </c>
      <c r="EN175" s="231">
        <v>48161.48</v>
      </c>
      <c r="EO175" s="231">
        <v>59398.55</v>
      </c>
      <c r="EP175" s="231">
        <v>-11237.07</v>
      </c>
      <c r="EQ175" s="229">
        <v>-0.18920000000000001</v>
      </c>
      <c r="ER175" s="231">
        <v>4691</v>
      </c>
      <c r="ES175" s="231">
        <v>2571</v>
      </c>
      <c r="ET175" s="231">
        <v>59796</v>
      </c>
      <c r="EU175" s="231">
        <v>37710874</v>
      </c>
      <c r="EV175" s="231">
        <v>67058</v>
      </c>
      <c r="EW175" s="231">
        <v>96713</v>
      </c>
      <c r="EX175" s="231">
        <v>-29655</v>
      </c>
      <c r="EY175" s="229">
        <v>-0.30659999999999998</v>
      </c>
      <c r="EZ175" s="229">
        <v>0.1188</v>
      </c>
      <c r="FA175" s="227" t="s">
        <v>568</v>
      </c>
      <c r="FB175" s="161">
        <f t="shared" si="4"/>
        <v>0</v>
      </c>
    </row>
    <row r="176" spans="1:158" ht="17.25" thickBot="1" x14ac:dyDescent="0.3">
      <c r="A176" s="226">
        <v>45869</v>
      </c>
      <c r="B176" s="227" t="s">
        <v>168</v>
      </c>
      <c r="C176" s="227" t="s">
        <v>274</v>
      </c>
      <c r="D176" s="228">
        <v>250</v>
      </c>
      <c r="E176" s="231">
        <v>2885.6</v>
      </c>
      <c r="F176" s="231">
        <v>2886.7</v>
      </c>
      <c r="G176" s="228">
        <v>-1.1000000000000001</v>
      </c>
      <c r="H176" s="229">
        <v>-4.0000000000000002E-4</v>
      </c>
      <c r="I176" s="231">
        <v>2869.8</v>
      </c>
      <c r="J176" s="231">
        <v>2874.1</v>
      </c>
      <c r="K176" s="228">
        <v>-4.3</v>
      </c>
      <c r="L176" s="229">
        <v>-1.5E-3</v>
      </c>
      <c r="M176" s="231">
        <v>2873.7</v>
      </c>
      <c r="N176" s="231">
        <v>2870.1</v>
      </c>
      <c r="O176" s="228">
        <v>3.6</v>
      </c>
      <c r="P176" s="229">
        <v>1.2999999999999999E-3</v>
      </c>
      <c r="Q176" s="231">
        <v>2885.6</v>
      </c>
      <c r="R176" s="231">
        <v>2886.7</v>
      </c>
      <c r="S176" s="228">
        <v>-1.1000000000000001</v>
      </c>
      <c r="T176" s="229">
        <v>-4.0000000000000002E-4</v>
      </c>
      <c r="U176" s="231">
        <v>2898.2</v>
      </c>
      <c r="V176" s="231">
        <v>2901</v>
      </c>
      <c r="W176" s="228">
        <v>-2.8</v>
      </c>
      <c r="X176" s="229">
        <v>-1E-3</v>
      </c>
      <c r="Y176" s="228">
        <v>15.8</v>
      </c>
      <c r="Z176" s="228">
        <v>-4</v>
      </c>
      <c r="AA176" s="228">
        <v>19.8</v>
      </c>
      <c r="AB176" s="229">
        <v>5.4999999999999997E-3</v>
      </c>
      <c r="AC176" s="228">
        <v>3.9</v>
      </c>
      <c r="AD176" s="228">
        <v>-4</v>
      </c>
      <c r="AE176" s="228">
        <v>7.9</v>
      </c>
      <c r="AF176" s="229">
        <v>1.4E-3</v>
      </c>
      <c r="AG176" s="228">
        <v>15.8</v>
      </c>
      <c r="AH176" s="228">
        <v>12.6</v>
      </c>
      <c r="AI176" s="228">
        <v>3.2</v>
      </c>
      <c r="AJ176" s="229">
        <v>5.4999999999999997E-3</v>
      </c>
      <c r="AK176" s="228">
        <v>28.4</v>
      </c>
      <c r="AL176" s="228">
        <v>26.9</v>
      </c>
      <c r="AM176" s="228">
        <v>1.5</v>
      </c>
      <c r="AN176" s="229">
        <v>9.9000000000000008E-3</v>
      </c>
      <c r="AO176" s="231">
        <v>2863.7</v>
      </c>
      <c r="AP176" s="231">
        <v>2877.98</v>
      </c>
      <c r="AQ176" s="228">
        <v>0</v>
      </c>
      <c r="AR176" s="230">
        <v>1344500</v>
      </c>
      <c r="AS176" s="230">
        <v>2316500</v>
      </c>
      <c r="AT176" s="230">
        <v>-972000</v>
      </c>
      <c r="AU176" s="229">
        <v>-0.41959999999999997</v>
      </c>
      <c r="AV176" s="230">
        <v>637250</v>
      </c>
      <c r="AW176" s="230">
        <v>1109500</v>
      </c>
      <c r="AX176" s="230">
        <v>-472250</v>
      </c>
      <c r="AY176" s="229">
        <v>-0.42559999999999998</v>
      </c>
      <c r="AZ176" s="230">
        <v>701250</v>
      </c>
      <c r="BA176" s="230">
        <v>1201250</v>
      </c>
      <c r="BB176" s="230">
        <v>-500000</v>
      </c>
      <c r="BC176" s="229">
        <v>-0.41620000000000001</v>
      </c>
      <c r="BD176" s="230">
        <v>6000</v>
      </c>
      <c r="BE176" s="230">
        <v>5750</v>
      </c>
      <c r="BF176" s="228">
        <v>250</v>
      </c>
      <c r="BG176" s="229">
        <v>4.3499999999999997E-2</v>
      </c>
      <c r="BH176" s="230">
        <v>915250</v>
      </c>
      <c r="BI176" s="230">
        <v>633500</v>
      </c>
      <c r="BJ176" s="230">
        <v>281750</v>
      </c>
      <c r="BK176" s="229">
        <v>0.44479999999999997</v>
      </c>
      <c r="BL176" s="230">
        <v>486000</v>
      </c>
      <c r="BM176" s="230">
        <v>195000</v>
      </c>
      <c r="BN176" s="230">
        <v>291000</v>
      </c>
      <c r="BO176" s="229">
        <v>1.4923</v>
      </c>
      <c r="BP176" s="230">
        <v>2745750</v>
      </c>
      <c r="BQ176" s="230">
        <v>3145000</v>
      </c>
      <c r="BR176" s="230">
        <v>-399250</v>
      </c>
      <c r="BS176" s="229">
        <v>-0.12690000000000001</v>
      </c>
      <c r="BT176" s="230">
        <v>197388</v>
      </c>
      <c r="BU176" s="230">
        <v>253048</v>
      </c>
      <c r="BV176" s="230">
        <v>-55660</v>
      </c>
      <c r="BW176" s="229">
        <v>-0.22</v>
      </c>
      <c r="BX176" s="230">
        <v>3324750</v>
      </c>
      <c r="BY176" s="230">
        <v>3483500</v>
      </c>
      <c r="BZ176" s="230">
        <v>-158750</v>
      </c>
      <c r="CA176" s="229">
        <v>-4.5600000000000002E-2</v>
      </c>
      <c r="CB176" s="230">
        <v>176250</v>
      </c>
      <c r="CC176" s="230">
        <v>456500</v>
      </c>
      <c r="CD176" s="230">
        <v>-280250</v>
      </c>
      <c r="CE176" s="229">
        <v>-0.6139</v>
      </c>
      <c r="CF176" s="230">
        <v>3305750</v>
      </c>
      <c r="CG176" s="230">
        <v>3010250</v>
      </c>
      <c r="CH176" s="230">
        <v>295500</v>
      </c>
      <c r="CI176" s="229">
        <v>9.8199999999999996E-2</v>
      </c>
      <c r="CJ176" s="230">
        <v>19000</v>
      </c>
      <c r="CK176" s="230">
        <v>16750</v>
      </c>
      <c r="CL176" s="230">
        <v>2250</v>
      </c>
      <c r="CM176" s="229">
        <v>0.1343</v>
      </c>
      <c r="CN176" s="230">
        <v>320000</v>
      </c>
      <c r="CO176" s="230">
        <v>1056750</v>
      </c>
      <c r="CP176" s="230">
        <v>-736750</v>
      </c>
      <c r="CQ176" s="229">
        <v>-0.69720000000000004</v>
      </c>
      <c r="CR176" s="230">
        <v>247500</v>
      </c>
      <c r="CS176" s="230">
        <v>563500</v>
      </c>
      <c r="CT176" s="230">
        <v>-316000</v>
      </c>
      <c r="CU176" s="229">
        <v>-0.56079999999999997</v>
      </c>
      <c r="CV176" s="230">
        <v>3892250</v>
      </c>
      <c r="CW176" s="230">
        <v>5103750</v>
      </c>
      <c r="CX176" s="230">
        <v>-1211500</v>
      </c>
      <c r="CY176" s="229">
        <v>-0.2374</v>
      </c>
      <c r="CZ176" s="228">
        <v>23.67</v>
      </c>
      <c r="DA176" s="228">
        <v>23.84</v>
      </c>
      <c r="DB176" s="228">
        <v>-0.17</v>
      </c>
      <c r="DC176" s="228">
        <v>-0.17</v>
      </c>
      <c r="DD176" s="228">
        <v>22.96</v>
      </c>
      <c r="DE176" s="228">
        <v>23.01</v>
      </c>
      <c r="DF176" s="228">
        <v>0.71</v>
      </c>
      <c r="DG176" s="228">
        <v>-0.05</v>
      </c>
      <c r="DH176" s="228">
        <v>23.82</v>
      </c>
      <c r="DI176" s="228">
        <v>23.79</v>
      </c>
      <c r="DJ176" s="228">
        <v>0.03</v>
      </c>
      <c r="DK176" s="228">
        <v>0.03</v>
      </c>
      <c r="DL176" s="228">
        <v>23.47</v>
      </c>
      <c r="DM176" s="228">
        <v>23.93</v>
      </c>
      <c r="DN176" s="228">
        <v>-0.46</v>
      </c>
      <c r="DO176" s="228">
        <v>-0.46</v>
      </c>
      <c r="DP176" s="228">
        <v>0.77</v>
      </c>
      <c r="DQ176" s="228">
        <v>0.53</v>
      </c>
      <c r="DR176" s="228">
        <v>0.24</v>
      </c>
      <c r="DS176" s="229">
        <v>0.45279999999999998</v>
      </c>
      <c r="DT176" s="231">
        <v>3000</v>
      </c>
      <c r="DU176" s="231">
        <v>2800</v>
      </c>
      <c r="DV176" s="228">
        <v>0.53</v>
      </c>
      <c r="DW176" s="228">
        <v>0.31</v>
      </c>
      <c r="DX176" s="228">
        <v>0.22</v>
      </c>
      <c r="DY176" s="229">
        <v>0.7097</v>
      </c>
      <c r="DZ176" s="229">
        <v>0.94969999999999999</v>
      </c>
      <c r="EA176" s="230">
        <v>3027000</v>
      </c>
      <c r="EB176" s="229">
        <v>4.1000000000000003E-3</v>
      </c>
      <c r="EC176" s="229">
        <v>0.94969999999999999</v>
      </c>
      <c r="ED176" s="228">
        <v>14.28</v>
      </c>
      <c r="EE176" s="229">
        <v>5.0000000000000001E-3</v>
      </c>
      <c r="EF176" s="230">
        <v>106624</v>
      </c>
      <c r="EG176" s="230">
        <v>180860</v>
      </c>
      <c r="EH176" s="229">
        <v>-0.41049999999999998</v>
      </c>
      <c r="EI176" s="229">
        <v>0.54020000000000001</v>
      </c>
      <c r="EJ176" s="231">
        <v>27257.94</v>
      </c>
      <c r="EK176" s="231">
        <v>14121.37</v>
      </c>
      <c r="EL176" s="231">
        <v>38604.36</v>
      </c>
      <c r="EM176" s="228">
        <v>0</v>
      </c>
      <c r="EN176" s="231">
        <v>79983.67</v>
      </c>
      <c r="EO176" s="231">
        <v>91630.6</v>
      </c>
      <c r="EP176" s="231">
        <v>-11646.93</v>
      </c>
      <c r="EQ176" s="229">
        <v>-0.12709999999999999</v>
      </c>
      <c r="ER176" s="231">
        <v>9614</v>
      </c>
      <c r="ES176" s="231">
        <v>7056</v>
      </c>
      <c r="ET176" s="231">
        <v>95941</v>
      </c>
      <c r="EU176" s="231">
        <v>31030515</v>
      </c>
      <c r="EV176" s="231">
        <v>112611</v>
      </c>
      <c r="EW176" s="231">
        <v>149276</v>
      </c>
      <c r="EX176" s="231">
        <v>-36665</v>
      </c>
      <c r="EY176" s="229">
        <v>-0.24560000000000001</v>
      </c>
      <c r="EZ176" s="229">
        <v>0.12540000000000001</v>
      </c>
      <c r="FA176" s="227" t="s">
        <v>568</v>
      </c>
      <c r="FB176" s="161">
        <f t="shared" si="4"/>
        <v>0</v>
      </c>
    </row>
    <row r="177" spans="1:158" ht="17.25" thickBot="1" x14ac:dyDescent="0.3">
      <c r="A177" s="226">
        <v>45869</v>
      </c>
      <c r="B177" s="227" t="s">
        <v>498</v>
      </c>
      <c r="C177" s="227" t="s">
        <v>483</v>
      </c>
      <c r="D177" s="228">
        <v>175</v>
      </c>
      <c r="E177" s="231">
        <v>4255</v>
      </c>
      <c r="F177" s="231">
        <v>4329.8</v>
      </c>
      <c r="G177" s="228">
        <v>-74.8</v>
      </c>
      <c r="H177" s="229">
        <v>-1.7299999999999999E-2</v>
      </c>
      <c r="I177" s="231">
        <v>4250.8999999999996</v>
      </c>
      <c r="J177" s="231">
        <v>4324.2</v>
      </c>
      <c r="K177" s="228">
        <v>-73.3</v>
      </c>
      <c r="L177" s="229">
        <v>-1.7000000000000001E-2</v>
      </c>
      <c r="M177" s="231">
        <v>4257.2</v>
      </c>
      <c r="N177" s="231">
        <v>4319.8</v>
      </c>
      <c r="O177" s="228">
        <v>-62.6</v>
      </c>
      <c r="P177" s="229">
        <v>-1.4500000000000001E-2</v>
      </c>
      <c r="Q177" s="231">
        <v>4255</v>
      </c>
      <c r="R177" s="231">
        <v>4329.8</v>
      </c>
      <c r="S177" s="228">
        <v>-74.8</v>
      </c>
      <c r="T177" s="229">
        <v>-1.7299999999999999E-2</v>
      </c>
      <c r="U177" s="231">
        <v>4272.2</v>
      </c>
      <c r="V177" s="231">
        <v>4353.1000000000004</v>
      </c>
      <c r="W177" s="228">
        <v>-80.900000000000006</v>
      </c>
      <c r="X177" s="229">
        <v>-1.8599999999999998E-2</v>
      </c>
      <c r="Y177" s="228">
        <v>4.0999999999999996</v>
      </c>
      <c r="Z177" s="228">
        <v>-4.4000000000000004</v>
      </c>
      <c r="AA177" s="228">
        <v>8.5</v>
      </c>
      <c r="AB177" s="229">
        <v>1E-3</v>
      </c>
      <c r="AC177" s="228">
        <v>6.3</v>
      </c>
      <c r="AD177" s="228">
        <v>-4.4000000000000004</v>
      </c>
      <c r="AE177" s="228">
        <v>10.7</v>
      </c>
      <c r="AF177" s="229">
        <v>1.5E-3</v>
      </c>
      <c r="AG177" s="228">
        <v>4.0999999999999996</v>
      </c>
      <c r="AH177" s="228">
        <v>5.6</v>
      </c>
      <c r="AI177" s="228">
        <v>-1.5</v>
      </c>
      <c r="AJ177" s="229">
        <v>1E-3</v>
      </c>
      <c r="AK177" s="228">
        <v>21.3</v>
      </c>
      <c r="AL177" s="228">
        <v>28.9</v>
      </c>
      <c r="AM177" s="228">
        <v>-7.6</v>
      </c>
      <c r="AN177" s="229">
        <v>5.0000000000000001E-3</v>
      </c>
      <c r="AO177" s="231">
        <v>4227.8500000000004</v>
      </c>
      <c r="AP177" s="231">
        <v>4230.1499999999996</v>
      </c>
      <c r="AQ177" s="228">
        <v>0</v>
      </c>
      <c r="AR177" s="230">
        <v>780325</v>
      </c>
      <c r="AS177" s="230">
        <v>1235675</v>
      </c>
      <c r="AT177" s="230">
        <v>-455350</v>
      </c>
      <c r="AU177" s="229">
        <v>-0.36849999999999999</v>
      </c>
      <c r="AV177" s="230">
        <v>238350</v>
      </c>
      <c r="AW177" s="230">
        <v>509775</v>
      </c>
      <c r="AX177" s="230">
        <v>-271425</v>
      </c>
      <c r="AY177" s="229">
        <v>-0.53239999999999998</v>
      </c>
      <c r="AZ177" s="230">
        <v>535850</v>
      </c>
      <c r="BA177" s="230">
        <v>720825</v>
      </c>
      <c r="BB177" s="230">
        <v>-184975</v>
      </c>
      <c r="BC177" s="229">
        <v>-0.25659999999999999</v>
      </c>
      <c r="BD177" s="230">
        <v>6125</v>
      </c>
      <c r="BE177" s="230">
        <v>5075</v>
      </c>
      <c r="BF177" s="230">
        <v>1050</v>
      </c>
      <c r="BG177" s="229">
        <v>0.2069</v>
      </c>
      <c r="BH177" s="230">
        <v>923650</v>
      </c>
      <c r="BI177" s="230">
        <v>2551850</v>
      </c>
      <c r="BJ177" s="230">
        <v>-1628200</v>
      </c>
      <c r="BK177" s="229">
        <v>-0.63800000000000001</v>
      </c>
      <c r="BL177" s="230">
        <v>265300</v>
      </c>
      <c r="BM177" s="230">
        <v>431550</v>
      </c>
      <c r="BN177" s="230">
        <v>-166250</v>
      </c>
      <c r="BO177" s="229">
        <v>-0.38519999999999999</v>
      </c>
      <c r="BP177" s="230">
        <v>1969275</v>
      </c>
      <c r="BQ177" s="230">
        <v>4219075</v>
      </c>
      <c r="BR177" s="230">
        <v>-2249800</v>
      </c>
      <c r="BS177" s="229">
        <v>-0.53320000000000001</v>
      </c>
      <c r="BT177" s="230">
        <v>272202</v>
      </c>
      <c r="BU177" s="230">
        <v>261503</v>
      </c>
      <c r="BV177" s="230">
        <v>10699</v>
      </c>
      <c r="BW177" s="229">
        <v>4.0899999999999999E-2</v>
      </c>
      <c r="BX177" s="230">
        <v>1561525</v>
      </c>
      <c r="BY177" s="230">
        <v>1569400</v>
      </c>
      <c r="BZ177" s="230">
        <v>-7875</v>
      </c>
      <c r="CA177" s="229">
        <v>-5.0000000000000001E-3</v>
      </c>
      <c r="CB177" s="230">
        <v>55475</v>
      </c>
      <c r="CC177" s="230">
        <v>95200</v>
      </c>
      <c r="CD177" s="230">
        <v>-39725</v>
      </c>
      <c r="CE177" s="229">
        <v>-0.4173</v>
      </c>
      <c r="CF177" s="230">
        <v>1554350</v>
      </c>
      <c r="CG177" s="230">
        <v>1467550</v>
      </c>
      <c r="CH177" s="230">
        <v>86800</v>
      </c>
      <c r="CI177" s="229">
        <v>5.91E-2</v>
      </c>
      <c r="CJ177" s="230">
        <v>7175</v>
      </c>
      <c r="CK177" s="230">
        <v>6650</v>
      </c>
      <c r="CL177" s="228">
        <v>525</v>
      </c>
      <c r="CM177" s="229">
        <v>7.8899999999999998E-2</v>
      </c>
      <c r="CN177" s="230">
        <v>232750</v>
      </c>
      <c r="CO177" s="230">
        <v>473200</v>
      </c>
      <c r="CP177" s="230">
        <v>-240450</v>
      </c>
      <c r="CQ177" s="229">
        <v>-0.5081</v>
      </c>
      <c r="CR177" s="230">
        <v>131950</v>
      </c>
      <c r="CS177" s="230">
        <v>302925</v>
      </c>
      <c r="CT177" s="230">
        <v>-170975</v>
      </c>
      <c r="CU177" s="229">
        <v>-0.56440000000000001</v>
      </c>
      <c r="CV177" s="230">
        <v>1926225</v>
      </c>
      <c r="CW177" s="230">
        <v>2345525</v>
      </c>
      <c r="CX177" s="230">
        <v>-419300</v>
      </c>
      <c r="CY177" s="229">
        <v>-0.17879999999999999</v>
      </c>
      <c r="CZ177" s="228">
        <v>29.53</v>
      </c>
      <c r="DA177" s="228">
        <v>31</v>
      </c>
      <c r="DB177" s="228">
        <v>-1.47</v>
      </c>
      <c r="DC177" s="228">
        <v>-1.47</v>
      </c>
      <c r="DD177" s="228">
        <v>31.6</v>
      </c>
      <c r="DE177" s="228">
        <v>31.6</v>
      </c>
      <c r="DF177" s="228">
        <v>-2.0699999999999998</v>
      </c>
      <c r="DG177" s="228">
        <v>0</v>
      </c>
      <c r="DH177" s="228">
        <v>29.45</v>
      </c>
      <c r="DI177" s="228">
        <v>30.97</v>
      </c>
      <c r="DJ177" s="228">
        <v>-1.52</v>
      </c>
      <c r="DK177" s="228">
        <v>-1.52</v>
      </c>
      <c r="DL177" s="228">
        <v>29.76</v>
      </c>
      <c r="DM177" s="228">
        <v>31.15</v>
      </c>
      <c r="DN177" s="228">
        <v>-1.39</v>
      </c>
      <c r="DO177" s="228">
        <v>-1.39</v>
      </c>
      <c r="DP177" s="228">
        <v>0.56999999999999995</v>
      </c>
      <c r="DQ177" s="228">
        <v>0.64</v>
      </c>
      <c r="DR177" s="228">
        <v>-7.0000000000000007E-2</v>
      </c>
      <c r="DS177" s="229">
        <v>-0.1094</v>
      </c>
      <c r="DT177" s="231">
        <v>4300</v>
      </c>
      <c r="DU177" s="231">
        <v>4000</v>
      </c>
      <c r="DV177" s="228">
        <v>0.28999999999999998</v>
      </c>
      <c r="DW177" s="228">
        <v>0.17</v>
      </c>
      <c r="DX177" s="228">
        <v>0.12</v>
      </c>
      <c r="DY177" s="229">
        <v>0.70589999999999997</v>
      </c>
      <c r="DZ177" s="229">
        <v>0.9657</v>
      </c>
      <c r="EA177" s="230">
        <v>1474200</v>
      </c>
      <c r="EB177" s="229">
        <v>-5.0000000000000001E-4</v>
      </c>
      <c r="EC177" s="229">
        <v>0.9657</v>
      </c>
      <c r="ED177" s="228">
        <v>2.2999999999999998</v>
      </c>
      <c r="EE177" s="229">
        <v>5.0000000000000001E-4</v>
      </c>
      <c r="EF177" s="230">
        <v>108976</v>
      </c>
      <c r="EG177" s="230">
        <v>100372</v>
      </c>
      <c r="EH177" s="229">
        <v>8.5699999999999998E-2</v>
      </c>
      <c r="EI177" s="229">
        <v>0.40029999999999999</v>
      </c>
      <c r="EJ177" s="231">
        <v>40508.67</v>
      </c>
      <c r="EK177" s="231">
        <v>11186.51</v>
      </c>
      <c r="EL177" s="231">
        <v>33004.339999999997</v>
      </c>
      <c r="EM177" s="228">
        <v>0</v>
      </c>
      <c r="EN177" s="231">
        <v>84699.520000000004</v>
      </c>
      <c r="EO177" s="231">
        <v>184242.44</v>
      </c>
      <c r="EP177" s="231">
        <v>-99542.92</v>
      </c>
      <c r="EQ177" s="229">
        <v>-0.5403</v>
      </c>
      <c r="ER177" s="231">
        <v>10191</v>
      </c>
      <c r="ES177" s="231">
        <v>5417</v>
      </c>
      <c r="ET177" s="231">
        <v>66444</v>
      </c>
      <c r="EU177" s="231">
        <v>16356551</v>
      </c>
      <c r="EV177" s="231">
        <v>82052</v>
      </c>
      <c r="EW177" s="231">
        <v>100779</v>
      </c>
      <c r="EX177" s="231">
        <v>-18727</v>
      </c>
      <c r="EY177" s="229">
        <v>-0.18579999999999999</v>
      </c>
      <c r="EZ177" s="229">
        <v>0.1178</v>
      </c>
      <c r="FA177" s="227" t="s">
        <v>568</v>
      </c>
      <c r="FB177" s="161">
        <f t="shared" si="4"/>
        <v>0</v>
      </c>
    </row>
    <row r="178" spans="1:158" ht="17.25" thickBot="1" x14ac:dyDescent="0.3">
      <c r="A178" s="226">
        <v>45869</v>
      </c>
      <c r="B178" s="227" t="s">
        <v>172</v>
      </c>
      <c r="C178" s="227" t="s">
        <v>275</v>
      </c>
      <c r="D178" s="228">
        <v>8000</v>
      </c>
      <c r="E178" s="228">
        <v>105.72</v>
      </c>
      <c r="F178" s="228">
        <v>108.8</v>
      </c>
      <c r="G178" s="228">
        <v>-3.08</v>
      </c>
      <c r="H178" s="229">
        <v>-2.8299999999999999E-2</v>
      </c>
      <c r="I178" s="228">
        <v>105.38</v>
      </c>
      <c r="J178" s="228">
        <v>108.1</v>
      </c>
      <c r="K178" s="228">
        <v>-2.72</v>
      </c>
      <c r="L178" s="229">
        <v>-2.52E-2</v>
      </c>
      <c r="M178" s="228">
        <v>105.29</v>
      </c>
      <c r="N178" s="228">
        <v>108.25</v>
      </c>
      <c r="O178" s="228">
        <v>-2.96</v>
      </c>
      <c r="P178" s="229">
        <v>-2.7300000000000001E-2</v>
      </c>
      <c r="Q178" s="228">
        <v>105.72</v>
      </c>
      <c r="R178" s="228">
        <v>108.8</v>
      </c>
      <c r="S178" s="228">
        <v>-3.08</v>
      </c>
      <c r="T178" s="229">
        <v>-2.8299999999999999E-2</v>
      </c>
      <c r="U178" s="228">
        <v>106.35</v>
      </c>
      <c r="V178" s="228">
        <v>109.44</v>
      </c>
      <c r="W178" s="228">
        <v>-3.09</v>
      </c>
      <c r="X178" s="229">
        <v>-2.8199999999999999E-2</v>
      </c>
      <c r="Y178" s="228">
        <v>0.34</v>
      </c>
      <c r="Z178" s="228">
        <v>0.15</v>
      </c>
      <c r="AA178" s="228">
        <v>0.19</v>
      </c>
      <c r="AB178" s="229">
        <v>3.2000000000000002E-3</v>
      </c>
      <c r="AC178" s="228">
        <v>-0.09</v>
      </c>
      <c r="AD178" s="228">
        <v>0.15</v>
      </c>
      <c r="AE178" s="228">
        <v>-0.24</v>
      </c>
      <c r="AF178" s="229">
        <v>-8.9999999999999998E-4</v>
      </c>
      <c r="AG178" s="228">
        <v>0.34</v>
      </c>
      <c r="AH178" s="228">
        <v>0.7</v>
      </c>
      <c r="AI178" s="228">
        <v>-0.36</v>
      </c>
      <c r="AJ178" s="229">
        <v>3.2000000000000002E-3</v>
      </c>
      <c r="AK178" s="228">
        <v>0.97</v>
      </c>
      <c r="AL178" s="228">
        <v>1.34</v>
      </c>
      <c r="AM178" s="228">
        <v>-0.37</v>
      </c>
      <c r="AN178" s="229">
        <v>9.1999999999999998E-3</v>
      </c>
      <c r="AO178" s="228">
        <v>105.46</v>
      </c>
      <c r="AP178" s="228">
        <v>106.04</v>
      </c>
      <c r="AQ178" s="228">
        <v>0</v>
      </c>
      <c r="AR178" s="230">
        <v>217104000</v>
      </c>
      <c r="AS178" s="230">
        <v>309336000</v>
      </c>
      <c r="AT178" s="230">
        <v>-92232000</v>
      </c>
      <c r="AU178" s="229">
        <v>-0.29820000000000002</v>
      </c>
      <c r="AV178" s="230">
        <v>72312000</v>
      </c>
      <c r="AW178" s="230">
        <v>134000000</v>
      </c>
      <c r="AX178" s="230">
        <v>-61688000</v>
      </c>
      <c r="AY178" s="229">
        <v>-0.46039999999999998</v>
      </c>
      <c r="AZ178" s="230">
        <v>140280000</v>
      </c>
      <c r="BA178" s="230">
        <v>170960000</v>
      </c>
      <c r="BB178" s="230">
        <v>-30680000</v>
      </c>
      <c r="BC178" s="229">
        <v>-0.17949999999999999</v>
      </c>
      <c r="BD178" s="230">
        <v>4512000</v>
      </c>
      <c r="BE178" s="230">
        <v>4376000</v>
      </c>
      <c r="BF178" s="230">
        <v>136000</v>
      </c>
      <c r="BG178" s="229">
        <v>3.1099999999999999E-2</v>
      </c>
      <c r="BH178" s="230">
        <v>356072000</v>
      </c>
      <c r="BI178" s="230">
        <v>690144000</v>
      </c>
      <c r="BJ178" s="230">
        <v>-334072000</v>
      </c>
      <c r="BK178" s="229">
        <v>-0.48409999999999997</v>
      </c>
      <c r="BL178" s="230">
        <v>232040000</v>
      </c>
      <c r="BM178" s="230">
        <v>371896000</v>
      </c>
      <c r="BN178" s="230">
        <v>-139856000</v>
      </c>
      <c r="BO178" s="229">
        <v>-0.37609999999999999</v>
      </c>
      <c r="BP178" s="230">
        <v>805216000</v>
      </c>
      <c r="BQ178" s="230">
        <v>1371376000</v>
      </c>
      <c r="BR178" s="230">
        <v>-566160000</v>
      </c>
      <c r="BS178" s="229">
        <v>-0.4128</v>
      </c>
      <c r="BT178" s="230">
        <v>45053022</v>
      </c>
      <c r="BU178" s="230">
        <v>52377317</v>
      </c>
      <c r="BV178" s="230">
        <v>-7324295</v>
      </c>
      <c r="BW178" s="229">
        <v>-0.13980000000000001</v>
      </c>
      <c r="BX178" s="230">
        <v>255792000</v>
      </c>
      <c r="BY178" s="230">
        <v>261648000</v>
      </c>
      <c r="BZ178" s="230">
        <v>-5856000</v>
      </c>
      <c r="CA178" s="229">
        <v>-2.24E-2</v>
      </c>
      <c r="CB178" s="230">
        <v>21272000</v>
      </c>
      <c r="CC178" s="230">
        <v>53480000</v>
      </c>
      <c r="CD178" s="230">
        <v>-32208000</v>
      </c>
      <c r="CE178" s="229">
        <v>-0.60219999999999996</v>
      </c>
      <c r="CF178" s="230">
        <v>247440000</v>
      </c>
      <c r="CG178" s="230">
        <v>202000000</v>
      </c>
      <c r="CH178" s="230">
        <v>45440000</v>
      </c>
      <c r="CI178" s="229">
        <v>0.22500000000000001</v>
      </c>
      <c r="CJ178" s="230">
        <v>8352000</v>
      </c>
      <c r="CK178" s="230">
        <v>6168000</v>
      </c>
      <c r="CL178" s="230">
        <v>2184000</v>
      </c>
      <c r="CM178" s="229">
        <v>0.35410000000000003</v>
      </c>
      <c r="CN178" s="230">
        <v>93056000</v>
      </c>
      <c r="CO178" s="230">
        <v>169000000</v>
      </c>
      <c r="CP178" s="230">
        <v>-75944000</v>
      </c>
      <c r="CQ178" s="229">
        <v>-0.44940000000000002</v>
      </c>
      <c r="CR178" s="230">
        <v>62432000</v>
      </c>
      <c r="CS178" s="230">
        <v>111336000</v>
      </c>
      <c r="CT178" s="230">
        <v>-48904000</v>
      </c>
      <c r="CU178" s="229">
        <v>-0.43919999999999998</v>
      </c>
      <c r="CV178" s="230">
        <v>411280000</v>
      </c>
      <c r="CW178" s="230">
        <v>541984000</v>
      </c>
      <c r="CX178" s="230">
        <v>-130704000</v>
      </c>
      <c r="CY178" s="229">
        <v>-0.2412</v>
      </c>
      <c r="CZ178" s="228">
        <v>27.27</v>
      </c>
      <c r="DA178" s="228">
        <v>28.85</v>
      </c>
      <c r="DB178" s="228">
        <v>-1.58</v>
      </c>
      <c r="DC178" s="228">
        <v>-1.58</v>
      </c>
      <c r="DD178" s="228">
        <v>39.770000000000003</v>
      </c>
      <c r="DE178" s="228">
        <v>39.68</v>
      </c>
      <c r="DF178" s="228">
        <v>-12.5</v>
      </c>
      <c r="DG178" s="228">
        <v>0.09</v>
      </c>
      <c r="DH178" s="228">
        <v>27.75</v>
      </c>
      <c r="DI178" s="228">
        <v>29.02</v>
      </c>
      <c r="DJ178" s="228">
        <v>-1.27</v>
      </c>
      <c r="DK178" s="228">
        <v>-1.27</v>
      </c>
      <c r="DL178" s="228">
        <v>26.46</v>
      </c>
      <c r="DM178" s="228">
        <v>28.6</v>
      </c>
      <c r="DN178" s="228">
        <v>-2.14</v>
      </c>
      <c r="DO178" s="228">
        <v>-2.14</v>
      </c>
      <c r="DP178" s="228">
        <v>0.67</v>
      </c>
      <c r="DQ178" s="228">
        <v>0.66</v>
      </c>
      <c r="DR178" s="228">
        <v>0.01</v>
      </c>
      <c r="DS178" s="229">
        <v>1.52E-2</v>
      </c>
      <c r="DT178" s="228">
        <v>110</v>
      </c>
      <c r="DU178" s="228">
        <v>105</v>
      </c>
      <c r="DV178" s="228">
        <v>0.65</v>
      </c>
      <c r="DW178" s="228">
        <v>0.54</v>
      </c>
      <c r="DX178" s="228">
        <v>0.11</v>
      </c>
      <c r="DY178" s="229">
        <v>0.20369999999999999</v>
      </c>
      <c r="DZ178" s="229">
        <v>0.92320000000000002</v>
      </c>
      <c r="EA178" s="230">
        <v>208168000</v>
      </c>
      <c r="EB178" s="229">
        <v>4.1000000000000003E-3</v>
      </c>
      <c r="EC178" s="229">
        <v>0.92320000000000002</v>
      </c>
      <c r="ED178" s="228">
        <v>0.57999999999999996</v>
      </c>
      <c r="EE178" s="229">
        <v>5.4999999999999997E-3</v>
      </c>
      <c r="EF178" s="230">
        <v>13533342</v>
      </c>
      <c r="EG178" s="230">
        <v>9993518</v>
      </c>
      <c r="EH178" s="229">
        <v>0.35420000000000001</v>
      </c>
      <c r="EI178" s="229">
        <v>0.3004</v>
      </c>
      <c r="EJ178" s="231">
        <v>396778.4</v>
      </c>
      <c r="EK178" s="231">
        <v>251037.72</v>
      </c>
      <c r="EL178" s="231">
        <v>229825.45</v>
      </c>
      <c r="EM178" s="228">
        <v>0</v>
      </c>
      <c r="EN178" s="231">
        <v>877641.57</v>
      </c>
      <c r="EO178" s="231">
        <v>1528336.76</v>
      </c>
      <c r="EP178" s="231">
        <v>-650695.18999999994</v>
      </c>
      <c r="EQ178" s="229">
        <v>-0.42580000000000001</v>
      </c>
      <c r="ER178" s="231">
        <v>105088</v>
      </c>
      <c r="ES178" s="231">
        <v>66295</v>
      </c>
      <c r="ET178" s="231">
        <v>270476</v>
      </c>
      <c r="EU178" s="231">
        <v>687763516</v>
      </c>
      <c r="EV178" s="231">
        <v>441859</v>
      </c>
      <c r="EW178" s="231">
        <v>594664</v>
      </c>
      <c r="EX178" s="231">
        <v>-152805</v>
      </c>
      <c r="EY178" s="229">
        <v>-0.25700000000000001</v>
      </c>
      <c r="EZ178" s="229">
        <v>0.59799999999999998</v>
      </c>
      <c r="FA178" s="227" t="s">
        <v>568</v>
      </c>
      <c r="FB178" s="161">
        <f t="shared" si="4"/>
        <v>0</v>
      </c>
    </row>
    <row r="179" spans="1:158" ht="17.25" thickBot="1" x14ac:dyDescent="0.3">
      <c r="A179" s="226">
        <v>45869</v>
      </c>
      <c r="B179" s="227" t="s">
        <v>175</v>
      </c>
      <c r="C179" s="227" t="s">
        <v>672</v>
      </c>
      <c r="D179" s="228">
        <v>650</v>
      </c>
      <c r="E179" s="228">
        <v>986.2</v>
      </c>
      <c r="F179" s="228">
        <v>987.1</v>
      </c>
      <c r="G179" s="228">
        <v>-0.9</v>
      </c>
      <c r="H179" s="229">
        <v>-8.9999999999999998E-4</v>
      </c>
      <c r="I179" s="228">
        <v>986.2</v>
      </c>
      <c r="J179" s="228">
        <v>986.8</v>
      </c>
      <c r="K179" s="228">
        <v>-0.6</v>
      </c>
      <c r="L179" s="229">
        <v>-5.9999999999999995E-4</v>
      </c>
      <c r="M179" s="228">
        <v>986.4</v>
      </c>
      <c r="N179" s="228">
        <v>986.6</v>
      </c>
      <c r="O179" s="228">
        <v>-0.2</v>
      </c>
      <c r="P179" s="229">
        <v>-2.0000000000000001E-4</v>
      </c>
      <c r="Q179" s="228">
        <v>986.2</v>
      </c>
      <c r="R179" s="228">
        <v>987.1</v>
      </c>
      <c r="S179" s="228">
        <v>-0.9</v>
      </c>
      <c r="T179" s="229">
        <v>-8.9999999999999998E-4</v>
      </c>
      <c r="U179" s="228">
        <v>992</v>
      </c>
      <c r="V179" s="228">
        <v>992.3</v>
      </c>
      <c r="W179" s="228">
        <v>-0.3</v>
      </c>
      <c r="X179" s="229">
        <v>-2.9999999999999997E-4</v>
      </c>
      <c r="Y179" s="228">
        <v>0</v>
      </c>
      <c r="Z179" s="228">
        <v>-0.2</v>
      </c>
      <c r="AA179" s="228">
        <v>0.2</v>
      </c>
      <c r="AB179" s="229">
        <v>0</v>
      </c>
      <c r="AC179" s="228">
        <v>0.2</v>
      </c>
      <c r="AD179" s="228">
        <v>-0.2</v>
      </c>
      <c r="AE179" s="228">
        <v>0.4</v>
      </c>
      <c r="AF179" s="229">
        <v>2.0000000000000001E-4</v>
      </c>
      <c r="AG179" s="228">
        <v>0</v>
      </c>
      <c r="AH179" s="228">
        <v>0.3</v>
      </c>
      <c r="AI179" s="228">
        <v>-0.3</v>
      </c>
      <c r="AJ179" s="229">
        <v>0</v>
      </c>
      <c r="AK179" s="228">
        <v>5.8</v>
      </c>
      <c r="AL179" s="228">
        <v>5.5</v>
      </c>
      <c r="AM179" s="228">
        <v>0.3</v>
      </c>
      <c r="AN179" s="229">
        <v>5.8999999999999999E-3</v>
      </c>
      <c r="AO179" s="228">
        <v>989.83</v>
      </c>
      <c r="AP179" s="228">
        <v>989.19</v>
      </c>
      <c r="AQ179" s="228">
        <v>0</v>
      </c>
      <c r="AR179" s="230">
        <v>3516500</v>
      </c>
      <c r="AS179" s="230">
        <v>4884750</v>
      </c>
      <c r="AT179" s="230">
        <v>-1368250</v>
      </c>
      <c r="AU179" s="229">
        <v>-0.28010000000000002</v>
      </c>
      <c r="AV179" s="230">
        <v>1633450</v>
      </c>
      <c r="AW179" s="230">
        <v>2220400</v>
      </c>
      <c r="AX179" s="230">
        <v>-586950</v>
      </c>
      <c r="AY179" s="229">
        <v>-0.26429999999999998</v>
      </c>
      <c r="AZ179" s="230">
        <v>1844050</v>
      </c>
      <c r="BA179" s="230">
        <v>2618850</v>
      </c>
      <c r="BB179" s="230">
        <v>-774800</v>
      </c>
      <c r="BC179" s="229">
        <v>-0.2959</v>
      </c>
      <c r="BD179" s="230">
        <v>39000</v>
      </c>
      <c r="BE179" s="230">
        <v>45500</v>
      </c>
      <c r="BF179" s="230">
        <v>-6500</v>
      </c>
      <c r="BG179" s="229">
        <v>-0.1429</v>
      </c>
      <c r="BH179" s="230">
        <v>2796950</v>
      </c>
      <c r="BI179" s="230">
        <v>2728050</v>
      </c>
      <c r="BJ179" s="230">
        <v>68900</v>
      </c>
      <c r="BK179" s="229">
        <v>2.53E-2</v>
      </c>
      <c r="BL179" s="230">
        <v>1506050</v>
      </c>
      <c r="BM179" s="230">
        <v>1111500</v>
      </c>
      <c r="BN179" s="230">
        <v>394550</v>
      </c>
      <c r="BO179" s="229">
        <v>0.35499999999999998</v>
      </c>
      <c r="BP179" s="230">
        <v>7819500</v>
      </c>
      <c r="BQ179" s="230">
        <v>8724300</v>
      </c>
      <c r="BR179" s="230">
        <v>-904800</v>
      </c>
      <c r="BS179" s="229">
        <v>-0.1037</v>
      </c>
      <c r="BT179" s="230">
        <v>846484</v>
      </c>
      <c r="BU179" s="230">
        <v>916030</v>
      </c>
      <c r="BV179" s="230">
        <v>-69546</v>
      </c>
      <c r="BW179" s="229">
        <v>-7.5899999999999995E-2</v>
      </c>
      <c r="BX179" s="230">
        <v>9108450</v>
      </c>
      <c r="BY179" s="230">
        <v>10147800</v>
      </c>
      <c r="BZ179" s="230">
        <v>-1039350</v>
      </c>
      <c r="CA179" s="229">
        <v>-0.1024</v>
      </c>
      <c r="CB179" s="230">
        <v>1051050</v>
      </c>
      <c r="CC179" s="230">
        <v>1919450</v>
      </c>
      <c r="CD179" s="230">
        <v>-868400</v>
      </c>
      <c r="CE179" s="229">
        <v>-0.45240000000000002</v>
      </c>
      <c r="CF179" s="230">
        <v>9008350</v>
      </c>
      <c r="CG179" s="230">
        <v>8135400</v>
      </c>
      <c r="CH179" s="230">
        <v>872950</v>
      </c>
      <c r="CI179" s="229">
        <v>0.10730000000000001</v>
      </c>
      <c r="CJ179" s="230">
        <v>100100</v>
      </c>
      <c r="CK179" s="230">
        <v>92950</v>
      </c>
      <c r="CL179" s="230">
        <v>7150</v>
      </c>
      <c r="CM179" s="229">
        <v>7.6899999999999996E-2</v>
      </c>
      <c r="CN179" s="230">
        <v>1069250</v>
      </c>
      <c r="CO179" s="230">
        <v>3790800</v>
      </c>
      <c r="CP179" s="230">
        <v>-2721550</v>
      </c>
      <c r="CQ179" s="229">
        <v>-0.71789999999999998</v>
      </c>
      <c r="CR179" s="230">
        <v>943150</v>
      </c>
      <c r="CS179" s="230">
        <v>2096900</v>
      </c>
      <c r="CT179" s="230">
        <v>-1153750</v>
      </c>
      <c r="CU179" s="229">
        <v>-0.55020000000000002</v>
      </c>
      <c r="CV179" s="230">
        <v>11120850</v>
      </c>
      <c r="CW179" s="230">
        <v>16035500</v>
      </c>
      <c r="CX179" s="230">
        <v>-4914650</v>
      </c>
      <c r="CY179" s="229">
        <v>-0.30649999999999999</v>
      </c>
      <c r="CZ179" s="228">
        <v>28.99</v>
      </c>
      <c r="DA179" s="228">
        <v>30.4</v>
      </c>
      <c r="DB179" s="228">
        <v>-1.41</v>
      </c>
      <c r="DC179" s="228">
        <v>-1.41</v>
      </c>
      <c r="DD179" s="228">
        <v>45.99</v>
      </c>
      <c r="DE179" s="228">
        <v>46.11</v>
      </c>
      <c r="DF179" s="228">
        <v>-17</v>
      </c>
      <c r="DG179" s="228">
        <v>-0.12</v>
      </c>
      <c r="DH179" s="228">
        <v>29.67</v>
      </c>
      <c r="DI179" s="228">
        <v>30.72</v>
      </c>
      <c r="DJ179" s="228">
        <v>-1.05</v>
      </c>
      <c r="DK179" s="228">
        <v>-1.05</v>
      </c>
      <c r="DL179" s="228">
        <v>27.79</v>
      </c>
      <c r="DM179" s="228">
        <v>29.55</v>
      </c>
      <c r="DN179" s="228">
        <v>-1.76</v>
      </c>
      <c r="DO179" s="228">
        <v>-1.76</v>
      </c>
      <c r="DP179" s="228">
        <v>0.88</v>
      </c>
      <c r="DQ179" s="228">
        <v>0.55000000000000004</v>
      </c>
      <c r="DR179" s="228">
        <v>0.33</v>
      </c>
      <c r="DS179" s="229">
        <v>0.6</v>
      </c>
      <c r="DT179" s="231">
        <v>1100</v>
      </c>
      <c r="DU179" s="231">
        <v>1000</v>
      </c>
      <c r="DV179" s="228">
        <v>0.54</v>
      </c>
      <c r="DW179" s="228">
        <v>0.41</v>
      </c>
      <c r="DX179" s="228">
        <v>0.13</v>
      </c>
      <c r="DY179" s="229">
        <v>0.31709999999999999</v>
      </c>
      <c r="DZ179" s="229">
        <v>0.89649999999999996</v>
      </c>
      <c r="EA179" s="230">
        <v>8228350</v>
      </c>
      <c r="EB179" s="229">
        <v>-2.0000000000000001E-4</v>
      </c>
      <c r="EC179" s="229">
        <v>0.89649999999999996</v>
      </c>
      <c r="ED179" s="228">
        <v>-0.64</v>
      </c>
      <c r="EE179" s="229">
        <v>-5.9999999999999995E-4</v>
      </c>
      <c r="EF179" s="230">
        <v>476578</v>
      </c>
      <c r="EG179" s="230">
        <v>507843</v>
      </c>
      <c r="EH179" s="229">
        <v>-6.1600000000000002E-2</v>
      </c>
      <c r="EI179" s="229">
        <v>0.56299999999999994</v>
      </c>
      <c r="EJ179" s="231">
        <v>30059.77</v>
      </c>
      <c r="EK179" s="231">
        <v>15378.23</v>
      </c>
      <c r="EL179" s="231">
        <v>34796.54</v>
      </c>
      <c r="EM179" s="228">
        <v>0</v>
      </c>
      <c r="EN179" s="231">
        <v>80234.539999999994</v>
      </c>
      <c r="EO179" s="231">
        <v>89067.83</v>
      </c>
      <c r="EP179" s="231">
        <v>-8833.2900000000009</v>
      </c>
      <c r="EQ179" s="229">
        <v>-9.9199999999999997E-2</v>
      </c>
      <c r="ER179" s="231">
        <v>11473</v>
      </c>
      <c r="ES179" s="231">
        <v>9347</v>
      </c>
      <c r="ET179" s="231">
        <v>89833</v>
      </c>
      <c r="EU179" s="231">
        <v>37374767</v>
      </c>
      <c r="EV179" s="231">
        <v>110653</v>
      </c>
      <c r="EW179" s="231">
        <v>163610</v>
      </c>
      <c r="EX179" s="231">
        <v>-52957</v>
      </c>
      <c r="EY179" s="229">
        <v>-0.32369999999999999</v>
      </c>
      <c r="EZ179" s="229">
        <v>0.29749999999999999</v>
      </c>
      <c r="FA179" s="227" t="s">
        <v>568</v>
      </c>
      <c r="FB179" s="161">
        <f t="shared" si="4"/>
        <v>0</v>
      </c>
    </row>
    <row r="180" spans="1:158" ht="17.25" thickBot="1" x14ac:dyDescent="0.3">
      <c r="A180" s="226">
        <v>45869</v>
      </c>
      <c r="B180" s="227" t="s">
        <v>616</v>
      </c>
      <c r="C180" s="227" t="s">
        <v>574</v>
      </c>
      <c r="D180" s="228">
        <v>350</v>
      </c>
      <c r="E180" s="231">
        <v>1820</v>
      </c>
      <c r="F180" s="231">
        <v>1829.2</v>
      </c>
      <c r="G180" s="228">
        <v>-9.1999999999999993</v>
      </c>
      <c r="H180" s="229">
        <v>-5.0000000000000001E-3</v>
      </c>
      <c r="I180" s="231">
        <v>1812.1</v>
      </c>
      <c r="J180" s="231">
        <v>1821.4</v>
      </c>
      <c r="K180" s="228">
        <v>-9.3000000000000007</v>
      </c>
      <c r="L180" s="229">
        <v>-5.1000000000000004E-3</v>
      </c>
      <c r="M180" s="231">
        <v>1810.5</v>
      </c>
      <c r="N180" s="231">
        <v>1819.4</v>
      </c>
      <c r="O180" s="228">
        <v>-8.9</v>
      </c>
      <c r="P180" s="229">
        <v>-4.8999999999999998E-3</v>
      </c>
      <c r="Q180" s="231">
        <v>1820</v>
      </c>
      <c r="R180" s="231">
        <v>1829.2</v>
      </c>
      <c r="S180" s="228">
        <v>-9.1999999999999993</v>
      </c>
      <c r="T180" s="229">
        <v>-5.0000000000000001E-3</v>
      </c>
      <c r="U180" s="231">
        <v>1829.3</v>
      </c>
      <c r="V180" s="231">
        <v>1838.4</v>
      </c>
      <c r="W180" s="228">
        <v>-9.1</v>
      </c>
      <c r="X180" s="229">
        <v>-4.8999999999999998E-3</v>
      </c>
      <c r="Y180" s="228">
        <v>7.9</v>
      </c>
      <c r="Z180" s="228">
        <v>-2</v>
      </c>
      <c r="AA180" s="228">
        <v>9.9</v>
      </c>
      <c r="AB180" s="229">
        <v>4.4000000000000003E-3</v>
      </c>
      <c r="AC180" s="228">
        <v>-1.6</v>
      </c>
      <c r="AD180" s="228">
        <v>-2</v>
      </c>
      <c r="AE180" s="228">
        <v>0.4</v>
      </c>
      <c r="AF180" s="229">
        <v>-8.9999999999999998E-4</v>
      </c>
      <c r="AG180" s="228">
        <v>7.9</v>
      </c>
      <c r="AH180" s="228">
        <v>7.8</v>
      </c>
      <c r="AI180" s="228">
        <v>0.1</v>
      </c>
      <c r="AJ180" s="229">
        <v>4.4000000000000003E-3</v>
      </c>
      <c r="AK180" s="228">
        <v>17.2</v>
      </c>
      <c r="AL180" s="228">
        <v>17</v>
      </c>
      <c r="AM180" s="228">
        <v>0.2</v>
      </c>
      <c r="AN180" s="229">
        <v>9.4999999999999998E-3</v>
      </c>
      <c r="AO180" s="231">
        <v>1801.91</v>
      </c>
      <c r="AP180" s="231">
        <v>1811.8</v>
      </c>
      <c r="AQ180" s="228">
        <v>0</v>
      </c>
      <c r="AR180" s="230">
        <v>3656800</v>
      </c>
      <c r="AS180" s="230">
        <v>5109300</v>
      </c>
      <c r="AT180" s="230">
        <v>-1452500</v>
      </c>
      <c r="AU180" s="229">
        <v>-0.2843</v>
      </c>
      <c r="AV180" s="230">
        <v>1453550</v>
      </c>
      <c r="AW180" s="230">
        <v>2421650</v>
      </c>
      <c r="AX180" s="230">
        <v>-968100</v>
      </c>
      <c r="AY180" s="229">
        <v>-0.39979999999999999</v>
      </c>
      <c r="AZ180" s="230">
        <v>2182950</v>
      </c>
      <c r="BA180" s="230">
        <v>2676450</v>
      </c>
      <c r="BB180" s="230">
        <v>-493500</v>
      </c>
      <c r="BC180" s="229">
        <v>-0.18440000000000001</v>
      </c>
      <c r="BD180" s="230">
        <v>20300</v>
      </c>
      <c r="BE180" s="230">
        <v>11200</v>
      </c>
      <c r="BF180" s="230">
        <v>9100</v>
      </c>
      <c r="BG180" s="229">
        <v>0.8125</v>
      </c>
      <c r="BH180" s="230">
        <v>2731050</v>
      </c>
      <c r="BI180" s="230">
        <v>3113600</v>
      </c>
      <c r="BJ180" s="230">
        <v>-382550</v>
      </c>
      <c r="BK180" s="229">
        <v>-0.1229</v>
      </c>
      <c r="BL180" s="230">
        <v>1016050</v>
      </c>
      <c r="BM180" s="230">
        <v>791000</v>
      </c>
      <c r="BN180" s="230">
        <v>225050</v>
      </c>
      <c r="BO180" s="229">
        <v>0.28449999999999998</v>
      </c>
      <c r="BP180" s="230">
        <v>7403900</v>
      </c>
      <c r="BQ180" s="230">
        <v>9013900</v>
      </c>
      <c r="BR180" s="230">
        <v>-1610000</v>
      </c>
      <c r="BS180" s="229">
        <v>-0.17860000000000001</v>
      </c>
      <c r="BT180" s="230">
        <v>1157498</v>
      </c>
      <c r="BU180" s="230">
        <v>957142</v>
      </c>
      <c r="BV180" s="230">
        <v>200356</v>
      </c>
      <c r="BW180" s="229">
        <v>0.20930000000000001</v>
      </c>
      <c r="BX180" s="230">
        <v>7751450</v>
      </c>
      <c r="BY180" s="230">
        <v>8369900</v>
      </c>
      <c r="BZ180" s="230">
        <v>-618450</v>
      </c>
      <c r="CA180" s="229">
        <v>-7.3899999999999993E-2</v>
      </c>
      <c r="CB180" s="230">
        <v>521150</v>
      </c>
      <c r="CC180" s="230">
        <v>1358700</v>
      </c>
      <c r="CD180" s="230">
        <v>-837550</v>
      </c>
      <c r="CE180" s="229">
        <v>-0.61639999999999995</v>
      </c>
      <c r="CF180" s="230">
        <v>7728350</v>
      </c>
      <c r="CG180" s="230">
        <v>6990550</v>
      </c>
      <c r="CH180" s="230">
        <v>737800</v>
      </c>
      <c r="CI180" s="229">
        <v>0.1055</v>
      </c>
      <c r="CJ180" s="230">
        <v>23100</v>
      </c>
      <c r="CK180" s="230">
        <v>20650</v>
      </c>
      <c r="CL180" s="230">
        <v>2450</v>
      </c>
      <c r="CM180" s="229">
        <v>0.1186</v>
      </c>
      <c r="CN180" s="230">
        <v>333900</v>
      </c>
      <c r="CO180" s="230">
        <v>1530900</v>
      </c>
      <c r="CP180" s="230">
        <v>-1197000</v>
      </c>
      <c r="CQ180" s="229">
        <v>-0.78190000000000004</v>
      </c>
      <c r="CR180" s="230">
        <v>423850</v>
      </c>
      <c r="CS180" s="230">
        <v>1036000</v>
      </c>
      <c r="CT180" s="230">
        <v>-612150</v>
      </c>
      <c r="CU180" s="229">
        <v>-0.59089999999999998</v>
      </c>
      <c r="CV180" s="230">
        <v>8509200</v>
      </c>
      <c r="CW180" s="230">
        <v>10936800</v>
      </c>
      <c r="CX180" s="230">
        <v>-2427600</v>
      </c>
      <c r="CY180" s="229">
        <v>-0.222</v>
      </c>
      <c r="CZ180" s="228">
        <v>36.340000000000003</v>
      </c>
      <c r="DA180" s="228">
        <v>37.71</v>
      </c>
      <c r="DB180" s="228">
        <v>-1.37</v>
      </c>
      <c r="DC180" s="228">
        <v>-1.37</v>
      </c>
      <c r="DD180" s="228">
        <v>51.03</v>
      </c>
      <c r="DE180" s="228">
        <v>51.15</v>
      </c>
      <c r="DF180" s="228">
        <v>-14.69</v>
      </c>
      <c r="DG180" s="228">
        <v>-0.12</v>
      </c>
      <c r="DH180" s="228">
        <v>36.51</v>
      </c>
      <c r="DI180" s="228">
        <v>37.340000000000003</v>
      </c>
      <c r="DJ180" s="228">
        <v>-0.83</v>
      </c>
      <c r="DK180" s="228">
        <v>-0.83</v>
      </c>
      <c r="DL180" s="228">
        <v>36.130000000000003</v>
      </c>
      <c r="DM180" s="228">
        <v>38.200000000000003</v>
      </c>
      <c r="DN180" s="228">
        <v>-2.0699999999999998</v>
      </c>
      <c r="DO180" s="228">
        <v>-2.0699999999999998</v>
      </c>
      <c r="DP180" s="228">
        <v>1.27</v>
      </c>
      <c r="DQ180" s="228">
        <v>0.68</v>
      </c>
      <c r="DR180" s="228">
        <v>0.59</v>
      </c>
      <c r="DS180" s="229">
        <v>0.86760000000000004</v>
      </c>
      <c r="DT180" s="231">
        <v>2000</v>
      </c>
      <c r="DU180" s="231">
        <v>1700</v>
      </c>
      <c r="DV180" s="228">
        <v>0.37</v>
      </c>
      <c r="DW180" s="228">
        <v>0.25</v>
      </c>
      <c r="DX180" s="228">
        <v>0.12</v>
      </c>
      <c r="DY180" s="229">
        <v>0.48</v>
      </c>
      <c r="DZ180" s="229">
        <v>0.93700000000000006</v>
      </c>
      <c r="EA180" s="230">
        <v>7011200</v>
      </c>
      <c r="EB180" s="229">
        <v>5.1999999999999998E-3</v>
      </c>
      <c r="EC180" s="229">
        <v>0.93700000000000006</v>
      </c>
      <c r="ED180" s="228">
        <v>9.89</v>
      </c>
      <c r="EE180" s="229">
        <v>5.4999999999999997E-3</v>
      </c>
      <c r="EF180" s="230">
        <v>478005</v>
      </c>
      <c r="EG180" s="230">
        <v>570435</v>
      </c>
      <c r="EH180" s="229">
        <v>-0.16200000000000001</v>
      </c>
      <c r="EI180" s="229">
        <v>0.41299999999999998</v>
      </c>
      <c r="EJ180" s="231">
        <v>51634.5</v>
      </c>
      <c r="EK180" s="231">
        <v>18129.52</v>
      </c>
      <c r="EL180" s="231">
        <v>66111.86</v>
      </c>
      <c r="EM180" s="228">
        <v>0</v>
      </c>
      <c r="EN180" s="231">
        <v>135875.88</v>
      </c>
      <c r="EO180" s="231">
        <v>165695</v>
      </c>
      <c r="EP180" s="231">
        <v>-29819.119999999999</v>
      </c>
      <c r="EQ180" s="229">
        <v>-0.18</v>
      </c>
      <c r="ER180" s="231">
        <v>6238</v>
      </c>
      <c r="ES180" s="231">
        <v>7288</v>
      </c>
      <c r="ET180" s="231">
        <v>141079</v>
      </c>
      <c r="EU180" s="231">
        <v>91593795</v>
      </c>
      <c r="EV180" s="231">
        <v>154604</v>
      </c>
      <c r="EW180" s="231">
        <v>200534</v>
      </c>
      <c r="EX180" s="231">
        <v>-45930</v>
      </c>
      <c r="EY180" s="229">
        <v>-0.22900000000000001</v>
      </c>
      <c r="EZ180" s="229">
        <v>9.2899999999999996E-2</v>
      </c>
      <c r="FA180" s="227" t="s">
        <v>568</v>
      </c>
      <c r="FB180" s="161">
        <f t="shared" si="4"/>
        <v>0</v>
      </c>
    </row>
    <row r="181" spans="1:158" ht="17.25" thickBot="1" x14ac:dyDescent="0.3">
      <c r="A181" s="226">
        <v>45869</v>
      </c>
      <c r="B181" s="227" t="s">
        <v>184</v>
      </c>
      <c r="C181" s="227" t="s">
        <v>519</v>
      </c>
      <c r="D181" s="228">
        <v>125</v>
      </c>
      <c r="E181" s="231">
        <v>6837</v>
      </c>
      <c r="F181" s="231">
        <v>6964.5</v>
      </c>
      <c r="G181" s="228">
        <v>-127.5</v>
      </c>
      <c r="H181" s="229">
        <v>-1.83E-2</v>
      </c>
      <c r="I181" s="231">
        <v>6821</v>
      </c>
      <c r="J181" s="231">
        <v>6931</v>
      </c>
      <c r="K181" s="228">
        <v>-110</v>
      </c>
      <c r="L181" s="229">
        <v>-1.5900000000000001E-2</v>
      </c>
      <c r="M181" s="231">
        <v>6800</v>
      </c>
      <c r="N181" s="231">
        <v>6930.5</v>
      </c>
      <c r="O181" s="228">
        <v>-130.5</v>
      </c>
      <c r="P181" s="229">
        <v>-1.8800000000000001E-2</v>
      </c>
      <c r="Q181" s="231">
        <v>6837</v>
      </c>
      <c r="R181" s="231">
        <v>6964.5</v>
      </c>
      <c r="S181" s="228">
        <v>-127.5</v>
      </c>
      <c r="T181" s="229">
        <v>-1.83E-2</v>
      </c>
      <c r="U181" s="231">
        <v>6878.5</v>
      </c>
      <c r="V181" s="231">
        <v>7003.5</v>
      </c>
      <c r="W181" s="228">
        <v>-125</v>
      </c>
      <c r="X181" s="229">
        <v>-1.78E-2</v>
      </c>
      <c r="Y181" s="228">
        <v>16</v>
      </c>
      <c r="Z181" s="228">
        <v>-0.5</v>
      </c>
      <c r="AA181" s="228">
        <v>16.5</v>
      </c>
      <c r="AB181" s="229">
        <v>2.3E-3</v>
      </c>
      <c r="AC181" s="228">
        <v>-21</v>
      </c>
      <c r="AD181" s="228">
        <v>-0.5</v>
      </c>
      <c r="AE181" s="228">
        <v>-20.5</v>
      </c>
      <c r="AF181" s="229">
        <v>-3.0999999999999999E-3</v>
      </c>
      <c r="AG181" s="228">
        <v>16</v>
      </c>
      <c r="AH181" s="228">
        <v>33.5</v>
      </c>
      <c r="AI181" s="228">
        <v>-17.5</v>
      </c>
      <c r="AJ181" s="229">
        <v>2.3E-3</v>
      </c>
      <c r="AK181" s="228">
        <v>57.5</v>
      </c>
      <c r="AL181" s="228">
        <v>72.5</v>
      </c>
      <c r="AM181" s="228">
        <v>-15</v>
      </c>
      <c r="AN181" s="229">
        <v>8.3999999999999995E-3</v>
      </c>
      <c r="AO181" s="231">
        <v>6799.82</v>
      </c>
      <c r="AP181" s="231">
        <v>6828.14</v>
      </c>
      <c r="AQ181" s="228">
        <v>0</v>
      </c>
      <c r="AR181" s="230">
        <v>1935500</v>
      </c>
      <c r="AS181" s="230">
        <v>985125</v>
      </c>
      <c r="AT181" s="230">
        <v>950375</v>
      </c>
      <c r="AU181" s="229">
        <v>0.9647</v>
      </c>
      <c r="AV181" s="230">
        <v>650125</v>
      </c>
      <c r="AW181" s="230">
        <v>480875</v>
      </c>
      <c r="AX181" s="230">
        <v>169250</v>
      </c>
      <c r="AY181" s="229">
        <v>0.35199999999999998</v>
      </c>
      <c r="AZ181" s="230">
        <v>1265875</v>
      </c>
      <c r="BA181" s="230">
        <v>499250</v>
      </c>
      <c r="BB181" s="230">
        <v>766625</v>
      </c>
      <c r="BC181" s="229">
        <v>1.5356000000000001</v>
      </c>
      <c r="BD181" s="230">
        <v>19500</v>
      </c>
      <c r="BE181" s="230">
        <v>5000</v>
      </c>
      <c r="BF181" s="230">
        <v>14500</v>
      </c>
      <c r="BG181" s="229">
        <v>2.9</v>
      </c>
      <c r="BH181" s="230">
        <v>2033000</v>
      </c>
      <c r="BI181" s="230">
        <v>1420500</v>
      </c>
      <c r="BJ181" s="230">
        <v>612500</v>
      </c>
      <c r="BK181" s="229">
        <v>0.43120000000000003</v>
      </c>
      <c r="BL181" s="230">
        <v>1167875</v>
      </c>
      <c r="BM181" s="230">
        <v>1011500</v>
      </c>
      <c r="BN181" s="230">
        <v>156375</v>
      </c>
      <c r="BO181" s="229">
        <v>0.15459999999999999</v>
      </c>
      <c r="BP181" s="230">
        <v>5136375</v>
      </c>
      <c r="BQ181" s="230">
        <v>3417125</v>
      </c>
      <c r="BR181" s="230">
        <v>1719250</v>
      </c>
      <c r="BS181" s="229">
        <v>0.50309999999999999</v>
      </c>
      <c r="BT181" s="230">
        <v>702034</v>
      </c>
      <c r="BU181" s="230">
        <v>229670</v>
      </c>
      <c r="BV181" s="230">
        <v>472364</v>
      </c>
      <c r="BW181" s="229">
        <v>2.0567000000000002</v>
      </c>
      <c r="BX181" s="230">
        <v>1832125</v>
      </c>
      <c r="BY181" s="230">
        <v>2080375</v>
      </c>
      <c r="BZ181" s="230">
        <v>-248250</v>
      </c>
      <c r="CA181" s="229">
        <v>-0.1193</v>
      </c>
      <c r="CB181" s="230">
        <v>139250</v>
      </c>
      <c r="CC181" s="230">
        <v>450625</v>
      </c>
      <c r="CD181" s="230">
        <v>-311375</v>
      </c>
      <c r="CE181" s="229">
        <v>-0.69099999999999995</v>
      </c>
      <c r="CF181" s="230">
        <v>1800125</v>
      </c>
      <c r="CG181" s="230">
        <v>1601375</v>
      </c>
      <c r="CH181" s="230">
        <v>198750</v>
      </c>
      <c r="CI181" s="229">
        <v>0.1241</v>
      </c>
      <c r="CJ181" s="230">
        <v>32000</v>
      </c>
      <c r="CK181" s="230">
        <v>28375</v>
      </c>
      <c r="CL181" s="230">
        <v>3625</v>
      </c>
      <c r="CM181" s="229">
        <v>0.1278</v>
      </c>
      <c r="CN181" s="230">
        <v>533000</v>
      </c>
      <c r="CO181" s="230">
        <v>1226625</v>
      </c>
      <c r="CP181" s="230">
        <v>-693625</v>
      </c>
      <c r="CQ181" s="229">
        <v>-0.5655</v>
      </c>
      <c r="CR181" s="230">
        <v>310250</v>
      </c>
      <c r="CS181" s="230">
        <v>950000</v>
      </c>
      <c r="CT181" s="230">
        <v>-639750</v>
      </c>
      <c r="CU181" s="229">
        <v>-0.6734</v>
      </c>
      <c r="CV181" s="230">
        <v>2675375</v>
      </c>
      <c r="CW181" s="230">
        <v>4257000</v>
      </c>
      <c r="CX181" s="230">
        <v>-1581625</v>
      </c>
      <c r="CY181" s="229">
        <v>-0.3715</v>
      </c>
      <c r="CZ181" s="228">
        <v>26.42</v>
      </c>
      <c r="DA181" s="228">
        <v>25.57</v>
      </c>
      <c r="DB181" s="228">
        <v>0.85</v>
      </c>
      <c r="DC181" s="228">
        <v>0.85</v>
      </c>
      <c r="DD181" s="228">
        <v>44.92</v>
      </c>
      <c r="DE181" s="228">
        <v>44.98</v>
      </c>
      <c r="DF181" s="228">
        <v>-18.5</v>
      </c>
      <c r="DG181" s="228">
        <v>-0.06</v>
      </c>
      <c r="DH181" s="228">
        <v>26.27</v>
      </c>
      <c r="DI181" s="228">
        <v>25.37</v>
      </c>
      <c r="DJ181" s="228">
        <v>0.9</v>
      </c>
      <c r="DK181" s="228">
        <v>0.9</v>
      </c>
      <c r="DL181" s="228">
        <v>26.68</v>
      </c>
      <c r="DM181" s="228">
        <v>25.95</v>
      </c>
      <c r="DN181" s="228">
        <v>0.73</v>
      </c>
      <c r="DO181" s="228">
        <v>0.73</v>
      </c>
      <c r="DP181" s="228">
        <v>0.57999999999999996</v>
      </c>
      <c r="DQ181" s="228">
        <v>0.77</v>
      </c>
      <c r="DR181" s="228">
        <v>-0.19</v>
      </c>
      <c r="DS181" s="229">
        <v>-0.24679999999999999</v>
      </c>
      <c r="DT181" s="231">
        <v>7000</v>
      </c>
      <c r="DU181" s="231">
        <v>7000</v>
      </c>
      <c r="DV181" s="228">
        <v>0.56999999999999995</v>
      </c>
      <c r="DW181" s="228">
        <v>0.71</v>
      </c>
      <c r="DX181" s="228">
        <v>-0.14000000000000001</v>
      </c>
      <c r="DY181" s="229">
        <v>-0.19719999999999999</v>
      </c>
      <c r="DZ181" s="229">
        <v>0.9294</v>
      </c>
      <c r="EA181" s="230">
        <v>1629750</v>
      </c>
      <c r="EB181" s="229">
        <v>5.4000000000000003E-3</v>
      </c>
      <c r="EC181" s="229">
        <v>0.9294</v>
      </c>
      <c r="ED181" s="228">
        <v>28.32</v>
      </c>
      <c r="EE181" s="229">
        <v>4.1999999999999997E-3</v>
      </c>
      <c r="EF181" s="230">
        <v>382384</v>
      </c>
      <c r="EG181" s="230">
        <v>128383</v>
      </c>
      <c r="EH181" s="229">
        <v>1.9784999999999999</v>
      </c>
      <c r="EI181" s="229">
        <v>0.54469999999999996</v>
      </c>
      <c r="EJ181" s="231">
        <v>144470.10999999999</v>
      </c>
      <c r="EK181" s="231">
        <v>79029.289999999994</v>
      </c>
      <c r="EL181" s="231">
        <v>131980.87</v>
      </c>
      <c r="EM181" s="228">
        <v>0</v>
      </c>
      <c r="EN181" s="231">
        <v>355480.27</v>
      </c>
      <c r="EO181" s="231">
        <v>237682.23</v>
      </c>
      <c r="EP181" s="231">
        <v>117798.04</v>
      </c>
      <c r="EQ181" s="229">
        <v>0.49559999999999998</v>
      </c>
      <c r="ER181" s="231">
        <v>36887</v>
      </c>
      <c r="ES181" s="231">
        <v>20776</v>
      </c>
      <c r="ET181" s="231">
        <v>125276</v>
      </c>
      <c r="EU181" s="231">
        <v>11118199</v>
      </c>
      <c r="EV181" s="231">
        <v>182939</v>
      </c>
      <c r="EW181" s="231">
        <v>292229</v>
      </c>
      <c r="EX181" s="231">
        <v>-109290</v>
      </c>
      <c r="EY181" s="229">
        <v>-0.374</v>
      </c>
      <c r="EZ181" s="229">
        <v>0.24060000000000001</v>
      </c>
      <c r="FA181" s="227" t="s">
        <v>568</v>
      </c>
      <c r="FB181" s="161">
        <f t="shared" si="4"/>
        <v>0</v>
      </c>
    </row>
    <row r="182" spans="1:158" ht="17.25" thickBot="1" x14ac:dyDescent="0.3">
      <c r="A182" s="226">
        <v>45869</v>
      </c>
      <c r="B182" s="227" t="s">
        <v>175</v>
      </c>
      <c r="C182" s="227" t="s">
        <v>597</v>
      </c>
      <c r="D182" s="228">
        <v>1700</v>
      </c>
      <c r="E182" s="228">
        <v>423.95</v>
      </c>
      <c r="F182" s="228">
        <v>416.6</v>
      </c>
      <c r="G182" s="228">
        <v>7.35</v>
      </c>
      <c r="H182" s="229">
        <v>1.7600000000000001E-2</v>
      </c>
      <c r="I182" s="228">
        <v>422.25</v>
      </c>
      <c r="J182" s="228">
        <v>414</v>
      </c>
      <c r="K182" s="228">
        <v>8.25</v>
      </c>
      <c r="L182" s="229">
        <v>1.9900000000000001E-2</v>
      </c>
      <c r="M182" s="228">
        <v>422.2</v>
      </c>
      <c r="N182" s="228">
        <v>414.8</v>
      </c>
      <c r="O182" s="228">
        <v>7.4</v>
      </c>
      <c r="P182" s="229">
        <v>1.78E-2</v>
      </c>
      <c r="Q182" s="228">
        <v>423.95</v>
      </c>
      <c r="R182" s="228">
        <v>416.6</v>
      </c>
      <c r="S182" s="228">
        <v>7.35</v>
      </c>
      <c r="T182" s="229">
        <v>1.7600000000000001E-2</v>
      </c>
      <c r="U182" s="228">
        <v>0</v>
      </c>
      <c r="V182" s="228">
        <v>0</v>
      </c>
      <c r="W182" s="228">
        <v>0</v>
      </c>
      <c r="X182" s="229">
        <v>0</v>
      </c>
      <c r="Y182" s="228">
        <v>1.7</v>
      </c>
      <c r="Z182" s="228">
        <v>0.8</v>
      </c>
      <c r="AA182" s="228">
        <v>0.9</v>
      </c>
      <c r="AB182" s="229">
        <v>4.0000000000000001E-3</v>
      </c>
      <c r="AC182" s="228">
        <v>-0.05</v>
      </c>
      <c r="AD182" s="228">
        <v>0.8</v>
      </c>
      <c r="AE182" s="228">
        <v>-0.85</v>
      </c>
      <c r="AF182" s="229">
        <v>-1E-4</v>
      </c>
      <c r="AG182" s="228">
        <v>1.7</v>
      </c>
      <c r="AH182" s="228">
        <v>2.6</v>
      </c>
      <c r="AI182" s="228">
        <v>-0.9</v>
      </c>
      <c r="AJ182" s="229">
        <v>4.0000000000000001E-3</v>
      </c>
      <c r="AK182" s="228">
        <v>0</v>
      </c>
      <c r="AL182" s="228">
        <v>0</v>
      </c>
      <c r="AM182" s="228">
        <v>0</v>
      </c>
      <c r="AN182" s="229">
        <v>0</v>
      </c>
      <c r="AO182" s="228">
        <v>423.61</v>
      </c>
      <c r="AP182" s="228">
        <v>425.48</v>
      </c>
      <c r="AQ182" s="228">
        <v>0</v>
      </c>
      <c r="AR182" s="230">
        <v>10099700</v>
      </c>
      <c r="AS182" s="230">
        <v>12634400</v>
      </c>
      <c r="AT182" s="230">
        <v>-2534700</v>
      </c>
      <c r="AU182" s="229">
        <v>-0.2006</v>
      </c>
      <c r="AV182" s="230">
        <v>5004800</v>
      </c>
      <c r="AW182" s="230">
        <v>6176100</v>
      </c>
      <c r="AX182" s="230">
        <v>-1171300</v>
      </c>
      <c r="AY182" s="229">
        <v>-0.18970000000000001</v>
      </c>
      <c r="AZ182" s="230">
        <v>5094900</v>
      </c>
      <c r="BA182" s="230">
        <v>6458300</v>
      </c>
      <c r="BB182" s="230">
        <v>-1363400</v>
      </c>
      <c r="BC182" s="229">
        <v>-0.21110000000000001</v>
      </c>
      <c r="BD182" s="228">
        <v>0</v>
      </c>
      <c r="BE182" s="228">
        <v>0</v>
      </c>
      <c r="BF182" s="228">
        <v>0</v>
      </c>
      <c r="BG182" s="229">
        <v>0</v>
      </c>
      <c r="BH182" s="230">
        <v>7629600</v>
      </c>
      <c r="BI182" s="230">
        <v>11641600</v>
      </c>
      <c r="BJ182" s="230">
        <v>-4012000</v>
      </c>
      <c r="BK182" s="229">
        <v>-0.34460000000000002</v>
      </c>
      <c r="BL182" s="230">
        <v>3496900</v>
      </c>
      <c r="BM182" s="230">
        <v>5754500</v>
      </c>
      <c r="BN182" s="230">
        <v>-2257600</v>
      </c>
      <c r="BO182" s="229">
        <v>-0.39229999999999998</v>
      </c>
      <c r="BP182" s="230">
        <v>21226200</v>
      </c>
      <c r="BQ182" s="230">
        <v>30030500</v>
      </c>
      <c r="BR182" s="230">
        <v>-8804300</v>
      </c>
      <c r="BS182" s="229">
        <v>-0.29320000000000002</v>
      </c>
      <c r="BT182" s="230">
        <v>2349350</v>
      </c>
      <c r="BU182" s="230">
        <v>1457944</v>
      </c>
      <c r="BV182" s="230">
        <v>891406</v>
      </c>
      <c r="BW182" s="229">
        <v>0.61140000000000005</v>
      </c>
      <c r="BX182" s="230">
        <v>11446100</v>
      </c>
      <c r="BY182" s="230">
        <v>15111300</v>
      </c>
      <c r="BZ182" s="230">
        <v>-3665200</v>
      </c>
      <c r="CA182" s="229">
        <v>-0.24249999999999999</v>
      </c>
      <c r="CB182" s="230">
        <v>2507500</v>
      </c>
      <c r="CC182" s="230">
        <v>4319700</v>
      </c>
      <c r="CD182" s="230">
        <v>-1812200</v>
      </c>
      <c r="CE182" s="229">
        <v>-0.41949999999999998</v>
      </c>
      <c r="CF182" s="230">
        <v>11446100</v>
      </c>
      <c r="CG182" s="230">
        <v>10791600</v>
      </c>
      <c r="CH182" s="230">
        <v>654500</v>
      </c>
      <c r="CI182" s="229">
        <v>6.0600000000000001E-2</v>
      </c>
      <c r="CJ182" s="228">
        <v>0</v>
      </c>
      <c r="CK182" s="228">
        <v>0</v>
      </c>
      <c r="CL182" s="228">
        <v>0</v>
      </c>
      <c r="CM182" s="229">
        <v>0</v>
      </c>
      <c r="CN182" s="230">
        <v>2475200</v>
      </c>
      <c r="CO182" s="230">
        <v>8539100</v>
      </c>
      <c r="CP182" s="230">
        <v>-6063900</v>
      </c>
      <c r="CQ182" s="229">
        <v>-0.71009999999999995</v>
      </c>
      <c r="CR182" s="230">
        <v>1637100</v>
      </c>
      <c r="CS182" s="230">
        <v>4550900</v>
      </c>
      <c r="CT182" s="230">
        <v>-2913800</v>
      </c>
      <c r="CU182" s="229">
        <v>-0.64029999999999998</v>
      </c>
      <c r="CV182" s="230">
        <v>15558400</v>
      </c>
      <c r="CW182" s="230">
        <v>28201300</v>
      </c>
      <c r="CX182" s="230">
        <v>-12642900</v>
      </c>
      <c r="CY182" s="229">
        <v>-0.44829999999999998</v>
      </c>
      <c r="CZ182" s="228">
        <v>36.119999999999997</v>
      </c>
      <c r="DA182" s="228">
        <v>36.619999999999997</v>
      </c>
      <c r="DB182" s="228">
        <v>-0.5</v>
      </c>
      <c r="DC182" s="228">
        <v>-0.5</v>
      </c>
      <c r="DD182" s="228">
        <v>44.89</v>
      </c>
      <c r="DE182" s="228">
        <v>44.94</v>
      </c>
      <c r="DF182" s="228">
        <v>-8.77</v>
      </c>
      <c r="DG182" s="228">
        <v>-0.05</v>
      </c>
      <c r="DH182" s="228">
        <v>35.93</v>
      </c>
      <c r="DI182" s="228">
        <v>36.64</v>
      </c>
      <c r="DJ182" s="228">
        <v>-0.71</v>
      </c>
      <c r="DK182" s="228">
        <v>-0.71</v>
      </c>
      <c r="DL182" s="228">
        <v>36.6</v>
      </c>
      <c r="DM182" s="228">
        <v>36.58</v>
      </c>
      <c r="DN182" s="228">
        <v>0.02</v>
      </c>
      <c r="DO182" s="228">
        <v>0.02</v>
      </c>
      <c r="DP182" s="228">
        <v>0.66</v>
      </c>
      <c r="DQ182" s="228">
        <v>0.53</v>
      </c>
      <c r="DR182" s="228">
        <v>0.13</v>
      </c>
      <c r="DS182" s="229">
        <v>0.24529999999999999</v>
      </c>
      <c r="DT182" s="228">
        <v>440</v>
      </c>
      <c r="DU182" s="228">
        <v>400</v>
      </c>
      <c r="DV182" s="228">
        <v>0.46</v>
      </c>
      <c r="DW182" s="228">
        <v>0.49</v>
      </c>
      <c r="DX182" s="228">
        <v>-0.03</v>
      </c>
      <c r="DY182" s="229">
        <v>-6.1199999999999997E-2</v>
      </c>
      <c r="DZ182" s="229">
        <v>0.82030000000000003</v>
      </c>
      <c r="EA182" s="230">
        <v>10791600</v>
      </c>
      <c r="EB182" s="229">
        <v>4.1000000000000003E-3</v>
      </c>
      <c r="EC182" s="229">
        <v>0.82030000000000003</v>
      </c>
      <c r="ED182" s="228">
        <v>1.87</v>
      </c>
      <c r="EE182" s="229">
        <v>4.4000000000000003E-3</v>
      </c>
      <c r="EF182" s="230">
        <v>728332</v>
      </c>
      <c r="EG182" s="230">
        <v>292635</v>
      </c>
      <c r="EH182" s="229">
        <v>1.4888999999999999</v>
      </c>
      <c r="EI182" s="229">
        <v>0.31</v>
      </c>
      <c r="EJ182" s="231">
        <v>33988.17</v>
      </c>
      <c r="EK182" s="231">
        <v>14747.06</v>
      </c>
      <c r="EL182" s="231">
        <v>42878.64</v>
      </c>
      <c r="EM182" s="228">
        <v>0</v>
      </c>
      <c r="EN182" s="231">
        <v>91613.87</v>
      </c>
      <c r="EO182" s="231">
        <v>128291.61</v>
      </c>
      <c r="EP182" s="231">
        <v>-36677.74</v>
      </c>
      <c r="EQ182" s="229">
        <v>-0.28589999999999999</v>
      </c>
      <c r="ER182" s="231">
        <v>11127</v>
      </c>
      <c r="ES182" s="231">
        <v>6542</v>
      </c>
      <c r="ET182" s="231">
        <v>48526</v>
      </c>
      <c r="EU182" s="231">
        <v>57287573</v>
      </c>
      <c r="EV182" s="231">
        <v>66195</v>
      </c>
      <c r="EW182" s="231">
        <v>119972</v>
      </c>
      <c r="EX182" s="231">
        <v>-53777</v>
      </c>
      <c r="EY182" s="229">
        <v>-0.44819999999999999</v>
      </c>
      <c r="EZ182" s="229">
        <v>0.27160000000000001</v>
      </c>
      <c r="FA182" s="227" t="s">
        <v>556</v>
      </c>
      <c r="FB182" s="161">
        <f t="shared" si="4"/>
        <v>0</v>
      </c>
    </row>
    <row r="183" spans="1:158" ht="17.25" thickBot="1" x14ac:dyDescent="0.3">
      <c r="A183" s="226">
        <v>45869</v>
      </c>
      <c r="B183" s="227" t="s">
        <v>161</v>
      </c>
      <c r="C183" s="227" t="s">
        <v>276</v>
      </c>
      <c r="D183" s="228">
        <v>1900</v>
      </c>
      <c r="E183" s="228">
        <v>291.89999999999998</v>
      </c>
      <c r="F183" s="228">
        <v>289.45</v>
      </c>
      <c r="G183" s="228">
        <v>2.4500000000000002</v>
      </c>
      <c r="H183" s="229">
        <v>8.5000000000000006E-3</v>
      </c>
      <c r="I183" s="228">
        <v>291</v>
      </c>
      <c r="J183" s="228">
        <v>288.95</v>
      </c>
      <c r="K183" s="228">
        <v>2.0499999999999998</v>
      </c>
      <c r="L183" s="229">
        <v>7.1000000000000004E-3</v>
      </c>
      <c r="M183" s="228">
        <v>291.7</v>
      </c>
      <c r="N183" s="228">
        <v>289.25</v>
      </c>
      <c r="O183" s="228">
        <v>2.4500000000000002</v>
      </c>
      <c r="P183" s="229">
        <v>8.5000000000000006E-3</v>
      </c>
      <c r="Q183" s="228">
        <v>291.89999999999998</v>
      </c>
      <c r="R183" s="228">
        <v>289.45</v>
      </c>
      <c r="S183" s="228">
        <v>2.4500000000000002</v>
      </c>
      <c r="T183" s="229">
        <v>8.5000000000000006E-3</v>
      </c>
      <c r="U183" s="228">
        <v>292.60000000000002</v>
      </c>
      <c r="V183" s="228">
        <v>290.95</v>
      </c>
      <c r="W183" s="228">
        <v>1.65</v>
      </c>
      <c r="X183" s="229">
        <v>5.7000000000000002E-3</v>
      </c>
      <c r="Y183" s="228">
        <v>0.9</v>
      </c>
      <c r="Z183" s="228">
        <v>0.3</v>
      </c>
      <c r="AA183" s="228">
        <v>0.6</v>
      </c>
      <c r="AB183" s="229">
        <v>3.0999999999999999E-3</v>
      </c>
      <c r="AC183" s="228">
        <v>0.7</v>
      </c>
      <c r="AD183" s="228">
        <v>0.3</v>
      </c>
      <c r="AE183" s="228">
        <v>0.4</v>
      </c>
      <c r="AF183" s="229">
        <v>2.3999999999999998E-3</v>
      </c>
      <c r="AG183" s="228">
        <v>0.9</v>
      </c>
      <c r="AH183" s="228">
        <v>0.5</v>
      </c>
      <c r="AI183" s="228">
        <v>0.4</v>
      </c>
      <c r="AJ183" s="229">
        <v>3.0999999999999999E-3</v>
      </c>
      <c r="AK183" s="228">
        <v>1.6</v>
      </c>
      <c r="AL183" s="228">
        <v>2</v>
      </c>
      <c r="AM183" s="228">
        <v>-0.4</v>
      </c>
      <c r="AN183" s="229">
        <v>5.4999999999999997E-3</v>
      </c>
      <c r="AO183" s="228">
        <v>292.02999999999997</v>
      </c>
      <c r="AP183" s="228">
        <v>292.48</v>
      </c>
      <c r="AQ183" s="228">
        <v>0</v>
      </c>
      <c r="AR183" s="230">
        <v>29379700</v>
      </c>
      <c r="AS183" s="230">
        <v>44640500</v>
      </c>
      <c r="AT183" s="230">
        <v>-15260800</v>
      </c>
      <c r="AU183" s="229">
        <v>-0.34189999999999998</v>
      </c>
      <c r="AV183" s="230">
        <v>11335400</v>
      </c>
      <c r="AW183" s="230">
        <v>20094400</v>
      </c>
      <c r="AX183" s="230">
        <v>-8759000</v>
      </c>
      <c r="AY183" s="229">
        <v>-0.43590000000000001</v>
      </c>
      <c r="AZ183" s="230">
        <v>16053100</v>
      </c>
      <c r="BA183" s="230">
        <v>23666400</v>
      </c>
      <c r="BB183" s="230">
        <v>-7613300</v>
      </c>
      <c r="BC183" s="229">
        <v>-0.32169999999999999</v>
      </c>
      <c r="BD183" s="230">
        <v>1991200</v>
      </c>
      <c r="BE183" s="230">
        <v>879700</v>
      </c>
      <c r="BF183" s="230">
        <v>1111500</v>
      </c>
      <c r="BG183" s="229">
        <v>1.2635000000000001</v>
      </c>
      <c r="BH183" s="230">
        <v>27937600</v>
      </c>
      <c r="BI183" s="230">
        <v>42134400</v>
      </c>
      <c r="BJ183" s="230">
        <v>-14196800</v>
      </c>
      <c r="BK183" s="229">
        <v>-0.33689999999999998</v>
      </c>
      <c r="BL183" s="230">
        <v>20111500</v>
      </c>
      <c r="BM183" s="230">
        <v>37110800</v>
      </c>
      <c r="BN183" s="230">
        <v>-16999300</v>
      </c>
      <c r="BO183" s="229">
        <v>-0.45810000000000001</v>
      </c>
      <c r="BP183" s="230">
        <v>77428800</v>
      </c>
      <c r="BQ183" s="230">
        <v>123885700</v>
      </c>
      <c r="BR183" s="230">
        <v>-46456900</v>
      </c>
      <c r="BS183" s="229">
        <v>-0.375</v>
      </c>
      <c r="BT183" s="230">
        <v>14561504</v>
      </c>
      <c r="BU183" s="230">
        <v>10751899</v>
      </c>
      <c r="BV183" s="230">
        <v>3809605</v>
      </c>
      <c r="BW183" s="229">
        <v>0.3543</v>
      </c>
      <c r="BX183" s="230">
        <v>70231600</v>
      </c>
      <c r="BY183" s="230">
        <v>78768300</v>
      </c>
      <c r="BZ183" s="230">
        <v>-8536700</v>
      </c>
      <c r="CA183" s="229">
        <v>-0.1084</v>
      </c>
      <c r="CB183" s="230">
        <v>8580400</v>
      </c>
      <c r="CC183" s="230">
        <v>11768600</v>
      </c>
      <c r="CD183" s="230">
        <v>-3188200</v>
      </c>
      <c r="CE183" s="229">
        <v>-0.27089999999999997</v>
      </c>
      <c r="CF183" s="230">
        <v>68253700</v>
      </c>
      <c r="CG183" s="230">
        <v>66237800</v>
      </c>
      <c r="CH183" s="230">
        <v>2015900</v>
      </c>
      <c r="CI183" s="229">
        <v>3.04E-2</v>
      </c>
      <c r="CJ183" s="230">
        <v>1977900</v>
      </c>
      <c r="CK183" s="230">
        <v>761900</v>
      </c>
      <c r="CL183" s="230">
        <v>1216000</v>
      </c>
      <c r="CM183" s="229">
        <v>1.5960000000000001</v>
      </c>
      <c r="CN183" s="230">
        <v>8595600</v>
      </c>
      <c r="CO183" s="230">
        <v>27352400</v>
      </c>
      <c r="CP183" s="230">
        <v>-18756800</v>
      </c>
      <c r="CQ183" s="229">
        <v>-0.68569999999999998</v>
      </c>
      <c r="CR183" s="230">
        <v>9576000</v>
      </c>
      <c r="CS183" s="230">
        <v>17784000</v>
      </c>
      <c r="CT183" s="230">
        <v>-8208000</v>
      </c>
      <c r="CU183" s="229">
        <v>-0.46150000000000002</v>
      </c>
      <c r="CV183" s="230">
        <v>88403200</v>
      </c>
      <c r="CW183" s="230">
        <v>123904700</v>
      </c>
      <c r="CX183" s="230">
        <v>-35501500</v>
      </c>
      <c r="CY183" s="229">
        <v>-0.28649999999999998</v>
      </c>
      <c r="CZ183" s="228">
        <v>20.73</v>
      </c>
      <c r="DA183" s="228">
        <v>23.84</v>
      </c>
      <c r="DB183" s="228">
        <v>-3.11</v>
      </c>
      <c r="DC183" s="228">
        <v>-3.11</v>
      </c>
      <c r="DD183" s="228">
        <v>31.46</v>
      </c>
      <c r="DE183" s="228">
        <v>31.53</v>
      </c>
      <c r="DF183" s="228">
        <v>-10.73</v>
      </c>
      <c r="DG183" s="228">
        <v>-7.0000000000000007E-2</v>
      </c>
      <c r="DH183" s="228">
        <v>20.72</v>
      </c>
      <c r="DI183" s="228">
        <v>23.47</v>
      </c>
      <c r="DJ183" s="228">
        <v>-2.75</v>
      </c>
      <c r="DK183" s="228">
        <v>-2.75</v>
      </c>
      <c r="DL183" s="228">
        <v>20.73</v>
      </c>
      <c r="DM183" s="228">
        <v>24.26</v>
      </c>
      <c r="DN183" s="228">
        <v>-3.53</v>
      </c>
      <c r="DO183" s="228">
        <v>-3.53</v>
      </c>
      <c r="DP183" s="228">
        <v>1.1100000000000001</v>
      </c>
      <c r="DQ183" s="228">
        <v>0.65</v>
      </c>
      <c r="DR183" s="228">
        <v>0.46</v>
      </c>
      <c r="DS183" s="229">
        <v>0.7077</v>
      </c>
      <c r="DT183" s="228">
        <v>315</v>
      </c>
      <c r="DU183" s="228">
        <v>290</v>
      </c>
      <c r="DV183" s="228">
        <v>0.72</v>
      </c>
      <c r="DW183" s="228">
        <v>0.88</v>
      </c>
      <c r="DX183" s="228">
        <v>-0.16</v>
      </c>
      <c r="DY183" s="229">
        <v>-0.18179999999999999</v>
      </c>
      <c r="DZ183" s="229">
        <v>0.8911</v>
      </c>
      <c r="EA183" s="230">
        <v>66999700</v>
      </c>
      <c r="EB183" s="229">
        <v>6.9999999999999999E-4</v>
      </c>
      <c r="EC183" s="229">
        <v>0.8911</v>
      </c>
      <c r="ED183" s="228">
        <v>0.45</v>
      </c>
      <c r="EE183" s="229">
        <v>1.5E-3</v>
      </c>
      <c r="EF183" s="230">
        <v>8604823</v>
      </c>
      <c r="EG183" s="230">
        <v>5219673</v>
      </c>
      <c r="EH183" s="229">
        <v>0.64849999999999997</v>
      </c>
      <c r="EI183" s="229">
        <v>0.59089999999999998</v>
      </c>
      <c r="EJ183" s="231">
        <v>84542.69</v>
      </c>
      <c r="EK183" s="231">
        <v>58940.34</v>
      </c>
      <c r="EL183" s="231">
        <v>85902</v>
      </c>
      <c r="EM183" s="228">
        <v>0</v>
      </c>
      <c r="EN183" s="231">
        <v>229385.03</v>
      </c>
      <c r="EO183" s="231">
        <v>366104.2</v>
      </c>
      <c r="EP183" s="231">
        <v>-136719.17000000001</v>
      </c>
      <c r="EQ183" s="229">
        <v>-0.37340000000000001</v>
      </c>
      <c r="ER183" s="231">
        <v>26092</v>
      </c>
      <c r="ES183" s="231">
        <v>28061</v>
      </c>
      <c r="ET183" s="231">
        <v>205020</v>
      </c>
      <c r="EU183" s="231">
        <v>905143907</v>
      </c>
      <c r="EV183" s="231">
        <v>259173</v>
      </c>
      <c r="EW183" s="231">
        <v>363596</v>
      </c>
      <c r="EX183" s="231">
        <v>-104423</v>
      </c>
      <c r="EY183" s="229">
        <v>-0.28720000000000001</v>
      </c>
      <c r="EZ183" s="229">
        <v>9.7699999999999995E-2</v>
      </c>
      <c r="FA183" s="227" t="s">
        <v>556</v>
      </c>
      <c r="FB183" s="161">
        <f t="shared" si="4"/>
        <v>0</v>
      </c>
    </row>
    <row r="184" spans="1:158" ht="17.25" thickBot="1" x14ac:dyDescent="0.3">
      <c r="A184" s="226">
        <v>45869</v>
      </c>
      <c r="B184" s="227" t="s">
        <v>170</v>
      </c>
      <c r="C184" s="227" t="s">
        <v>680</v>
      </c>
      <c r="D184" s="228">
        <v>2500</v>
      </c>
      <c r="E184" s="228">
        <v>197.66</v>
      </c>
      <c r="F184" s="228">
        <v>202.24</v>
      </c>
      <c r="G184" s="228">
        <v>-4.58</v>
      </c>
      <c r="H184" s="229">
        <v>-2.2599999999999999E-2</v>
      </c>
      <c r="I184" s="228">
        <v>197.03</v>
      </c>
      <c r="J184" s="228">
        <v>201.37</v>
      </c>
      <c r="K184" s="228">
        <v>-4.34</v>
      </c>
      <c r="L184" s="229">
        <v>-2.1600000000000001E-2</v>
      </c>
      <c r="M184" s="228">
        <v>196.76</v>
      </c>
      <c r="N184" s="228">
        <v>201.21</v>
      </c>
      <c r="O184" s="228">
        <v>-4.45</v>
      </c>
      <c r="P184" s="229">
        <v>-2.2100000000000002E-2</v>
      </c>
      <c r="Q184" s="228">
        <v>197.66</v>
      </c>
      <c r="R184" s="228">
        <v>202.24</v>
      </c>
      <c r="S184" s="228">
        <v>-4.58</v>
      </c>
      <c r="T184" s="229">
        <v>-2.2599999999999999E-2</v>
      </c>
      <c r="U184" s="228">
        <v>198.97</v>
      </c>
      <c r="V184" s="228">
        <v>203.26</v>
      </c>
      <c r="W184" s="228">
        <v>-4.29</v>
      </c>
      <c r="X184" s="229">
        <v>-2.1100000000000001E-2</v>
      </c>
      <c r="Y184" s="228">
        <v>0.63</v>
      </c>
      <c r="Z184" s="228">
        <v>-0.16</v>
      </c>
      <c r="AA184" s="228">
        <v>0.79</v>
      </c>
      <c r="AB184" s="229">
        <v>3.2000000000000002E-3</v>
      </c>
      <c r="AC184" s="228">
        <v>-0.27</v>
      </c>
      <c r="AD184" s="228">
        <v>-0.16</v>
      </c>
      <c r="AE184" s="228">
        <v>-0.11</v>
      </c>
      <c r="AF184" s="229">
        <v>-1.4E-3</v>
      </c>
      <c r="AG184" s="228">
        <v>0.63</v>
      </c>
      <c r="AH184" s="228">
        <v>0.87</v>
      </c>
      <c r="AI184" s="228">
        <v>-0.24</v>
      </c>
      <c r="AJ184" s="229">
        <v>3.2000000000000002E-3</v>
      </c>
      <c r="AK184" s="228">
        <v>1.94</v>
      </c>
      <c r="AL184" s="228">
        <v>1.89</v>
      </c>
      <c r="AM184" s="228">
        <v>0.05</v>
      </c>
      <c r="AN184" s="229">
        <v>9.7999999999999997E-3</v>
      </c>
      <c r="AO184" s="228">
        <v>198.08</v>
      </c>
      <c r="AP184" s="228">
        <v>199.2</v>
      </c>
      <c r="AQ184" s="228">
        <v>0</v>
      </c>
      <c r="AR184" s="230">
        <v>11437500</v>
      </c>
      <c r="AS184" s="230">
        <v>13250000</v>
      </c>
      <c r="AT184" s="230">
        <v>-1812500</v>
      </c>
      <c r="AU184" s="229">
        <v>-0.1368</v>
      </c>
      <c r="AV184" s="230">
        <v>4977500</v>
      </c>
      <c r="AW184" s="230">
        <v>5882500</v>
      </c>
      <c r="AX184" s="230">
        <v>-905000</v>
      </c>
      <c r="AY184" s="229">
        <v>-0.15379999999999999</v>
      </c>
      <c r="AZ184" s="230">
        <v>6322500</v>
      </c>
      <c r="BA184" s="230">
        <v>7295000</v>
      </c>
      <c r="BB184" s="230">
        <v>-972500</v>
      </c>
      <c r="BC184" s="229">
        <v>-0.1333</v>
      </c>
      <c r="BD184" s="230">
        <v>137500</v>
      </c>
      <c r="BE184" s="230">
        <v>72500</v>
      </c>
      <c r="BF184" s="230">
        <v>65000</v>
      </c>
      <c r="BG184" s="229">
        <v>0.89659999999999995</v>
      </c>
      <c r="BH184" s="230">
        <v>4547500</v>
      </c>
      <c r="BI184" s="230">
        <v>7307500</v>
      </c>
      <c r="BJ184" s="230">
        <v>-2760000</v>
      </c>
      <c r="BK184" s="229">
        <v>-0.37769999999999998</v>
      </c>
      <c r="BL184" s="230">
        <v>3137500</v>
      </c>
      <c r="BM184" s="230">
        <v>4340000</v>
      </c>
      <c r="BN184" s="230">
        <v>-1202500</v>
      </c>
      <c r="BO184" s="229">
        <v>-0.27710000000000001</v>
      </c>
      <c r="BP184" s="230">
        <v>19122500</v>
      </c>
      <c r="BQ184" s="230">
        <v>24897500</v>
      </c>
      <c r="BR184" s="230">
        <v>-5775000</v>
      </c>
      <c r="BS184" s="229">
        <v>-0.23200000000000001</v>
      </c>
      <c r="BT184" s="230">
        <v>3103036</v>
      </c>
      <c r="BU184" s="230">
        <v>4515684</v>
      </c>
      <c r="BV184" s="230">
        <v>-1412648</v>
      </c>
      <c r="BW184" s="229">
        <v>-0.31280000000000002</v>
      </c>
      <c r="BX184" s="230">
        <v>14595000</v>
      </c>
      <c r="BY184" s="230">
        <v>17327500</v>
      </c>
      <c r="BZ184" s="230">
        <v>-2732500</v>
      </c>
      <c r="CA184" s="229">
        <v>-0.15770000000000001</v>
      </c>
      <c r="CB184" s="230">
        <v>1502500</v>
      </c>
      <c r="CC184" s="230">
        <v>4685000</v>
      </c>
      <c r="CD184" s="230">
        <v>-3182500</v>
      </c>
      <c r="CE184" s="229">
        <v>-0.67930000000000001</v>
      </c>
      <c r="CF184" s="230">
        <v>14150000</v>
      </c>
      <c r="CG184" s="230">
        <v>12260000</v>
      </c>
      <c r="CH184" s="230">
        <v>1890000</v>
      </c>
      <c r="CI184" s="229">
        <v>0.1542</v>
      </c>
      <c r="CJ184" s="230">
        <v>445000</v>
      </c>
      <c r="CK184" s="230">
        <v>382500</v>
      </c>
      <c r="CL184" s="230">
        <v>62500</v>
      </c>
      <c r="CM184" s="229">
        <v>0.16339999999999999</v>
      </c>
      <c r="CN184" s="230">
        <v>3980000</v>
      </c>
      <c r="CO184" s="230">
        <v>8212500</v>
      </c>
      <c r="CP184" s="230">
        <v>-4232500</v>
      </c>
      <c r="CQ184" s="229">
        <v>-0.51539999999999997</v>
      </c>
      <c r="CR184" s="230">
        <v>2345000</v>
      </c>
      <c r="CS184" s="230">
        <v>4610000</v>
      </c>
      <c r="CT184" s="230">
        <v>-2265000</v>
      </c>
      <c r="CU184" s="229">
        <v>-0.49130000000000001</v>
      </c>
      <c r="CV184" s="230">
        <v>20920000</v>
      </c>
      <c r="CW184" s="230">
        <v>30150000</v>
      </c>
      <c r="CX184" s="230">
        <v>-9230000</v>
      </c>
      <c r="CY184" s="229">
        <v>-0.30609999999999998</v>
      </c>
      <c r="CZ184" s="228">
        <v>35.61</v>
      </c>
      <c r="DA184" s="228">
        <v>35.880000000000003</v>
      </c>
      <c r="DB184" s="228">
        <v>-0.27</v>
      </c>
      <c r="DC184" s="228">
        <v>-0.27</v>
      </c>
      <c r="DD184" s="228">
        <v>49.19</v>
      </c>
      <c r="DE184" s="228">
        <v>49.22</v>
      </c>
      <c r="DF184" s="228">
        <v>-13.58</v>
      </c>
      <c r="DG184" s="228">
        <v>-0.03</v>
      </c>
      <c r="DH184" s="228">
        <v>36.03</v>
      </c>
      <c r="DI184" s="228">
        <v>36.18</v>
      </c>
      <c r="DJ184" s="228">
        <v>-0.15</v>
      </c>
      <c r="DK184" s="228">
        <v>-0.15</v>
      </c>
      <c r="DL184" s="228">
        <v>34.89</v>
      </c>
      <c r="DM184" s="228">
        <v>35.299999999999997</v>
      </c>
      <c r="DN184" s="228">
        <v>-0.41</v>
      </c>
      <c r="DO184" s="228">
        <v>-0.41</v>
      </c>
      <c r="DP184" s="228">
        <v>0.59</v>
      </c>
      <c r="DQ184" s="228">
        <v>0.56000000000000005</v>
      </c>
      <c r="DR184" s="228">
        <v>0.03</v>
      </c>
      <c r="DS184" s="229">
        <v>5.3600000000000002E-2</v>
      </c>
      <c r="DT184" s="228">
        <v>220</v>
      </c>
      <c r="DU184" s="228">
        <v>200</v>
      </c>
      <c r="DV184" s="228">
        <v>0.69</v>
      </c>
      <c r="DW184" s="228">
        <v>0.59</v>
      </c>
      <c r="DX184" s="228">
        <v>0.1</v>
      </c>
      <c r="DY184" s="229">
        <v>0.16950000000000001</v>
      </c>
      <c r="DZ184" s="229">
        <v>0.90669999999999995</v>
      </c>
      <c r="EA184" s="230">
        <v>12642500</v>
      </c>
      <c r="EB184" s="229">
        <v>4.5999999999999999E-3</v>
      </c>
      <c r="EC184" s="229">
        <v>0.90669999999999995</v>
      </c>
      <c r="ED184" s="228">
        <v>1.1200000000000001</v>
      </c>
      <c r="EE184" s="229">
        <v>5.7000000000000002E-3</v>
      </c>
      <c r="EF184" s="230">
        <v>1281666</v>
      </c>
      <c r="EG184" s="230">
        <v>2062372</v>
      </c>
      <c r="EH184" s="229">
        <v>-0.3785</v>
      </c>
      <c r="EI184" s="229">
        <v>0.41299999999999998</v>
      </c>
      <c r="EJ184" s="231">
        <v>9642.3799999999992</v>
      </c>
      <c r="EK184" s="231">
        <v>6340.74</v>
      </c>
      <c r="EL184" s="231">
        <v>22729.43</v>
      </c>
      <c r="EM184" s="228">
        <v>0</v>
      </c>
      <c r="EN184" s="231">
        <v>38712.550000000003</v>
      </c>
      <c r="EO184" s="231">
        <v>51017.1</v>
      </c>
      <c r="EP184" s="231">
        <v>-12304.55</v>
      </c>
      <c r="EQ184" s="229">
        <v>-0.2412</v>
      </c>
      <c r="ER184" s="231">
        <v>8689</v>
      </c>
      <c r="ES184" s="231">
        <v>4594</v>
      </c>
      <c r="ET184" s="231">
        <v>28854</v>
      </c>
      <c r="EU184" s="231">
        <v>171573821</v>
      </c>
      <c r="EV184" s="231">
        <v>42137</v>
      </c>
      <c r="EW184" s="231">
        <v>62075</v>
      </c>
      <c r="EX184" s="231">
        <v>-19938</v>
      </c>
      <c r="EY184" s="229">
        <v>-0.32119999999999999</v>
      </c>
      <c r="EZ184" s="229">
        <v>0.12189999999999999</v>
      </c>
      <c r="FA184" s="227" t="s">
        <v>568</v>
      </c>
      <c r="FB184" s="161">
        <f t="shared" si="4"/>
        <v>0</v>
      </c>
    </row>
    <row r="185" spans="1:158" ht="17.25" thickBot="1" x14ac:dyDescent="0.3">
      <c r="A185" s="226">
        <v>45869</v>
      </c>
      <c r="B185" s="227" t="s">
        <v>206</v>
      </c>
      <c r="C185" s="227" t="s">
        <v>606</v>
      </c>
      <c r="D185" s="228">
        <v>450</v>
      </c>
      <c r="E185" s="231">
        <v>1629.6</v>
      </c>
      <c r="F185" s="231">
        <v>1631.7</v>
      </c>
      <c r="G185" s="228">
        <v>-2.1</v>
      </c>
      <c r="H185" s="229">
        <v>-1.2999999999999999E-3</v>
      </c>
      <c r="I185" s="231">
        <v>1626.5</v>
      </c>
      <c r="J185" s="231">
        <v>1624.8</v>
      </c>
      <c r="K185" s="228">
        <v>1.7</v>
      </c>
      <c r="L185" s="229">
        <v>1E-3</v>
      </c>
      <c r="M185" s="231">
        <v>1624.6</v>
      </c>
      <c r="N185" s="231">
        <v>1622.6</v>
      </c>
      <c r="O185" s="228">
        <v>2</v>
      </c>
      <c r="P185" s="229">
        <v>1.1999999999999999E-3</v>
      </c>
      <c r="Q185" s="231">
        <v>1629.6</v>
      </c>
      <c r="R185" s="231">
        <v>1631.7</v>
      </c>
      <c r="S185" s="228">
        <v>-2.1</v>
      </c>
      <c r="T185" s="229">
        <v>-1.2999999999999999E-3</v>
      </c>
      <c r="U185" s="231">
        <v>1637.5</v>
      </c>
      <c r="V185" s="231">
        <v>1634.3</v>
      </c>
      <c r="W185" s="228">
        <v>3.2</v>
      </c>
      <c r="X185" s="229">
        <v>2E-3</v>
      </c>
      <c r="Y185" s="228">
        <v>3.1</v>
      </c>
      <c r="Z185" s="228">
        <v>-2.2000000000000002</v>
      </c>
      <c r="AA185" s="228">
        <v>5.3</v>
      </c>
      <c r="AB185" s="229">
        <v>1.9E-3</v>
      </c>
      <c r="AC185" s="228">
        <v>-1.9</v>
      </c>
      <c r="AD185" s="228">
        <v>-2.2000000000000002</v>
      </c>
      <c r="AE185" s="228">
        <v>0.3</v>
      </c>
      <c r="AF185" s="229">
        <v>-1.1999999999999999E-3</v>
      </c>
      <c r="AG185" s="228">
        <v>3.1</v>
      </c>
      <c r="AH185" s="228">
        <v>6.9</v>
      </c>
      <c r="AI185" s="228">
        <v>-3.8</v>
      </c>
      <c r="AJ185" s="229">
        <v>1.9E-3</v>
      </c>
      <c r="AK185" s="228">
        <v>11</v>
      </c>
      <c r="AL185" s="228">
        <v>9.5</v>
      </c>
      <c r="AM185" s="228">
        <v>1.5</v>
      </c>
      <c r="AN185" s="229">
        <v>6.7999999999999996E-3</v>
      </c>
      <c r="AO185" s="231">
        <v>1607.26</v>
      </c>
      <c r="AP185" s="231">
        <v>1619.12</v>
      </c>
      <c r="AQ185" s="228">
        <v>0</v>
      </c>
      <c r="AR185" s="230">
        <v>2786400</v>
      </c>
      <c r="AS185" s="230">
        <v>3562200</v>
      </c>
      <c r="AT185" s="230">
        <v>-775800</v>
      </c>
      <c r="AU185" s="229">
        <v>-0.21779999999999999</v>
      </c>
      <c r="AV185" s="230">
        <v>953100</v>
      </c>
      <c r="AW185" s="230">
        <v>1551600</v>
      </c>
      <c r="AX185" s="230">
        <v>-598500</v>
      </c>
      <c r="AY185" s="229">
        <v>-0.38569999999999999</v>
      </c>
      <c r="AZ185" s="230">
        <v>1820250</v>
      </c>
      <c r="BA185" s="230">
        <v>1972350</v>
      </c>
      <c r="BB185" s="230">
        <v>-152100</v>
      </c>
      <c r="BC185" s="229">
        <v>-7.7100000000000002E-2</v>
      </c>
      <c r="BD185" s="230">
        <v>13050</v>
      </c>
      <c r="BE185" s="230">
        <v>38250</v>
      </c>
      <c r="BF185" s="230">
        <v>-25200</v>
      </c>
      <c r="BG185" s="229">
        <v>-0.65880000000000005</v>
      </c>
      <c r="BH185" s="230">
        <v>1919250</v>
      </c>
      <c r="BI185" s="230">
        <v>1425600</v>
      </c>
      <c r="BJ185" s="230">
        <v>493650</v>
      </c>
      <c r="BK185" s="229">
        <v>0.3463</v>
      </c>
      <c r="BL185" s="230">
        <v>962100</v>
      </c>
      <c r="BM185" s="230">
        <v>551250</v>
      </c>
      <c r="BN185" s="230">
        <v>410850</v>
      </c>
      <c r="BO185" s="229">
        <v>0.74529999999999996</v>
      </c>
      <c r="BP185" s="230">
        <v>5667750</v>
      </c>
      <c r="BQ185" s="230">
        <v>5539050</v>
      </c>
      <c r="BR185" s="230">
        <v>128700</v>
      </c>
      <c r="BS185" s="229">
        <v>2.3199999999999998E-2</v>
      </c>
      <c r="BT185" s="230">
        <v>908490</v>
      </c>
      <c r="BU185" s="230">
        <v>573703</v>
      </c>
      <c r="BV185" s="230">
        <v>334787</v>
      </c>
      <c r="BW185" s="229">
        <v>0.58360000000000001</v>
      </c>
      <c r="BX185" s="230">
        <v>5158350</v>
      </c>
      <c r="BY185" s="230">
        <v>5411250</v>
      </c>
      <c r="BZ185" s="230">
        <v>-252900</v>
      </c>
      <c r="CA185" s="229">
        <v>-4.6699999999999998E-2</v>
      </c>
      <c r="CB185" s="230">
        <v>275850</v>
      </c>
      <c r="CC185" s="230">
        <v>628650</v>
      </c>
      <c r="CD185" s="230">
        <v>-352800</v>
      </c>
      <c r="CE185" s="229">
        <v>-0.56120000000000003</v>
      </c>
      <c r="CF185" s="230">
        <v>5109750</v>
      </c>
      <c r="CG185" s="230">
        <v>4742550</v>
      </c>
      <c r="CH185" s="230">
        <v>367200</v>
      </c>
      <c r="CI185" s="229">
        <v>7.7399999999999997E-2</v>
      </c>
      <c r="CJ185" s="230">
        <v>48600</v>
      </c>
      <c r="CK185" s="230">
        <v>40050</v>
      </c>
      <c r="CL185" s="230">
        <v>8550</v>
      </c>
      <c r="CM185" s="229">
        <v>0.2135</v>
      </c>
      <c r="CN185" s="230">
        <v>972000</v>
      </c>
      <c r="CO185" s="230">
        <v>2226150</v>
      </c>
      <c r="CP185" s="230">
        <v>-1254150</v>
      </c>
      <c r="CQ185" s="229">
        <v>-0.56340000000000001</v>
      </c>
      <c r="CR185" s="230">
        <v>476550</v>
      </c>
      <c r="CS185" s="230">
        <v>1117800</v>
      </c>
      <c r="CT185" s="230">
        <v>-641250</v>
      </c>
      <c r="CU185" s="229">
        <v>-0.57369999999999999</v>
      </c>
      <c r="CV185" s="230">
        <v>6606900</v>
      </c>
      <c r="CW185" s="230">
        <v>8755200</v>
      </c>
      <c r="CX185" s="230">
        <v>-2148300</v>
      </c>
      <c r="CY185" s="229">
        <v>-0.24540000000000001</v>
      </c>
      <c r="CZ185" s="228">
        <v>39.71</v>
      </c>
      <c r="DA185" s="228">
        <v>42.64</v>
      </c>
      <c r="DB185" s="228">
        <v>-2.93</v>
      </c>
      <c r="DC185" s="228">
        <v>-2.93</v>
      </c>
      <c r="DD185" s="228">
        <v>50.77</v>
      </c>
      <c r="DE185" s="228">
        <v>50.9</v>
      </c>
      <c r="DF185" s="228">
        <v>-11.06</v>
      </c>
      <c r="DG185" s="228">
        <v>-0.13</v>
      </c>
      <c r="DH185" s="228">
        <v>39.83</v>
      </c>
      <c r="DI185" s="228">
        <v>43.77</v>
      </c>
      <c r="DJ185" s="228">
        <v>-3.94</v>
      </c>
      <c r="DK185" s="228">
        <v>-3.94</v>
      </c>
      <c r="DL185" s="228">
        <v>39.369999999999997</v>
      </c>
      <c r="DM185" s="228">
        <v>40.53</v>
      </c>
      <c r="DN185" s="228">
        <v>-1.1599999999999999</v>
      </c>
      <c r="DO185" s="228">
        <v>-1.1599999999999999</v>
      </c>
      <c r="DP185" s="228">
        <v>0.49</v>
      </c>
      <c r="DQ185" s="228">
        <v>0.5</v>
      </c>
      <c r="DR185" s="228">
        <v>-0.01</v>
      </c>
      <c r="DS185" s="229">
        <v>-0.02</v>
      </c>
      <c r="DT185" s="231">
        <v>2000</v>
      </c>
      <c r="DU185" s="231">
        <v>1600</v>
      </c>
      <c r="DV185" s="228">
        <v>0.5</v>
      </c>
      <c r="DW185" s="228">
        <v>0.39</v>
      </c>
      <c r="DX185" s="228">
        <v>0.11</v>
      </c>
      <c r="DY185" s="229">
        <v>0.28210000000000002</v>
      </c>
      <c r="DZ185" s="229">
        <v>0.94920000000000004</v>
      </c>
      <c r="EA185" s="230">
        <v>4782600</v>
      </c>
      <c r="EB185" s="229">
        <v>3.0999999999999999E-3</v>
      </c>
      <c r="EC185" s="229">
        <v>0.94920000000000004</v>
      </c>
      <c r="ED185" s="228">
        <v>11.86</v>
      </c>
      <c r="EE185" s="229">
        <v>7.4000000000000003E-3</v>
      </c>
      <c r="EF185" s="230">
        <v>425593</v>
      </c>
      <c r="EG185" s="230">
        <v>244013</v>
      </c>
      <c r="EH185" s="229">
        <v>0.74409999999999998</v>
      </c>
      <c r="EI185" s="229">
        <v>0.46850000000000003</v>
      </c>
      <c r="EJ185" s="231">
        <v>33647.47</v>
      </c>
      <c r="EK185" s="231">
        <v>15753.03</v>
      </c>
      <c r="EL185" s="231">
        <v>45002.400000000001</v>
      </c>
      <c r="EM185" s="228">
        <v>0</v>
      </c>
      <c r="EN185" s="231">
        <v>94402.9</v>
      </c>
      <c r="EO185" s="231">
        <v>92669.2</v>
      </c>
      <c r="EP185" s="231">
        <v>1733.7</v>
      </c>
      <c r="EQ185" s="229">
        <v>1.8700000000000001E-2</v>
      </c>
      <c r="ER185" s="231">
        <v>18081</v>
      </c>
      <c r="ES185" s="231">
        <v>7709</v>
      </c>
      <c r="ET185" s="231">
        <v>84064</v>
      </c>
      <c r="EU185" s="231">
        <v>33646046</v>
      </c>
      <c r="EV185" s="231">
        <v>109854</v>
      </c>
      <c r="EW185" s="231">
        <v>146849</v>
      </c>
      <c r="EX185" s="231">
        <v>-36995</v>
      </c>
      <c r="EY185" s="229">
        <v>-0.25190000000000001</v>
      </c>
      <c r="EZ185" s="229">
        <v>0.19639999999999999</v>
      </c>
      <c r="FA185" s="227" t="s">
        <v>568</v>
      </c>
      <c r="FB185" s="161">
        <f t="shared" si="4"/>
        <v>0</v>
      </c>
    </row>
    <row r="186" spans="1:158" ht="17.25" thickBot="1" x14ac:dyDescent="0.3">
      <c r="A186" s="226">
        <v>45869</v>
      </c>
      <c r="B186" s="227" t="s">
        <v>172</v>
      </c>
      <c r="C186" s="227" t="s">
        <v>279</v>
      </c>
      <c r="D186" s="228">
        <v>3175</v>
      </c>
      <c r="E186" s="228">
        <v>268.43</v>
      </c>
      <c r="F186" s="228">
        <v>262.66000000000003</v>
      </c>
      <c r="G186" s="228">
        <v>5.77</v>
      </c>
      <c r="H186" s="229">
        <v>2.1999999999999999E-2</v>
      </c>
      <c r="I186" s="228">
        <v>266.83</v>
      </c>
      <c r="J186" s="228">
        <v>261.75</v>
      </c>
      <c r="K186" s="228">
        <v>5.08</v>
      </c>
      <c r="L186" s="229">
        <v>1.9400000000000001E-2</v>
      </c>
      <c r="M186" s="228">
        <v>266.97000000000003</v>
      </c>
      <c r="N186" s="228">
        <v>261.49</v>
      </c>
      <c r="O186" s="228">
        <v>5.48</v>
      </c>
      <c r="P186" s="229">
        <v>2.1000000000000001E-2</v>
      </c>
      <c r="Q186" s="228">
        <v>268.43</v>
      </c>
      <c r="R186" s="228">
        <v>262.66000000000003</v>
      </c>
      <c r="S186" s="228">
        <v>5.77</v>
      </c>
      <c r="T186" s="229">
        <v>2.1999999999999999E-2</v>
      </c>
      <c r="U186" s="228">
        <v>269.89</v>
      </c>
      <c r="V186" s="228">
        <v>262.14999999999998</v>
      </c>
      <c r="W186" s="228">
        <v>7.74</v>
      </c>
      <c r="X186" s="229">
        <v>2.9499999999999998E-2</v>
      </c>
      <c r="Y186" s="228">
        <v>1.6</v>
      </c>
      <c r="Z186" s="228">
        <v>-0.26</v>
      </c>
      <c r="AA186" s="228">
        <v>1.86</v>
      </c>
      <c r="AB186" s="229">
        <v>6.0000000000000001E-3</v>
      </c>
      <c r="AC186" s="228">
        <v>0.14000000000000001</v>
      </c>
      <c r="AD186" s="228">
        <v>-0.26</v>
      </c>
      <c r="AE186" s="228">
        <v>0.4</v>
      </c>
      <c r="AF186" s="229">
        <v>5.0000000000000001E-4</v>
      </c>
      <c r="AG186" s="228">
        <v>1.6</v>
      </c>
      <c r="AH186" s="228">
        <v>0.91</v>
      </c>
      <c r="AI186" s="228">
        <v>0.69</v>
      </c>
      <c r="AJ186" s="229">
        <v>6.0000000000000001E-3</v>
      </c>
      <c r="AK186" s="228">
        <v>3.06</v>
      </c>
      <c r="AL186" s="228">
        <v>0.4</v>
      </c>
      <c r="AM186" s="228">
        <v>2.66</v>
      </c>
      <c r="AN186" s="229">
        <v>1.15E-2</v>
      </c>
      <c r="AO186" s="228">
        <v>264.66000000000003</v>
      </c>
      <c r="AP186" s="228">
        <v>266.45</v>
      </c>
      <c r="AQ186" s="228">
        <v>0</v>
      </c>
      <c r="AR186" s="230">
        <v>143932275</v>
      </c>
      <c r="AS186" s="230">
        <v>11255375</v>
      </c>
      <c r="AT186" s="230">
        <v>132676900</v>
      </c>
      <c r="AU186" s="229">
        <v>11.7879</v>
      </c>
      <c r="AV186" s="230">
        <v>53965475</v>
      </c>
      <c r="AW186" s="230">
        <v>10350500</v>
      </c>
      <c r="AX186" s="230">
        <v>43614975</v>
      </c>
      <c r="AY186" s="229">
        <v>4.2138</v>
      </c>
      <c r="AZ186" s="230">
        <v>88598375</v>
      </c>
      <c r="BA186" s="230">
        <v>904875</v>
      </c>
      <c r="BB186" s="230">
        <v>87693500</v>
      </c>
      <c r="BC186" s="229">
        <v>96.912300000000002</v>
      </c>
      <c r="BD186" s="230">
        <v>1368425</v>
      </c>
      <c r="BE186" s="228">
        <v>0</v>
      </c>
      <c r="BF186" s="230">
        <v>1368425</v>
      </c>
      <c r="BG186" s="229">
        <v>0</v>
      </c>
      <c r="BH186" s="230">
        <v>47936150</v>
      </c>
      <c r="BI186" s="230">
        <v>1463675</v>
      </c>
      <c r="BJ186" s="230">
        <v>46472475</v>
      </c>
      <c r="BK186" s="229">
        <v>31.750499999999999</v>
      </c>
      <c r="BL186" s="230">
        <v>17379950</v>
      </c>
      <c r="BM186" s="230">
        <v>1638300</v>
      </c>
      <c r="BN186" s="230">
        <v>15741650</v>
      </c>
      <c r="BO186" s="229">
        <v>9.6084999999999994</v>
      </c>
      <c r="BP186" s="230">
        <v>209248375</v>
      </c>
      <c r="BQ186" s="230">
        <v>14357350</v>
      </c>
      <c r="BR186" s="230">
        <v>194891025</v>
      </c>
      <c r="BS186" s="229">
        <v>13.574299999999999</v>
      </c>
      <c r="BT186" s="230">
        <v>36980930</v>
      </c>
      <c r="BU186" s="230">
        <v>24611799</v>
      </c>
      <c r="BV186" s="230">
        <v>12369131</v>
      </c>
      <c r="BW186" s="229">
        <v>0.50260000000000005</v>
      </c>
      <c r="BX186" s="230">
        <v>75650725</v>
      </c>
      <c r="BY186" s="230">
        <v>67154425</v>
      </c>
      <c r="BZ186" s="230">
        <v>8496300</v>
      </c>
      <c r="CA186" s="229">
        <v>0.1265</v>
      </c>
      <c r="CB186" s="230">
        <v>5429250</v>
      </c>
      <c r="CC186" s="230">
        <v>41544875</v>
      </c>
      <c r="CD186" s="230">
        <v>-36115625</v>
      </c>
      <c r="CE186" s="229">
        <v>-0.86929999999999996</v>
      </c>
      <c r="CF186" s="230">
        <v>74799825</v>
      </c>
      <c r="CG186" s="230">
        <v>25431750</v>
      </c>
      <c r="CH186" s="230">
        <v>49368075</v>
      </c>
      <c r="CI186" s="229">
        <v>1.9412</v>
      </c>
      <c r="CJ186" s="230">
        <v>850900</v>
      </c>
      <c r="CK186" s="230">
        <v>177800</v>
      </c>
      <c r="CL186" s="230">
        <v>673100</v>
      </c>
      <c r="CM186" s="229">
        <v>3.7856999999999998</v>
      </c>
      <c r="CN186" s="230">
        <v>9582150</v>
      </c>
      <c r="CO186" s="230">
        <v>13642975</v>
      </c>
      <c r="CP186" s="230">
        <v>-4060825</v>
      </c>
      <c r="CQ186" s="229">
        <v>-0.29759999999999998</v>
      </c>
      <c r="CR186" s="230">
        <v>4378325</v>
      </c>
      <c r="CS186" s="230">
        <v>8778875</v>
      </c>
      <c r="CT186" s="230">
        <v>-4400550</v>
      </c>
      <c r="CU186" s="229">
        <v>-0.50129999999999997</v>
      </c>
      <c r="CV186" s="230">
        <v>89611200</v>
      </c>
      <c r="CW186" s="230">
        <v>89576275</v>
      </c>
      <c r="CX186" s="230">
        <v>34925</v>
      </c>
      <c r="CY186" s="229">
        <v>4.0000000000000002E-4</v>
      </c>
      <c r="CZ186" s="228">
        <v>37.979999999999997</v>
      </c>
      <c r="DA186" s="228">
        <v>50.33</v>
      </c>
      <c r="DB186" s="228">
        <v>-12.35</v>
      </c>
      <c r="DC186" s="228">
        <v>-12.35</v>
      </c>
      <c r="DD186" s="228">
        <v>50.29</v>
      </c>
      <c r="DE186" s="228">
        <v>50.33</v>
      </c>
      <c r="DF186" s="228">
        <v>-12.31</v>
      </c>
      <c r="DG186" s="228">
        <v>-0.04</v>
      </c>
      <c r="DH186" s="228">
        <v>37.99</v>
      </c>
      <c r="DI186" s="228">
        <v>50.33</v>
      </c>
      <c r="DJ186" s="228">
        <v>-12.34</v>
      </c>
      <c r="DK186" s="228">
        <v>-12.34</v>
      </c>
      <c r="DL186" s="228">
        <v>37.94</v>
      </c>
      <c r="DM186" s="228">
        <v>50.33</v>
      </c>
      <c r="DN186" s="228">
        <v>-12.39</v>
      </c>
      <c r="DO186" s="228">
        <v>-12.39</v>
      </c>
      <c r="DP186" s="228">
        <v>0.46</v>
      </c>
      <c r="DQ186" s="228">
        <v>0.64</v>
      </c>
      <c r="DR186" s="228">
        <v>-0.18</v>
      </c>
      <c r="DS186" s="229">
        <v>-0.28129999999999999</v>
      </c>
      <c r="DT186" s="228">
        <v>300</v>
      </c>
      <c r="DU186" s="228">
        <v>270</v>
      </c>
      <c r="DV186" s="228">
        <v>0.36</v>
      </c>
      <c r="DW186" s="228">
        <v>1.1200000000000001</v>
      </c>
      <c r="DX186" s="228">
        <v>-0.76</v>
      </c>
      <c r="DY186" s="229">
        <v>-0.67859999999999998</v>
      </c>
      <c r="DZ186" s="229">
        <v>0.93300000000000005</v>
      </c>
      <c r="EA186" s="230">
        <v>25609550</v>
      </c>
      <c r="EB186" s="229">
        <v>5.4999999999999997E-3</v>
      </c>
      <c r="EC186" s="229">
        <v>0.93300000000000005</v>
      </c>
      <c r="ED186" s="228">
        <v>1.79</v>
      </c>
      <c r="EE186" s="229">
        <v>6.7999999999999996E-3</v>
      </c>
      <c r="EF186" s="230">
        <v>17717336</v>
      </c>
      <c r="EG186" s="230">
        <v>14727681</v>
      </c>
      <c r="EH186" s="229">
        <v>0.20300000000000001</v>
      </c>
      <c r="EI186" s="229">
        <v>0.47910000000000003</v>
      </c>
      <c r="EJ186" s="231">
        <v>134891.87</v>
      </c>
      <c r="EK186" s="231">
        <v>45320.61</v>
      </c>
      <c r="EL186" s="231">
        <v>382564.06</v>
      </c>
      <c r="EM186" s="228">
        <v>0</v>
      </c>
      <c r="EN186" s="231">
        <v>562776.54</v>
      </c>
      <c r="EO186" s="231">
        <v>37287.769999999997</v>
      </c>
      <c r="EP186" s="231">
        <v>525488.77</v>
      </c>
      <c r="EQ186" s="229">
        <v>14.0928</v>
      </c>
      <c r="ER186" s="231">
        <v>26723</v>
      </c>
      <c r="ES186" s="231">
        <v>11126</v>
      </c>
      <c r="ET186" s="231">
        <v>203082</v>
      </c>
      <c r="EU186" s="231">
        <v>121575211</v>
      </c>
      <c r="EV186" s="231">
        <v>240931</v>
      </c>
      <c r="EW186" s="231">
        <v>233022</v>
      </c>
      <c r="EX186" s="231">
        <v>7909</v>
      </c>
      <c r="EY186" s="229">
        <v>3.39E-2</v>
      </c>
      <c r="EZ186" s="229">
        <v>0.73709999999999998</v>
      </c>
      <c r="FA186" s="227" t="s">
        <v>555</v>
      </c>
      <c r="FB186" s="161">
        <f t="shared" si="4"/>
        <v>0</v>
      </c>
    </row>
    <row r="187" spans="1:158" ht="17.25" thickBot="1" x14ac:dyDescent="0.3">
      <c r="A187" s="226">
        <v>45869</v>
      </c>
      <c r="B187" s="227" t="s">
        <v>175</v>
      </c>
      <c r="C187" s="227" t="s">
        <v>280</v>
      </c>
      <c r="D187" s="228">
        <v>1275</v>
      </c>
      <c r="E187" s="228">
        <v>390.1</v>
      </c>
      <c r="F187" s="228">
        <v>395</v>
      </c>
      <c r="G187" s="228">
        <v>-4.9000000000000004</v>
      </c>
      <c r="H187" s="229">
        <v>-1.24E-2</v>
      </c>
      <c r="I187" s="228">
        <v>395.2</v>
      </c>
      <c r="J187" s="228">
        <v>399.55</v>
      </c>
      <c r="K187" s="228">
        <v>-4.3499999999999996</v>
      </c>
      <c r="L187" s="229">
        <v>-1.09E-2</v>
      </c>
      <c r="M187" s="228">
        <v>394.95</v>
      </c>
      <c r="N187" s="228">
        <v>399.65</v>
      </c>
      <c r="O187" s="228">
        <v>-4.7</v>
      </c>
      <c r="P187" s="229">
        <v>-1.18E-2</v>
      </c>
      <c r="Q187" s="228">
        <v>390.1</v>
      </c>
      <c r="R187" s="228">
        <v>395</v>
      </c>
      <c r="S187" s="228">
        <v>-4.9000000000000004</v>
      </c>
      <c r="T187" s="229">
        <v>-1.24E-2</v>
      </c>
      <c r="U187" s="228">
        <v>392.45</v>
      </c>
      <c r="V187" s="228">
        <v>397.3</v>
      </c>
      <c r="W187" s="228">
        <v>-4.8499999999999996</v>
      </c>
      <c r="X187" s="229">
        <v>-1.2200000000000001E-2</v>
      </c>
      <c r="Y187" s="228">
        <v>-5.0999999999999996</v>
      </c>
      <c r="Z187" s="228">
        <v>0.1</v>
      </c>
      <c r="AA187" s="228">
        <v>-5.2</v>
      </c>
      <c r="AB187" s="229">
        <v>-1.29E-2</v>
      </c>
      <c r="AC187" s="228">
        <v>-0.25</v>
      </c>
      <c r="AD187" s="228">
        <v>0.1</v>
      </c>
      <c r="AE187" s="228">
        <v>-0.35</v>
      </c>
      <c r="AF187" s="229">
        <v>-5.9999999999999995E-4</v>
      </c>
      <c r="AG187" s="228">
        <v>-5.0999999999999996</v>
      </c>
      <c r="AH187" s="228">
        <v>-4.55</v>
      </c>
      <c r="AI187" s="228">
        <v>-0.55000000000000004</v>
      </c>
      <c r="AJ187" s="229">
        <v>-1.29E-2</v>
      </c>
      <c r="AK187" s="228">
        <v>-2.75</v>
      </c>
      <c r="AL187" s="228">
        <v>-2.25</v>
      </c>
      <c r="AM187" s="228">
        <v>-0.5</v>
      </c>
      <c r="AN187" s="229">
        <v>-7.0000000000000001E-3</v>
      </c>
      <c r="AO187" s="228">
        <v>396.24</v>
      </c>
      <c r="AP187" s="228">
        <v>391.25</v>
      </c>
      <c r="AQ187" s="228">
        <v>0</v>
      </c>
      <c r="AR187" s="230">
        <v>35076525</v>
      </c>
      <c r="AS187" s="230">
        <v>34745025</v>
      </c>
      <c r="AT187" s="230">
        <v>331500</v>
      </c>
      <c r="AU187" s="229">
        <v>9.4999999999999998E-3</v>
      </c>
      <c r="AV187" s="230">
        <v>14556675</v>
      </c>
      <c r="AW187" s="230">
        <v>16160625</v>
      </c>
      <c r="AX187" s="230">
        <v>-1603950</v>
      </c>
      <c r="AY187" s="229">
        <v>-9.9299999999999999E-2</v>
      </c>
      <c r="AZ187" s="230">
        <v>19655400</v>
      </c>
      <c r="BA187" s="230">
        <v>18084600</v>
      </c>
      <c r="BB187" s="230">
        <v>1570800</v>
      </c>
      <c r="BC187" s="229">
        <v>8.6900000000000005E-2</v>
      </c>
      <c r="BD187" s="230">
        <v>864450</v>
      </c>
      <c r="BE187" s="230">
        <v>499800</v>
      </c>
      <c r="BF187" s="230">
        <v>364650</v>
      </c>
      <c r="BG187" s="229">
        <v>0.72960000000000003</v>
      </c>
      <c r="BH187" s="230">
        <v>24151050</v>
      </c>
      <c r="BI187" s="230">
        <v>24970875</v>
      </c>
      <c r="BJ187" s="230">
        <v>-819825</v>
      </c>
      <c r="BK187" s="229">
        <v>-3.2800000000000003E-2</v>
      </c>
      <c r="BL187" s="230">
        <v>17180625</v>
      </c>
      <c r="BM187" s="230">
        <v>15880125</v>
      </c>
      <c r="BN187" s="230">
        <v>1300500</v>
      </c>
      <c r="BO187" s="229">
        <v>8.1900000000000001E-2</v>
      </c>
      <c r="BP187" s="230">
        <v>76408200</v>
      </c>
      <c r="BQ187" s="230">
        <v>75596025</v>
      </c>
      <c r="BR187" s="230">
        <v>812175</v>
      </c>
      <c r="BS187" s="229">
        <v>1.0699999999999999E-2</v>
      </c>
      <c r="BT187" s="230">
        <v>7428519</v>
      </c>
      <c r="BU187" s="230">
        <v>6054510</v>
      </c>
      <c r="BV187" s="230">
        <v>1374009</v>
      </c>
      <c r="BW187" s="229">
        <v>0.22689999999999999</v>
      </c>
      <c r="BX187" s="230">
        <v>82328025</v>
      </c>
      <c r="BY187" s="230">
        <v>83757300</v>
      </c>
      <c r="BZ187" s="230">
        <v>-1429275</v>
      </c>
      <c r="CA187" s="229">
        <v>-1.7100000000000001E-2</v>
      </c>
      <c r="CB187" s="230">
        <v>3581475</v>
      </c>
      <c r="CC187" s="230">
        <v>11814150</v>
      </c>
      <c r="CD187" s="230">
        <v>-8232675</v>
      </c>
      <c r="CE187" s="229">
        <v>-0.69679999999999997</v>
      </c>
      <c r="CF187" s="230">
        <v>80457600</v>
      </c>
      <c r="CG187" s="230">
        <v>70422075</v>
      </c>
      <c r="CH187" s="230">
        <v>10035525</v>
      </c>
      <c r="CI187" s="229">
        <v>0.14249999999999999</v>
      </c>
      <c r="CJ187" s="230">
        <v>1870425</v>
      </c>
      <c r="CK187" s="230">
        <v>1521075</v>
      </c>
      <c r="CL187" s="230">
        <v>349350</v>
      </c>
      <c r="CM187" s="229">
        <v>0.22969999999999999</v>
      </c>
      <c r="CN187" s="230">
        <v>16953675</v>
      </c>
      <c r="CO187" s="230">
        <v>30462300</v>
      </c>
      <c r="CP187" s="230">
        <v>-13508625</v>
      </c>
      <c r="CQ187" s="229">
        <v>-0.44350000000000001</v>
      </c>
      <c r="CR187" s="230">
        <v>15164850</v>
      </c>
      <c r="CS187" s="230">
        <v>21252975</v>
      </c>
      <c r="CT187" s="230">
        <v>-6088125</v>
      </c>
      <c r="CU187" s="229">
        <v>-0.28649999999999998</v>
      </c>
      <c r="CV187" s="230">
        <v>114446550</v>
      </c>
      <c r="CW187" s="230">
        <v>135472575</v>
      </c>
      <c r="CX187" s="230">
        <v>-21026025</v>
      </c>
      <c r="CY187" s="229">
        <v>-0.1552</v>
      </c>
      <c r="CZ187" s="228">
        <v>29.32</v>
      </c>
      <c r="DA187" s="228">
        <v>28.99</v>
      </c>
      <c r="DB187" s="228">
        <v>0.33</v>
      </c>
      <c r="DC187" s="228">
        <v>0.33</v>
      </c>
      <c r="DD187" s="228">
        <v>49.84</v>
      </c>
      <c r="DE187" s="228">
        <v>49.94</v>
      </c>
      <c r="DF187" s="228">
        <v>-20.52</v>
      </c>
      <c r="DG187" s="228">
        <v>-0.1</v>
      </c>
      <c r="DH187" s="228">
        <v>29.4</v>
      </c>
      <c r="DI187" s="228">
        <v>29.17</v>
      </c>
      <c r="DJ187" s="228">
        <v>0.23</v>
      </c>
      <c r="DK187" s="228">
        <v>0.23</v>
      </c>
      <c r="DL187" s="228">
        <v>29.22</v>
      </c>
      <c r="DM187" s="228">
        <v>28.72</v>
      </c>
      <c r="DN187" s="228">
        <v>0.5</v>
      </c>
      <c r="DO187" s="228">
        <v>0.5</v>
      </c>
      <c r="DP187" s="228">
        <v>0.89</v>
      </c>
      <c r="DQ187" s="228">
        <v>0.7</v>
      </c>
      <c r="DR187" s="228">
        <v>0.19</v>
      </c>
      <c r="DS187" s="229">
        <v>0.27139999999999997</v>
      </c>
      <c r="DT187" s="228">
        <v>400</v>
      </c>
      <c r="DU187" s="228">
        <v>400</v>
      </c>
      <c r="DV187" s="228">
        <v>0.71</v>
      </c>
      <c r="DW187" s="228">
        <v>0.64</v>
      </c>
      <c r="DX187" s="228">
        <v>7.0000000000000007E-2</v>
      </c>
      <c r="DY187" s="229">
        <v>0.1094</v>
      </c>
      <c r="DZ187" s="229">
        <v>0.95830000000000004</v>
      </c>
      <c r="EA187" s="230">
        <v>71943150</v>
      </c>
      <c r="EB187" s="229">
        <v>-1.23E-2</v>
      </c>
      <c r="EC187" s="229">
        <v>0.95830000000000004</v>
      </c>
      <c r="ED187" s="228">
        <v>-4.99</v>
      </c>
      <c r="EE187" s="229">
        <v>-1.26E-2</v>
      </c>
      <c r="EF187" s="230">
        <v>3789197</v>
      </c>
      <c r="EG187" s="230">
        <v>3077752</v>
      </c>
      <c r="EH187" s="229">
        <v>0.23119999999999999</v>
      </c>
      <c r="EI187" s="229">
        <v>0.5101</v>
      </c>
      <c r="EJ187" s="231">
        <v>99986.45</v>
      </c>
      <c r="EK187" s="231">
        <v>68876.679999999993</v>
      </c>
      <c r="EL187" s="231">
        <v>137982.5</v>
      </c>
      <c r="EM187" s="228">
        <v>0</v>
      </c>
      <c r="EN187" s="231">
        <v>306845.63</v>
      </c>
      <c r="EO187" s="231">
        <v>306786.09000000003</v>
      </c>
      <c r="EP187" s="228">
        <v>59.54</v>
      </c>
      <c r="EQ187" s="229">
        <v>2.0000000000000001E-4</v>
      </c>
      <c r="ER187" s="231">
        <v>69891</v>
      </c>
      <c r="ES187" s="231">
        <v>59225</v>
      </c>
      <c r="ET187" s="231">
        <v>321206</v>
      </c>
      <c r="EU187" s="231">
        <v>249446067</v>
      </c>
      <c r="EV187" s="231">
        <v>450321</v>
      </c>
      <c r="EW187" s="231">
        <v>541252</v>
      </c>
      <c r="EX187" s="231">
        <v>-90931</v>
      </c>
      <c r="EY187" s="229">
        <v>-0.16800000000000001</v>
      </c>
      <c r="EZ187" s="229">
        <v>0.45879999999999999</v>
      </c>
      <c r="FA187" s="227" t="s">
        <v>568</v>
      </c>
      <c r="FB187" s="161">
        <f t="shared" si="4"/>
        <v>0</v>
      </c>
    </row>
    <row r="188" spans="1:158" ht="17.25" thickBot="1" x14ac:dyDescent="0.3">
      <c r="A188" s="226">
        <v>45869</v>
      </c>
      <c r="B188" s="227" t="s">
        <v>193</v>
      </c>
      <c r="C188" s="227" t="s">
        <v>281</v>
      </c>
      <c r="D188" s="228">
        <v>500</v>
      </c>
      <c r="E188" s="231">
        <v>1393.9</v>
      </c>
      <c r="F188" s="231">
        <v>1412.9</v>
      </c>
      <c r="G188" s="228">
        <v>-19</v>
      </c>
      <c r="H188" s="229">
        <v>-1.34E-2</v>
      </c>
      <c r="I188" s="231">
        <v>1390.2</v>
      </c>
      <c r="J188" s="231">
        <v>1410.1</v>
      </c>
      <c r="K188" s="228">
        <v>-19.899999999999999</v>
      </c>
      <c r="L188" s="229">
        <v>-1.41E-2</v>
      </c>
      <c r="M188" s="231">
        <v>1390.6</v>
      </c>
      <c r="N188" s="231">
        <v>1410.1</v>
      </c>
      <c r="O188" s="228">
        <v>-19.5</v>
      </c>
      <c r="P188" s="229">
        <v>-1.38E-2</v>
      </c>
      <c r="Q188" s="231">
        <v>1393.9</v>
      </c>
      <c r="R188" s="231">
        <v>1412.9</v>
      </c>
      <c r="S188" s="228">
        <v>-19</v>
      </c>
      <c r="T188" s="229">
        <v>-1.34E-2</v>
      </c>
      <c r="U188" s="231">
        <v>1400.5</v>
      </c>
      <c r="V188" s="231">
        <v>1419.9</v>
      </c>
      <c r="W188" s="228">
        <v>-19.399999999999999</v>
      </c>
      <c r="X188" s="229">
        <v>-1.37E-2</v>
      </c>
      <c r="Y188" s="228">
        <v>3.7</v>
      </c>
      <c r="Z188" s="228">
        <v>0</v>
      </c>
      <c r="AA188" s="228">
        <v>3.7</v>
      </c>
      <c r="AB188" s="229">
        <v>2.7000000000000001E-3</v>
      </c>
      <c r="AC188" s="228">
        <v>0.4</v>
      </c>
      <c r="AD188" s="228">
        <v>0</v>
      </c>
      <c r="AE188" s="228">
        <v>0.4</v>
      </c>
      <c r="AF188" s="229">
        <v>2.9999999999999997E-4</v>
      </c>
      <c r="AG188" s="228">
        <v>3.7</v>
      </c>
      <c r="AH188" s="228">
        <v>2.8</v>
      </c>
      <c r="AI188" s="228">
        <v>0.9</v>
      </c>
      <c r="AJ188" s="229">
        <v>2.7000000000000001E-3</v>
      </c>
      <c r="AK188" s="228">
        <v>10.3</v>
      </c>
      <c r="AL188" s="228">
        <v>9.8000000000000007</v>
      </c>
      <c r="AM188" s="228">
        <v>0.5</v>
      </c>
      <c r="AN188" s="229">
        <v>7.4000000000000003E-3</v>
      </c>
      <c r="AO188" s="231">
        <v>1394.69</v>
      </c>
      <c r="AP188" s="231">
        <v>1397.35</v>
      </c>
      <c r="AQ188" s="228">
        <v>0</v>
      </c>
      <c r="AR188" s="230">
        <v>38286000</v>
      </c>
      <c r="AS188" s="230">
        <v>42591000</v>
      </c>
      <c r="AT188" s="230">
        <v>-4305000</v>
      </c>
      <c r="AU188" s="229">
        <v>-0.1011</v>
      </c>
      <c r="AV188" s="230">
        <v>14727500</v>
      </c>
      <c r="AW188" s="230">
        <v>19733500</v>
      </c>
      <c r="AX188" s="230">
        <v>-5006000</v>
      </c>
      <c r="AY188" s="229">
        <v>-0.25369999999999998</v>
      </c>
      <c r="AZ188" s="230">
        <v>22420000</v>
      </c>
      <c r="BA188" s="230">
        <v>19984500</v>
      </c>
      <c r="BB188" s="230">
        <v>2435500</v>
      </c>
      <c r="BC188" s="229">
        <v>0.12189999999999999</v>
      </c>
      <c r="BD188" s="230">
        <v>1138500</v>
      </c>
      <c r="BE188" s="230">
        <v>2873000</v>
      </c>
      <c r="BF188" s="230">
        <v>-1734500</v>
      </c>
      <c r="BG188" s="229">
        <v>-0.60370000000000001</v>
      </c>
      <c r="BH188" s="230">
        <v>84935000</v>
      </c>
      <c r="BI188" s="230">
        <v>107114000</v>
      </c>
      <c r="BJ188" s="230">
        <v>-22179000</v>
      </c>
      <c r="BK188" s="229">
        <v>-0.20710000000000001</v>
      </c>
      <c r="BL188" s="230">
        <v>52549000</v>
      </c>
      <c r="BM188" s="230">
        <v>56509000</v>
      </c>
      <c r="BN188" s="230">
        <v>-3960000</v>
      </c>
      <c r="BO188" s="229">
        <v>-7.0099999999999996E-2</v>
      </c>
      <c r="BP188" s="230">
        <v>175770000</v>
      </c>
      <c r="BQ188" s="230">
        <v>206214000</v>
      </c>
      <c r="BR188" s="230">
        <v>-30444000</v>
      </c>
      <c r="BS188" s="229">
        <v>-0.14760000000000001</v>
      </c>
      <c r="BT188" s="230">
        <v>17593707</v>
      </c>
      <c r="BU188" s="230">
        <v>7527534</v>
      </c>
      <c r="BV188" s="230">
        <v>10066173</v>
      </c>
      <c r="BW188" s="229">
        <v>1.3371999999999999</v>
      </c>
      <c r="BX188" s="230">
        <v>119869500</v>
      </c>
      <c r="BY188" s="230">
        <v>122679500</v>
      </c>
      <c r="BZ188" s="230">
        <v>-2810000</v>
      </c>
      <c r="CA188" s="229">
        <v>-2.29E-2</v>
      </c>
      <c r="CB188" s="230">
        <v>5830500</v>
      </c>
      <c r="CC188" s="230">
        <v>14415000</v>
      </c>
      <c r="CD188" s="230">
        <v>-8584500</v>
      </c>
      <c r="CE188" s="229">
        <v>-0.59550000000000003</v>
      </c>
      <c r="CF188" s="230">
        <v>107228000</v>
      </c>
      <c r="CG188" s="230">
        <v>96200500</v>
      </c>
      <c r="CH188" s="230">
        <v>11027500</v>
      </c>
      <c r="CI188" s="229">
        <v>0.11459999999999999</v>
      </c>
      <c r="CJ188" s="230">
        <v>12641500</v>
      </c>
      <c r="CK188" s="230">
        <v>12064000</v>
      </c>
      <c r="CL188" s="230">
        <v>577500</v>
      </c>
      <c r="CM188" s="229">
        <v>4.7899999999999998E-2</v>
      </c>
      <c r="CN188" s="230">
        <v>42020500</v>
      </c>
      <c r="CO188" s="230">
        <v>86032000</v>
      </c>
      <c r="CP188" s="230">
        <v>-44011500</v>
      </c>
      <c r="CQ188" s="229">
        <v>-0.51160000000000005</v>
      </c>
      <c r="CR188" s="230">
        <v>27365500</v>
      </c>
      <c r="CS188" s="230">
        <v>41472000</v>
      </c>
      <c r="CT188" s="230">
        <v>-14106500</v>
      </c>
      <c r="CU188" s="229">
        <v>-0.34010000000000001</v>
      </c>
      <c r="CV188" s="230">
        <v>189255500</v>
      </c>
      <c r="CW188" s="230">
        <v>250183500</v>
      </c>
      <c r="CX188" s="230">
        <v>-60928000</v>
      </c>
      <c r="CY188" s="229">
        <v>-0.24349999999999999</v>
      </c>
      <c r="CZ188" s="228">
        <v>21.57</v>
      </c>
      <c r="DA188" s="228">
        <v>20.92</v>
      </c>
      <c r="DB188" s="228">
        <v>0.65</v>
      </c>
      <c r="DC188" s="228">
        <v>0.65</v>
      </c>
      <c r="DD188" s="228">
        <v>26.06</v>
      </c>
      <c r="DE188" s="228">
        <v>26.06</v>
      </c>
      <c r="DF188" s="228">
        <v>-4.49</v>
      </c>
      <c r="DG188" s="228">
        <v>0</v>
      </c>
      <c r="DH188" s="228">
        <v>21.38</v>
      </c>
      <c r="DI188" s="228">
        <v>20.92</v>
      </c>
      <c r="DJ188" s="228">
        <v>0.46</v>
      </c>
      <c r="DK188" s="228">
        <v>0.46</v>
      </c>
      <c r="DL188" s="228">
        <v>21.91</v>
      </c>
      <c r="DM188" s="228">
        <v>20.92</v>
      </c>
      <c r="DN188" s="228">
        <v>0.99</v>
      </c>
      <c r="DO188" s="228">
        <v>0.99</v>
      </c>
      <c r="DP188" s="228">
        <v>0.65</v>
      </c>
      <c r="DQ188" s="228">
        <v>0.48</v>
      </c>
      <c r="DR188" s="228">
        <v>0.17</v>
      </c>
      <c r="DS188" s="229">
        <v>0.35420000000000001</v>
      </c>
      <c r="DT188" s="231">
        <v>1500</v>
      </c>
      <c r="DU188" s="231">
        <v>1400</v>
      </c>
      <c r="DV188" s="228">
        <v>0.62</v>
      </c>
      <c r="DW188" s="228">
        <v>0.53</v>
      </c>
      <c r="DX188" s="228">
        <v>0.09</v>
      </c>
      <c r="DY188" s="229">
        <v>0.16980000000000001</v>
      </c>
      <c r="DZ188" s="229">
        <v>0.9536</v>
      </c>
      <c r="EA188" s="230">
        <v>108264500</v>
      </c>
      <c r="EB188" s="229">
        <v>2.3999999999999998E-3</v>
      </c>
      <c r="EC188" s="229">
        <v>0.9536</v>
      </c>
      <c r="ED188" s="228">
        <v>2.66</v>
      </c>
      <c r="EE188" s="229">
        <v>1.9E-3</v>
      </c>
      <c r="EF188" s="230">
        <v>11768041</v>
      </c>
      <c r="EG188" s="230">
        <v>4090564</v>
      </c>
      <c r="EH188" s="229">
        <v>1.8769</v>
      </c>
      <c r="EI188" s="229">
        <v>0.66890000000000005</v>
      </c>
      <c r="EJ188" s="231">
        <v>1234443.47</v>
      </c>
      <c r="EK188" s="231">
        <v>737291.84</v>
      </c>
      <c r="EL188" s="231">
        <v>534646.37</v>
      </c>
      <c r="EM188" s="228">
        <v>0</v>
      </c>
      <c r="EN188" s="231">
        <v>2506381.6800000002</v>
      </c>
      <c r="EO188" s="231">
        <v>2966419.41</v>
      </c>
      <c r="EP188" s="231">
        <v>-460037.73</v>
      </c>
      <c r="EQ188" s="229">
        <v>-0.15509999999999999</v>
      </c>
      <c r="ER188" s="231">
        <v>619015</v>
      </c>
      <c r="ES188" s="231">
        <v>382641</v>
      </c>
      <c r="ET188" s="231">
        <v>1671695</v>
      </c>
      <c r="EU188" s="231">
        <v>1323414074</v>
      </c>
      <c r="EV188" s="231">
        <v>2673351</v>
      </c>
      <c r="EW188" s="231">
        <v>3608750</v>
      </c>
      <c r="EX188" s="231">
        <v>-935399</v>
      </c>
      <c r="EY188" s="229">
        <v>-0.25919999999999999</v>
      </c>
      <c r="EZ188" s="229">
        <v>0.14299999999999999</v>
      </c>
      <c r="FA188" s="227" t="s">
        <v>568</v>
      </c>
      <c r="FB188" s="161">
        <f t="shared" si="4"/>
        <v>0</v>
      </c>
    </row>
    <row r="189" spans="1:158" ht="17.25" thickBot="1" x14ac:dyDescent="0.3">
      <c r="A189" s="226">
        <v>45869</v>
      </c>
      <c r="B189" s="227" t="s">
        <v>215</v>
      </c>
      <c r="C189" s="227" t="s">
        <v>677</v>
      </c>
      <c r="D189" s="228">
        <v>1375</v>
      </c>
      <c r="E189" s="228">
        <v>348.75</v>
      </c>
      <c r="F189" s="228">
        <v>355.2</v>
      </c>
      <c r="G189" s="228">
        <v>-6.45</v>
      </c>
      <c r="H189" s="229">
        <v>-1.8200000000000001E-2</v>
      </c>
      <c r="I189" s="228">
        <v>348.15</v>
      </c>
      <c r="J189" s="228">
        <v>358.4</v>
      </c>
      <c r="K189" s="228">
        <v>-10.25</v>
      </c>
      <c r="L189" s="229">
        <v>-2.86E-2</v>
      </c>
      <c r="M189" s="228">
        <v>347.1</v>
      </c>
      <c r="N189" s="228">
        <v>358.65</v>
      </c>
      <c r="O189" s="228">
        <v>-11.55</v>
      </c>
      <c r="P189" s="229">
        <v>-3.2199999999999999E-2</v>
      </c>
      <c r="Q189" s="228">
        <v>348.75</v>
      </c>
      <c r="R189" s="228">
        <v>355.2</v>
      </c>
      <c r="S189" s="228">
        <v>-6.45</v>
      </c>
      <c r="T189" s="229">
        <v>-1.8200000000000001E-2</v>
      </c>
      <c r="U189" s="228">
        <v>348.85</v>
      </c>
      <c r="V189" s="228">
        <v>354.05</v>
      </c>
      <c r="W189" s="228">
        <v>-5.2</v>
      </c>
      <c r="X189" s="229">
        <v>-1.47E-2</v>
      </c>
      <c r="Y189" s="228">
        <v>0.6</v>
      </c>
      <c r="Z189" s="228">
        <v>0.25</v>
      </c>
      <c r="AA189" s="228">
        <v>0.35</v>
      </c>
      <c r="AB189" s="229">
        <v>1.6999999999999999E-3</v>
      </c>
      <c r="AC189" s="228">
        <v>-1.05</v>
      </c>
      <c r="AD189" s="228">
        <v>0.25</v>
      </c>
      <c r="AE189" s="228">
        <v>-1.3</v>
      </c>
      <c r="AF189" s="229">
        <v>-3.0000000000000001E-3</v>
      </c>
      <c r="AG189" s="228">
        <v>0.6</v>
      </c>
      <c r="AH189" s="228">
        <v>-3.2</v>
      </c>
      <c r="AI189" s="228">
        <v>3.8</v>
      </c>
      <c r="AJ189" s="229">
        <v>1.6999999999999999E-3</v>
      </c>
      <c r="AK189" s="228">
        <v>0.7</v>
      </c>
      <c r="AL189" s="228">
        <v>-4.3499999999999996</v>
      </c>
      <c r="AM189" s="228">
        <v>5.05</v>
      </c>
      <c r="AN189" s="229">
        <v>2E-3</v>
      </c>
      <c r="AO189" s="228">
        <v>350.55</v>
      </c>
      <c r="AP189" s="228">
        <v>350.93</v>
      </c>
      <c r="AQ189" s="228">
        <v>0</v>
      </c>
      <c r="AR189" s="230">
        <v>8536000</v>
      </c>
      <c r="AS189" s="230">
        <v>9120375</v>
      </c>
      <c r="AT189" s="230">
        <v>-584375</v>
      </c>
      <c r="AU189" s="229">
        <v>-6.4100000000000004E-2</v>
      </c>
      <c r="AV189" s="230">
        <v>4059000</v>
      </c>
      <c r="AW189" s="230">
        <v>4507250</v>
      </c>
      <c r="AX189" s="230">
        <v>-448250</v>
      </c>
      <c r="AY189" s="229">
        <v>-9.9500000000000005E-2</v>
      </c>
      <c r="AZ189" s="230">
        <v>4268000</v>
      </c>
      <c r="BA189" s="230">
        <v>4507250</v>
      </c>
      <c r="BB189" s="230">
        <v>-239250</v>
      </c>
      <c r="BC189" s="229">
        <v>-5.3100000000000001E-2</v>
      </c>
      <c r="BD189" s="230">
        <v>209000</v>
      </c>
      <c r="BE189" s="230">
        <v>105875</v>
      </c>
      <c r="BF189" s="230">
        <v>103125</v>
      </c>
      <c r="BG189" s="229">
        <v>0.97399999999999998</v>
      </c>
      <c r="BH189" s="230">
        <v>3018125</v>
      </c>
      <c r="BI189" s="230">
        <v>4301000</v>
      </c>
      <c r="BJ189" s="230">
        <v>-1282875</v>
      </c>
      <c r="BK189" s="229">
        <v>-0.29830000000000001</v>
      </c>
      <c r="BL189" s="230">
        <v>1606000</v>
      </c>
      <c r="BM189" s="230">
        <v>1362625</v>
      </c>
      <c r="BN189" s="230">
        <v>243375</v>
      </c>
      <c r="BO189" s="229">
        <v>0.17860000000000001</v>
      </c>
      <c r="BP189" s="230">
        <v>13160125</v>
      </c>
      <c r="BQ189" s="230">
        <v>14784000</v>
      </c>
      <c r="BR189" s="230">
        <v>-1623875</v>
      </c>
      <c r="BS189" s="229">
        <v>-0.10979999999999999</v>
      </c>
      <c r="BT189" s="230">
        <v>4375774</v>
      </c>
      <c r="BU189" s="230">
        <v>2202640</v>
      </c>
      <c r="BV189" s="230">
        <v>2173134</v>
      </c>
      <c r="BW189" s="229">
        <v>0.98660000000000003</v>
      </c>
      <c r="BX189" s="230">
        <v>15202000</v>
      </c>
      <c r="BY189" s="230">
        <v>17349750</v>
      </c>
      <c r="BZ189" s="230">
        <v>-2147750</v>
      </c>
      <c r="CA189" s="229">
        <v>-0.12379999999999999</v>
      </c>
      <c r="CB189" s="230">
        <v>2033625</v>
      </c>
      <c r="CC189" s="230">
        <v>3069000</v>
      </c>
      <c r="CD189" s="230">
        <v>-1035375</v>
      </c>
      <c r="CE189" s="229">
        <v>-0.33739999999999998</v>
      </c>
      <c r="CF189" s="230">
        <v>14562625</v>
      </c>
      <c r="CG189" s="230">
        <v>13741750</v>
      </c>
      <c r="CH189" s="230">
        <v>820875</v>
      </c>
      <c r="CI189" s="229">
        <v>5.9700000000000003E-2</v>
      </c>
      <c r="CJ189" s="230">
        <v>639375</v>
      </c>
      <c r="CK189" s="230">
        <v>539000</v>
      </c>
      <c r="CL189" s="230">
        <v>100375</v>
      </c>
      <c r="CM189" s="229">
        <v>0.1862</v>
      </c>
      <c r="CN189" s="230">
        <v>1656875</v>
      </c>
      <c r="CO189" s="230">
        <v>7675250</v>
      </c>
      <c r="CP189" s="230">
        <v>-6018375</v>
      </c>
      <c r="CQ189" s="229">
        <v>-0.78410000000000002</v>
      </c>
      <c r="CR189" s="230">
        <v>1150875</v>
      </c>
      <c r="CS189" s="230">
        <v>2616625</v>
      </c>
      <c r="CT189" s="230">
        <v>-1465750</v>
      </c>
      <c r="CU189" s="229">
        <v>-0.56020000000000003</v>
      </c>
      <c r="CV189" s="230">
        <v>18009750</v>
      </c>
      <c r="CW189" s="230">
        <v>27641625</v>
      </c>
      <c r="CX189" s="230">
        <v>-9631875</v>
      </c>
      <c r="CY189" s="229">
        <v>-0.34849999999999998</v>
      </c>
      <c r="CZ189" s="228">
        <v>40.68</v>
      </c>
      <c r="DA189" s="228">
        <v>40.049999999999997</v>
      </c>
      <c r="DB189" s="228">
        <v>0.63</v>
      </c>
      <c r="DC189" s="228">
        <v>0.63</v>
      </c>
      <c r="DD189" s="228">
        <v>62.27</v>
      </c>
      <c r="DE189" s="228">
        <v>62.36</v>
      </c>
      <c r="DF189" s="228">
        <v>-21.59</v>
      </c>
      <c r="DG189" s="228">
        <v>-0.09</v>
      </c>
      <c r="DH189" s="228">
        <v>40.770000000000003</v>
      </c>
      <c r="DI189" s="228">
        <v>40.229999999999997</v>
      </c>
      <c r="DJ189" s="228">
        <v>0.54</v>
      </c>
      <c r="DK189" s="228">
        <v>0.54</v>
      </c>
      <c r="DL189" s="228">
        <v>40.479999999999997</v>
      </c>
      <c r="DM189" s="228">
        <v>39.71</v>
      </c>
      <c r="DN189" s="228">
        <v>0.77</v>
      </c>
      <c r="DO189" s="228">
        <v>0.77</v>
      </c>
      <c r="DP189" s="228">
        <v>0.69</v>
      </c>
      <c r="DQ189" s="228">
        <v>0.34</v>
      </c>
      <c r="DR189" s="228">
        <v>0.35</v>
      </c>
      <c r="DS189" s="229">
        <v>1.0294000000000001</v>
      </c>
      <c r="DT189" s="228">
        <v>400</v>
      </c>
      <c r="DU189" s="228">
        <v>430</v>
      </c>
      <c r="DV189" s="228">
        <v>0.53</v>
      </c>
      <c r="DW189" s="228">
        <v>0.32</v>
      </c>
      <c r="DX189" s="228">
        <v>0.21</v>
      </c>
      <c r="DY189" s="229">
        <v>0.65629999999999999</v>
      </c>
      <c r="DZ189" s="229">
        <v>0.88200000000000001</v>
      </c>
      <c r="EA189" s="230">
        <v>14280750</v>
      </c>
      <c r="EB189" s="229">
        <v>4.7999999999999996E-3</v>
      </c>
      <c r="EC189" s="229">
        <v>0.88200000000000001</v>
      </c>
      <c r="ED189" s="228">
        <v>0.38</v>
      </c>
      <c r="EE189" s="229">
        <v>1.1000000000000001E-3</v>
      </c>
      <c r="EF189" s="230">
        <v>1487945</v>
      </c>
      <c r="EG189" s="230">
        <v>624340</v>
      </c>
      <c r="EH189" s="229">
        <v>1.3832</v>
      </c>
      <c r="EI189" s="229">
        <v>0.34</v>
      </c>
      <c r="EJ189" s="231">
        <v>11663.55</v>
      </c>
      <c r="EK189" s="231">
        <v>6100.57</v>
      </c>
      <c r="EL189" s="231">
        <v>29939.51</v>
      </c>
      <c r="EM189" s="228">
        <v>0</v>
      </c>
      <c r="EN189" s="231">
        <v>47703.63</v>
      </c>
      <c r="EO189" s="231">
        <v>54421.98</v>
      </c>
      <c r="EP189" s="231">
        <v>-6718.35</v>
      </c>
      <c r="EQ189" s="229">
        <v>-0.1234</v>
      </c>
      <c r="ER189" s="231">
        <v>6360</v>
      </c>
      <c r="ES189" s="231">
        <v>4106</v>
      </c>
      <c r="ET189" s="231">
        <v>53018</v>
      </c>
      <c r="EU189" s="231">
        <v>113255281</v>
      </c>
      <c r="EV189" s="231">
        <v>63485</v>
      </c>
      <c r="EW189" s="231">
        <v>102847</v>
      </c>
      <c r="EX189" s="231">
        <v>-39362</v>
      </c>
      <c r="EY189" s="229">
        <v>-0.38269999999999998</v>
      </c>
      <c r="EZ189" s="229">
        <v>0.159</v>
      </c>
      <c r="FA189" s="227" t="s">
        <v>568</v>
      </c>
      <c r="FB189" s="161">
        <f t="shared" si="4"/>
        <v>0</v>
      </c>
    </row>
    <row r="190" spans="1:158" ht="17.25" thickBot="1" x14ac:dyDescent="0.3">
      <c r="A190" s="226">
        <v>45869</v>
      </c>
      <c r="B190" s="227" t="s">
        <v>227</v>
      </c>
      <c r="C190" s="227" t="s">
        <v>282</v>
      </c>
      <c r="D190" s="228">
        <v>4700</v>
      </c>
      <c r="E190" s="228">
        <v>124.4</v>
      </c>
      <c r="F190" s="228">
        <v>124.9</v>
      </c>
      <c r="G190" s="228">
        <v>-0.5</v>
      </c>
      <c r="H190" s="229">
        <v>-4.0000000000000001E-3</v>
      </c>
      <c r="I190" s="228">
        <v>124.2</v>
      </c>
      <c r="J190" s="228">
        <v>124.16</v>
      </c>
      <c r="K190" s="228">
        <v>0.04</v>
      </c>
      <c r="L190" s="229">
        <v>2.9999999999999997E-4</v>
      </c>
      <c r="M190" s="228">
        <v>123.94</v>
      </c>
      <c r="N190" s="228">
        <v>124.35</v>
      </c>
      <c r="O190" s="228">
        <v>-0.41</v>
      </c>
      <c r="P190" s="229">
        <v>-3.3E-3</v>
      </c>
      <c r="Q190" s="228">
        <v>124.4</v>
      </c>
      <c r="R190" s="228">
        <v>124.9</v>
      </c>
      <c r="S190" s="228">
        <v>-0.5</v>
      </c>
      <c r="T190" s="229">
        <v>-4.0000000000000001E-3</v>
      </c>
      <c r="U190" s="228">
        <v>123.97</v>
      </c>
      <c r="V190" s="228">
        <v>124.16</v>
      </c>
      <c r="W190" s="228">
        <v>-0.19</v>
      </c>
      <c r="X190" s="229">
        <v>-1.5E-3</v>
      </c>
      <c r="Y190" s="228">
        <v>0.2</v>
      </c>
      <c r="Z190" s="228">
        <v>0.19</v>
      </c>
      <c r="AA190" s="228">
        <v>0.01</v>
      </c>
      <c r="AB190" s="229">
        <v>1.6000000000000001E-3</v>
      </c>
      <c r="AC190" s="228">
        <v>-0.26</v>
      </c>
      <c r="AD190" s="228">
        <v>0.19</v>
      </c>
      <c r="AE190" s="228">
        <v>-0.45</v>
      </c>
      <c r="AF190" s="229">
        <v>-2.0999999999999999E-3</v>
      </c>
      <c r="AG190" s="228">
        <v>0.2</v>
      </c>
      <c r="AH190" s="228">
        <v>0.74</v>
      </c>
      <c r="AI190" s="228">
        <v>-0.54</v>
      </c>
      <c r="AJ190" s="229">
        <v>1.6000000000000001E-3</v>
      </c>
      <c r="AK190" s="228">
        <v>-0.23</v>
      </c>
      <c r="AL190" s="228">
        <v>0</v>
      </c>
      <c r="AM190" s="228">
        <v>-0.23</v>
      </c>
      <c r="AN190" s="229">
        <v>-1.9E-3</v>
      </c>
      <c r="AO190" s="228">
        <v>123.75</v>
      </c>
      <c r="AP190" s="228">
        <v>124.27</v>
      </c>
      <c r="AQ190" s="228">
        <v>0</v>
      </c>
      <c r="AR190" s="230">
        <v>78847200</v>
      </c>
      <c r="AS190" s="230">
        <v>85215700</v>
      </c>
      <c r="AT190" s="230">
        <v>-6368500</v>
      </c>
      <c r="AU190" s="229">
        <v>-7.4700000000000003E-2</v>
      </c>
      <c r="AV190" s="230">
        <v>32213800</v>
      </c>
      <c r="AW190" s="230">
        <v>35630700</v>
      </c>
      <c r="AX190" s="230">
        <v>-3416900</v>
      </c>
      <c r="AY190" s="229">
        <v>-9.5899999999999999E-2</v>
      </c>
      <c r="AZ190" s="230">
        <v>40429400</v>
      </c>
      <c r="BA190" s="230">
        <v>39653900</v>
      </c>
      <c r="BB190" s="230">
        <v>775500</v>
      </c>
      <c r="BC190" s="229">
        <v>1.9599999999999999E-2</v>
      </c>
      <c r="BD190" s="230">
        <v>6204000</v>
      </c>
      <c r="BE190" s="230">
        <v>9931100</v>
      </c>
      <c r="BF190" s="230">
        <v>-3727100</v>
      </c>
      <c r="BG190" s="229">
        <v>-0.37530000000000002</v>
      </c>
      <c r="BH190" s="230">
        <v>25248400</v>
      </c>
      <c r="BI190" s="230">
        <v>28557200</v>
      </c>
      <c r="BJ190" s="230">
        <v>-3308800</v>
      </c>
      <c r="BK190" s="229">
        <v>-0.1159</v>
      </c>
      <c r="BL190" s="230">
        <v>17704900</v>
      </c>
      <c r="BM190" s="230">
        <v>19058500</v>
      </c>
      <c r="BN190" s="230">
        <v>-1353600</v>
      </c>
      <c r="BO190" s="229">
        <v>-7.0999999999999994E-2</v>
      </c>
      <c r="BP190" s="230">
        <v>121800500</v>
      </c>
      <c r="BQ190" s="230">
        <v>132831400</v>
      </c>
      <c r="BR190" s="230">
        <v>-11030900</v>
      </c>
      <c r="BS190" s="229">
        <v>-8.3000000000000004E-2</v>
      </c>
      <c r="BT190" s="230">
        <v>13677193</v>
      </c>
      <c r="BU190" s="230">
        <v>8821289</v>
      </c>
      <c r="BV190" s="230">
        <v>4855904</v>
      </c>
      <c r="BW190" s="229">
        <v>0.55049999999999999</v>
      </c>
      <c r="BX190" s="230">
        <v>158291300</v>
      </c>
      <c r="BY190" s="230">
        <v>170041300</v>
      </c>
      <c r="BZ190" s="230">
        <v>-11750000</v>
      </c>
      <c r="CA190" s="229">
        <v>-6.9099999999999995E-2</v>
      </c>
      <c r="CB190" s="230">
        <v>8102800</v>
      </c>
      <c r="CC190" s="230">
        <v>29765100</v>
      </c>
      <c r="CD190" s="230">
        <v>-21662300</v>
      </c>
      <c r="CE190" s="229">
        <v>-0.7278</v>
      </c>
      <c r="CF190" s="230">
        <v>131506000</v>
      </c>
      <c r="CG190" s="230">
        <v>118073400</v>
      </c>
      <c r="CH190" s="230">
        <v>13432600</v>
      </c>
      <c r="CI190" s="229">
        <v>0.1138</v>
      </c>
      <c r="CJ190" s="230">
        <v>26785300</v>
      </c>
      <c r="CK190" s="230">
        <v>22202800</v>
      </c>
      <c r="CL190" s="230">
        <v>4582500</v>
      </c>
      <c r="CM190" s="229">
        <v>0.2064</v>
      </c>
      <c r="CN190" s="230">
        <v>24087500</v>
      </c>
      <c r="CO190" s="230">
        <v>48668500</v>
      </c>
      <c r="CP190" s="230">
        <v>-24581000</v>
      </c>
      <c r="CQ190" s="229">
        <v>-0.50509999999999999</v>
      </c>
      <c r="CR190" s="230">
        <v>15575800</v>
      </c>
      <c r="CS190" s="230">
        <v>27354000</v>
      </c>
      <c r="CT190" s="230">
        <v>-11778200</v>
      </c>
      <c r="CU190" s="229">
        <v>-0.43059999999999998</v>
      </c>
      <c r="CV190" s="230">
        <v>197954600</v>
      </c>
      <c r="CW190" s="230">
        <v>246063800</v>
      </c>
      <c r="CX190" s="230">
        <v>-48109200</v>
      </c>
      <c r="CY190" s="229">
        <v>-0.19550000000000001</v>
      </c>
      <c r="CZ190" s="228">
        <v>31.22</v>
      </c>
      <c r="DA190" s="228">
        <v>31.58</v>
      </c>
      <c r="DB190" s="228">
        <v>-0.36</v>
      </c>
      <c r="DC190" s="228">
        <v>-0.36</v>
      </c>
      <c r="DD190" s="228">
        <v>47.92</v>
      </c>
      <c r="DE190" s="228">
        <v>48.04</v>
      </c>
      <c r="DF190" s="228">
        <v>-16.7</v>
      </c>
      <c r="DG190" s="228">
        <v>-0.12</v>
      </c>
      <c r="DH190" s="228">
        <v>31.46</v>
      </c>
      <c r="DI190" s="228">
        <v>31.67</v>
      </c>
      <c r="DJ190" s="228">
        <v>-0.21</v>
      </c>
      <c r="DK190" s="228">
        <v>-0.21</v>
      </c>
      <c r="DL190" s="228">
        <v>30.82</v>
      </c>
      <c r="DM190" s="228">
        <v>31.46</v>
      </c>
      <c r="DN190" s="228">
        <v>-0.64</v>
      </c>
      <c r="DO190" s="228">
        <v>-0.64</v>
      </c>
      <c r="DP190" s="228">
        <v>0.65</v>
      </c>
      <c r="DQ190" s="228">
        <v>0.56000000000000005</v>
      </c>
      <c r="DR190" s="228">
        <v>0.09</v>
      </c>
      <c r="DS190" s="229">
        <v>0.16070000000000001</v>
      </c>
      <c r="DT190" s="228">
        <v>140</v>
      </c>
      <c r="DU190" s="228">
        <v>135</v>
      </c>
      <c r="DV190" s="228">
        <v>0.7</v>
      </c>
      <c r="DW190" s="228">
        <v>0.67</v>
      </c>
      <c r="DX190" s="228">
        <v>0.03</v>
      </c>
      <c r="DY190" s="229">
        <v>4.48E-2</v>
      </c>
      <c r="DZ190" s="229">
        <v>0.95130000000000003</v>
      </c>
      <c r="EA190" s="230">
        <v>140276200</v>
      </c>
      <c r="EB190" s="229">
        <v>3.7000000000000002E-3</v>
      </c>
      <c r="EC190" s="229">
        <v>0.95130000000000003</v>
      </c>
      <c r="ED190" s="228">
        <v>0.52</v>
      </c>
      <c r="EE190" s="229">
        <v>4.1999999999999997E-3</v>
      </c>
      <c r="EF190" s="230">
        <v>4594819</v>
      </c>
      <c r="EG190" s="230">
        <v>3323973</v>
      </c>
      <c r="EH190" s="229">
        <v>0.38229999999999997</v>
      </c>
      <c r="EI190" s="229">
        <v>0.33589999999999998</v>
      </c>
      <c r="EJ190" s="231">
        <v>33293.17</v>
      </c>
      <c r="EK190" s="231">
        <v>23246.02</v>
      </c>
      <c r="EL190" s="231">
        <v>97769.25</v>
      </c>
      <c r="EM190" s="228">
        <v>0</v>
      </c>
      <c r="EN190" s="231">
        <v>154308.44</v>
      </c>
      <c r="EO190" s="231">
        <v>168455.23</v>
      </c>
      <c r="EP190" s="231">
        <v>-14146.79</v>
      </c>
      <c r="EQ190" s="229">
        <v>-8.4000000000000005E-2</v>
      </c>
      <c r="ER190" s="231">
        <v>32814</v>
      </c>
      <c r="ES190" s="231">
        <v>19852</v>
      </c>
      <c r="ET190" s="231">
        <v>196799</v>
      </c>
      <c r="EU190" s="231">
        <v>289148547</v>
      </c>
      <c r="EV190" s="231">
        <v>249465</v>
      </c>
      <c r="EW190" s="231">
        <v>314149</v>
      </c>
      <c r="EX190" s="231">
        <v>-64684</v>
      </c>
      <c r="EY190" s="229">
        <v>-0.2059</v>
      </c>
      <c r="EZ190" s="229">
        <v>0.68459999999999999</v>
      </c>
      <c r="FA190" s="227" t="s">
        <v>568</v>
      </c>
      <c r="FB190" s="161">
        <f t="shared" si="4"/>
        <v>0</v>
      </c>
    </row>
    <row r="191" spans="1:158" ht="17.25" thickBot="1" x14ac:dyDescent="0.3">
      <c r="A191" s="226">
        <v>45869</v>
      </c>
      <c r="B191" s="227" t="s">
        <v>175</v>
      </c>
      <c r="C191" s="227" t="s">
        <v>536</v>
      </c>
      <c r="D191" s="228">
        <v>800</v>
      </c>
      <c r="E191" s="228">
        <v>808.9</v>
      </c>
      <c r="F191" s="228">
        <v>812.25</v>
      </c>
      <c r="G191" s="228">
        <v>-3.35</v>
      </c>
      <c r="H191" s="229">
        <v>-4.1000000000000003E-3</v>
      </c>
      <c r="I191" s="228">
        <v>807.4</v>
      </c>
      <c r="J191" s="228">
        <v>814.7</v>
      </c>
      <c r="K191" s="228">
        <v>-7.3</v>
      </c>
      <c r="L191" s="229">
        <v>-8.9999999999999993E-3</v>
      </c>
      <c r="M191" s="228">
        <v>807.3</v>
      </c>
      <c r="N191" s="228">
        <v>814.65</v>
      </c>
      <c r="O191" s="228">
        <v>-7.35</v>
      </c>
      <c r="P191" s="229">
        <v>-8.9999999999999993E-3</v>
      </c>
      <c r="Q191" s="228">
        <v>808.9</v>
      </c>
      <c r="R191" s="228">
        <v>812.25</v>
      </c>
      <c r="S191" s="228">
        <v>-3.35</v>
      </c>
      <c r="T191" s="229">
        <v>-4.1000000000000003E-3</v>
      </c>
      <c r="U191" s="228">
        <v>809.7</v>
      </c>
      <c r="V191" s="228">
        <v>812.45</v>
      </c>
      <c r="W191" s="228">
        <v>-2.75</v>
      </c>
      <c r="X191" s="229">
        <v>-3.3999999999999998E-3</v>
      </c>
      <c r="Y191" s="228">
        <v>1.5</v>
      </c>
      <c r="Z191" s="228">
        <v>-0.05</v>
      </c>
      <c r="AA191" s="228">
        <v>1.55</v>
      </c>
      <c r="AB191" s="229">
        <v>1.9E-3</v>
      </c>
      <c r="AC191" s="228">
        <v>-0.1</v>
      </c>
      <c r="AD191" s="228">
        <v>-0.05</v>
      </c>
      <c r="AE191" s="228">
        <v>-0.05</v>
      </c>
      <c r="AF191" s="229">
        <v>-1E-4</v>
      </c>
      <c r="AG191" s="228">
        <v>1.5</v>
      </c>
      <c r="AH191" s="228">
        <v>-2.4500000000000002</v>
      </c>
      <c r="AI191" s="228">
        <v>3.95</v>
      </c>
      <c r="AJ191" s="229">
        <v>1.9E-3</v>
      </c>
      <c r="AK191" s="228">
        <v>2.2999999999999998</v>
      </c>
      <c r="AL191" s="228">
        <v>-2.25</v>
      </c>
      <c r="AM191" s="228">
        <v>4.55</v>
      </c>
      <c r="AN191" s="229">
        <v>2.8E-3</v>
      </c>
      <c r="AO191" s="228">
        <v>807.97</v>
      </c>
      <c r="AP191" s="228">
        <v>808.59</v>
      </c>
      <c r="AQ191" s="228">
        <v>0</v>
      </c>
      <c r="AR191" s="230">
        <v>7136800</v>
      </c>
      <c r="AS191" s="230">
        <v>7976800</v>
      </c>
      <c r="AT191" s="230">
        <v>-840000</v>
      </c>
      <c r="AU191" s="229">
        <v>-0.1053</v>
      </c>
      <c r="AV191" s="230">
        <v>3242400</v>
      </c>
      <c r="AW191" s="230">
        <v>3797600</v>
      </c>
      <c r="AX191" s="230">
        <v>-555200</v>
      </c>
      <c r="AY191" s="229">
        <v>-0.1462</v>
      </c>
      <c r="AZ191" s="230">
        <v>3688000</v>
      </c>
      <c r="BA191" s="230">
        <v>4027200</v>
      </c>
      <c r="BB191" s="230">
        <v>-339200</v>
      </c>
      <c r="BC191" s="229">
        <v>-8.4199999999999997E-2</v>
      </c>
      <c r="BD191" s="230">
        <v>206400</v>
      </c>
      <c r="BE191" s="230">
        <v>152000</v>
      </c>
      <c r="BF191" s="230">
        <v>54400</v>
      </c>
      <c r="BG191" s="229">
        <v>0.3579</v>
      </c>
      <c r="BH191" s="230">
        <v>5000800</v>
      </c>
      <c r="BI191" s="230">
        <v>8672000</v>
      </c>
      <c r="BJ191" s="230">
        <v>-3671200</v>
      </c>
      <c r="BK191" s="229">
        <v>-0.42330000000000001</v>
      </c>
      <c r="BL191" s="230">
        <v>3529600</v>
      </c>
      <c r="BM191" s="230">
        <v>4406400</v>
      </c>
      <c r="BN191" s="230">
        <v>-876800</v>
      </c>
      <c r="BO191" s="229">
        <v>-0.19900000000000001</v>
      </c>
      <c r="BP191" s="230">
        <v>15667200</v>
      </c>
      <c r="BQ191" s="230">
        <v>21055200</v>
      </c>
      <c r="BR191" s="230">
        <v>-5388000</v>
      </c>
      <c r="BS191" s="229">
        <v>-0.25590000000000002</v>
      </c>
      <c r="BT191" s="230">
        <v>1767660</v>
      </c>
      <c r="BU191" s="230">
        <v>756913</v>
      </c>
      <c r="BV191" s="230">
        <v>1010747</v>
      </c>
      <c r="BW191" s="229">
        <v>1.3353999999999999</v>
      </c>
      <c r="BX191" s="230">
        <v>14005600</v>
      </c>
      <c r="BY191" s="230">
        <v>15415200</v>
      </c>
      <c r="BZ191" s="230">
        <v>-1409600</v>
      </c>
      <c r="CA191" s="229">
        <v>-9.1399999999999995E-2</v>
      </c>
      <c r="CB191" s="230">
        <v>1291200</v>
      </c>
      <c r="CC191" s="230">
        <v>2424800</v>
      </c>
      <c r="CD191" s="230">
        <v>-1133600</v>
      </c>
      <c r="CE191" s="229">
        <v>-0.46750000000000003</v>
      </c>
      <c r="CF191" s="230">
        <v>13474400</v>
      </c>
      <c r="CG191" s="230">
        <v>12536000</v>
      </c>
      <c r="CH191" s="230">
        <v>938400</v>
      </c>
      <c r="CI191" s="229">
        <v>7.4899999999999994E-2</v>
      </c>
      <c r="CJ191" s="230">
        <v>531200</v>
      </c>
      <c r="CK191" s="230">
        <v>454400</v>
      </c>
      <c r="CL191" s="230">
        <v>76800</v>
      </c>
      <c r="CM191" s="229">
        <v>0.16900000000000001</v>
      </c>
      <c r="CN191" s="230">
        <v>4301600</v>
      </c>
      <c r="CO191" s="230">
        <v>11228000</v>
      </c>
      <c r="CP191" s="230">
        <v>-6926400</v>
      </c>
      <c r="CQ191" s="229">
        <v>-0.6169</v>
      </c>
      <c r="CR191" s="230">
        <v>2874400</v>
      </c>
      <c r="CS191" s="230">
        <v>5656000</v>
      </c>
      <c r="CT191" s="230">
        <v>-2781600</v>
      </c>
      <c r="CU191" s="229">
        <v>-0.49180000000000001</v>
      </c>
      <c r="CV191" s="230">
        <v>21181600</v>
      </c>
      <c r="CW191" s="230">
        <v>32299200</v>
      </c>
      <c r="CX191" s="230">
        <v>-11117600</v>
      </c>
      <c r="CY191" s="229">
        <v>-0.34420000000000001</v>
      </c>
      <c r="CZ191" s="228">
        <v>24.75</v>
      </c>
      <c r="DA191" s="228">
        <v>25.27</v>
      </c>
      <c r="DB191" s="228">
        <v>-0.52</v>
      </c>
      <c r="DC191" s="228">
        <v>-0.52</v>
      </c>
      <c r="DD191" s="228">
        <v>31.45</v>
      </c>
      <c r="DE191" s="228">
        <v>31.52</v>
      </c>
      <c r="DF191" s="228">
        <v>-6.7</v>
      </c>
      <c r="DG191" s="228">
        <v>-7.0000000000000007E-2</v>
      </c>
      <c r="DH191" s="228">
        <v>25.47</v>
      </c>
      <c r="DI191" s="228">
        <v>26.32</v>
      </c>
      <c r="DJ191" s="228">
        <v>-0.85</v>
      </c>
      <c r="DK191" s="228">
        <v>-0.85</v>
      </c>
      <c r="DL191" s="228">
        <v>23.49</v>
      </c>
      <c r="DM191" s="228">
        <v>23.92</v>
      </c>
      <c r="DN191" s="228">
        <v>-0.43</v>
      </c>
      <c r="DO191" s="228">
        <v>-0.43</v>
      </c>
      <c r="DP191" s="228">
        <v>0.67</v>
      </c>
      <c r="DQ191" s="228">
        <v>0.5</v>
      </c>
      <c r="DR191" s="228">
        <v>0.17</v>
      </c>
      <c r="DS191" s="229">
        <v>0.34</v>
      </c>
      <c r="DT191" s="228">
        <v>900</v>
      </c>
      <c r="DU191" s="228">
        <v>800</v>
      </c>
      <c r="DV191" s="228">
        <v>0.71</v>
      </c>
      <c r="DW191" s="228">
        <v>0.51</v>
      </c>
      <c r="DX191" s="228">
        <v>0.2</v>
      </c>
      <c r="DY191" s="229">
        <v>0.39219999999999999</v>
      </c>
      <c r="DZ191" s="229">
        <v>0.91559999999999997</v>
      </c>
      <c r="EA191" s="230">
        <v>12990400</v>
      </c>
      <c r="EB191" s="229">
        <v>2E-3</v>
      </c>
      <c r="EC191" s="229">
        <v>0.91559999999999997</v>
      </c>
      <c r="ED191" s="228">
        <v>0.62</v>
      </c>
      <c r="EE191" s="229">
        <v>8.0000000000000004E-4</v>
      </c>
      <c r="EF191" s="230">
        <v>990918</v>
      </c>
      <c r="EG191" s="230">
        <v>310019</v>
      </c>
      <c r="EH191" s="229">
        <v>2.1962999999999999</v>
      </c>
      <c r="EI191" s="229">
        <v>0.56059999999999999</v>
      </c>
      <c r="EJ191" s="231">
        <v>44001.32</v>
      </c>
      <c r="EK191" s="231">
        <v>30166.51</v>
      </c>
      <c r="EL191" s="231">
        <v>57685.3</v>
      </c>
      <c r="EM191" s="228">
        <v>0</v>
      </c>
      <c r="EN191" s="231">
        <v>131853.13</v>
      </c>
      <c r="EO191" s="231">
        <v>179546.19</v>
      </c>
      <c r="EP191" s="231">
        <v>-47693.06</v>
      </c>
      <c r="EQ191" s="229">
        <v>-0.2656</v>
      </c>
      <c r="ER191" s="231">
        <v>38964</v>
      </c>
      <c r="ES191" s="231">
        <v>23514</v>
      </c>
      <c r="ET191" s="231">
        <v>113296</v>
      </c>
      <c r="EU191" s="231">
        <v>59744408</v>
      </c>
      <c r="EV191" s="231">
        <v>175774</v>
      </c>
      <c r="EW191" s="231">
        <v>279832</v>
      </c>
      <c r="EX191" s="231">
        <v>-104058</v>
      </c>
      <c r="EY191" s="229">
        <v>-0.37190000000000001</v>
      </c>
      <c r="EZ191" s="229">
        <v>0.35449999999999998</v>
      </c>
      <c r="FA191" s="227" t="s">
        <v>568</v>
      </c>
      <c r="FB191" s="161">
        <f t="shared" si="4"/>
        <v>0</v>
      </c>
    </row>
    <row r="192" spans="1:158" ht="17.25" thickBot="1" x14ac:dyDescent="0.3">
      <c r="A192" s="226">
        <v>45869</v>
      </c>
      <c r="B192" s="227" t="s">
        <v>175</v>
      </c>
      <c r="C192" s="227" t="s">
        <v>462</v>
      </c>
      <c r="D192" s="228">
        <v>375</v>
      </c>
      <c r="E192" s="231">
        <v>1849.6</v>
      </c>
      <c r="F192" s="231">
        <v>1848.1</v>
      </c>
      <c r="G192" s="228">
        <v>1.5</v>
      </c>
      <c r="H192" s="229">
        <v>8.0000000000000004E-4</v>
      </c>
      <c r="I192" s="231">
        <v>1840.7</v>
      </c>
      <c r="J192" s="231">
        <v>1839.1</v>
      </c>
      <c r="K192" s="228">
        <v>1.6</v>
      </c>
      <c r="L192" s="229">
        <v>8.9999999999999998E-4</v>
      </c>
      <c r="M192" s="231">
        <v>1841</v>
      </c>
      <c r="N192" s="231">
        <v>1837.2</v>
      </c>
      <c r="O192" s="228">
        <v>3.8</v>
      </c>
      <c r="P192" s="229">
        <v>2.0999999999999999E-3</v>
      </c>
      <c r="Q192" s="231">
        <v>1849.6</v>
      </c>
      <c r="R192" s="231">
        <v>1848.1</v>
      </c>
      <c r="S192" s="228">
        <v>1.5</v>
      </c>
      <c r="T192" s="229">
        <v>8.0000000000000004E-4</v>
      </c>
      <c r="U192" s="231">
        <v>1859.8</v>
      </c>
      <c r="V192" s="231">
        <v>1855.7</v>
      </c>
      <c r="W192" s="228">
        <v>4.0999999999999996</v>
      </c>
      <c r="X192" s="229">
        <v>2.2000000000000001E-3</v>
      </c>
      <c r="Y192" s="228">
        <v>8.9</v>
      </c>
      <c r="Z192" s="228">
        <v>-1.9</v>
      </c>
      <c r="AA192" s="228">
        <v>10.8</v>
      </c>
      <c r="AB192" s="229">
        <v>4.7999999999999996E-3</v>
      </c>
      <c r="AC192" s="228">
        <v>0.3</v>
      </c>
      <c r="AD192" s="228">
        <v>-1.9</v>
      </c>
      <c r="AE192" s="228">
        <v>2.2000000000000002</v>
      </c>
      <c r="AF192" s="229">
        <v>2.0000000000000001E-4</v>
      </c>
      <c r="AG192" s="228">
        <v>8.9</v>
      </c>
      <c r="AH192" s="228">
        <v>9</v>
      </c>
      <c r="AI192" s="228">
        <v>-0.1</v>
      </c>
      <c r="AJ192" s="229">
        <v>4.7999999999999996E-3</v>
      </c>
      <c r="AK192" s="228">
        <v>19.100000000000001</v>
      </c>
      <c r="AL192" s="228">
        <v>16.600000000000001</v>
      </c>
      <c r="AM192" s="228">
        <v>2.5</v>
      </c>
      <c r="AN192" s="229">
        <v>1.04E-2</v>
      </c>
      <c r="AO192" s="231">
        <v>1838.28</v>
      </c>
      <c r="AP192" s="231">
        <v>1848.14</v>
      </c>
      <c r="AQ192" s="228">
        <v>0</v>
      </c>
      <c r="AR192" s="230">
        <v>2635875</v>
      </c>
      <c r="AS192" s="230">
        <v>3790500</v>
      </c>
      <c r="AT192" s="230">
        <v>-1154625</v>
      </c>
      <c r="AU192" s="229">
        <v>-0.30459999999999998</v>
      </c>
      <c r="AV192" s="230">
        <v>1109625</v>
      </c>
      <c r="AW192" s="230">
        <v>1809375</v>
      </c>
      <c r="AX192" s="230">
        <v>-699750</v>
      </c>
      <c r="AY192" s="229">
        <v>-0.38669999999999999</v>
      </c>
      <c r="AZ192" s="230">
        <v>1510500</v>
      </c>
      <c r="BA192" s="230">
        <v>1974000</v>
      </c>
      <c r="BB192" s="230">
        <v>-463500</v>
      </c>
      <c r="BC192" s="229">
        <v>-0.23480000000000001</v>
      </c>
      <c r="BD192" s="230">
        <v>15750</v>
      </c>
      <c r="BE192" s="230">
        <v>7125</v>
      </c>
      <c r="BF192" s="230">
        <v>8625</v>
      </c>
      <c r="BG192" s="229">
        <v>1.2104999999999999</v>
      </c>
      <c r="BH192" s="230">
        <v>3407625</v>
      </c>
      <c r="BI192" s="230">
        <v>3189000</v>
      </c>
      <c r="BJ192" s="230">
        <v>218625</v>
      </c>
      <c r="BK192" s="229">
        <v>6.8599999999999994E-2</v>
      </c>
      <c r="BL192" s="230">
        <v>1385625</v>
      </c>
      <c r="BM192" s="230">
        <v>1435500</v>
      </c>
      <c r="BN192" s="230">
        <v>-49875</v>
      </c>
      <c r="BO192" s="229">
        <v>-3.4700000000000002E-2</v>
      </c>
      <c r="BP192" s="230">
        <v>7429125</v>
      </c>
      <c r="BQ192" s="230">
        <v>8415000</v>
      </c>
      <c r="BR192" s="230">
        <v>-985875</v>
      </c>
      <c r="BS192" s="229">
        <v>-0.1172</v>
      </c>
      <c r="BT192" s="230">
        <v>1889794</v>
      </c>
      <c r="BU192" s="230">
        <v>486534</v>
      </c>
      <c r="BV192" s="230">
        <v>1403260</v>
      </c>
      <c r="BW192" s="229">
        <v>2.8841999999999999</v>
      </c>
      <c r="BX192" s="230">
        <v>7039125</v>
      </c>
      <c r="BY192" s="230">
        <v>7196250</v>
      </c>
      <c r="BZ192" s="230">
        <v>-157125</v>
      </c>
      <c r="CA192" s="229">
        <v>-2.18E-2</v>
      </c>
      <c r="CB192" s="230">
        <v>416250</v>
      </c>
      <c r="CC192" s="230">
        <v>658500</v>
      </c>
      <c r="CD192" s="230">
        <v>-242250</v>
      </c>
      <c r="CE192" s="229">
        <v>-0.3679</v>
      </c>
      <c r="CF192" s="230">
        <v>7002375</v>
      </c>
      <c r="CG192" s="230">
        <v>6504375</v>
      </c>
      <c r="CH192" s="230">
        <v>498000</v>
      </c>
      <c r="CI192" s="229">
        <v>7.6600000000000001E-2</v>
      </c>
      <c r="CJ192" s="230">
        <v>36750</v>
      </c>
      <c r="CK192" s="230">
        <v>33375</v>
      </c>
      <c r="CL192" s="230">
        <v>3375</v>
      </c>
      <c r="CM192" s="229">
        <v>0.1011</v>
      </c>
      <c r="CN192" s="230">
        <v>708000</v>
      </c>
      <c r="CO192" s="230">
        <v>4814250</v>
      </c>
      <c r="CP192" s="230">
        <v>-4106250</v>
      </c>
      <c r="CQ192" s="229">
        <v>-0.85289999999999999</v>
      </c>
      <c r="CR192" s="230">
        <v>403875</v>
      </c>
      <c r="CS192" s="230">
        <v>1616625</v>
      </c>
      <c r="CT192" s="230">
        <v>-1212750</v>
      </c>
      <c r="CU192" s="229">
        <v>-0.75019999999999998</v>
      </c>
      <c r="CV192" s="230">
        <v>8151000</v>
      </c>
      <c r="CW192" s="230">
        <v>13627125</v>
      </c>
      <c r="CX192" s="230">
        <v>-5476125</v>
      </c>
      <c r="CY192" s="229">
        <v>-0.40189999999999998</v>
      </c>
      <c r="CZ192" s="228">
        <v>21.32</v>
      </c>
      <c r="DA192" s="228">
        <v>20.96</v>
      </c>
      <c r="DB192" s="228">
        <v>0.36</v>
      </c>
      <c r="DC192" s="228">
        <v>0.36</v>
      </c>
      <c r="DD192" s="228">
        <v>27.4</v>
      </c>
      <c r="DE192" s="228">
        <v>27.46</v>
      </c>
      <c r="DF192" s="228">
        <v>-6.08</v>
      </c>
      <c r="DG192" s="228">
        <v>-0.06</v>
      </c>
      <c r="DH192" s="228">
        <v>21.23</v>
      </c>
      <c r="DI192" s="228">
        <v>20.94</v>
      </c>
      <c r="DJ192" s="228">
        <v>0.28999999999999998</v>
      </c>
      <c r="DK192" s="228">
        <v>0.28999999999999998</v>
      </c>
      <c r="DL192" s="228">
        <v>21.52</v>
      </c>
      <c r="DM192" s="228">
        <v>21</v>
      </c>
      <c r="DN192" s="228">
        <v>0.52</v>
      </c>
      <c r="DO192" s="228">
        <v>0.52</v>
      </c>
      <c r="DP192" s="228">
        <v>0.56999999999999995</v>
      </c>
      <c r="DQ192" s="228">
        <v>0.34</v>
      </c>
      <c r="DR192" s="228">
        <v>0.23</v>
      </c>
      <c r="DS192" s="229">
        <v>0.67649999999999999</v>
      </c>
      <c r="DT192" s="231">
        <v>1860</v>
      </c>
      <c r="DU192" s="231">
        <v>1800</v>
      </c>
      <c r="DV192" s="228">
        <v>0.41</v>
      </c>
      <c r="DW192" s="228">
        <v>0.45</v>
      </c>
      <c r="DX192" s="228">
        <v>-0.04</v>
      </c>
      <c r="DY192" s="229">
        <v>-8.8900000000000007E-2</v>
      </c>
      <c r="DZ192" s="229">
        <v>0.94420000000000004</v>
      </c>
      <c r="EA192" s="230">
        <v>6537750</v>
      </c>
      <c r="EB192" s="229">
        <v>4.7000000000000002E-3</v>
      </c>
      <c r="EC192" s="229">
        <v>0.94420000000000004</v>
      </c>
      <c r="ED192" s="228">
        <v>9.86</v>
      </c>
      <c r="EE192" s="229">
        <v>5.4000000000000003E-3</v>
      </c>
      <c r="EF192" s="230">
        <v>1091990</v>
      </c>
      <c r="EG192" s="230">
        <v>267348</v>
      </c>
      <c r="EH192" s="229">
        <v>3.0844999999999998</v>
      </c>
      <c r="EI192" s="229">
        <v>0.57779999999999998</v>
      </c>
      <c r="EJ192" s="231">
        <v>64120.959999999999</v>
      </c>
      <c r="EK192" s="231">
        <v>25223.17</v>
      </c>
      <c r="EL192" s="231">
        <v>48606.67</v>
      </c>
      <c r="EM192" s="228">
        <v>0</v>
      </c>
      <c r="EN192" s="231">
        <v>137950.79999999999</v>
      </c>
      <c r="EO192" s="231">
        <v>155648.34</v>
      </c>
      <c r="EP192" s="231">
        <v>-17697.54</v>
      </c>
      <c r="EQ192" s="229">
        <v>-0.1137</v>
      </c>
      <c r="ER192" s="231">
        <v>13439</v>
      </c>
      <c r="ES192" s="231">
        <v>7220</v>
      </c>
      <c r="ET192" s="231">
        <v>130199</v>
      </c>
      <c r="EU192" s="231">
        <v>89427016</v>
      </c>
      <c r="EV192" s="231">
        <v>150858</v>
      </c>
      <c r="EW192" s="231">
        <v>252364</v>
      </c>
      <c r="EX192" s="231">
        <v>-101506</v>
      </c>
      <c r="EY192" s="229">
        <v>-0.4022</v>
      </c>
      <c r="EZ192" s="229">
        <v>9.11E-2</v>
      </c>
      <c r="FA192" s="227" t="s">
        <v>556</v>
      </c>
      <c r="FB192" s="161">
        <f t="shared" si="4"/>
        <v>0</v>
      </c>
    </row>
    <row r="193" spans="1:158" ht="17.25" thickBot="1" x14ac:dyDescent="0.3">
      <c r="A193" s="226">
        <v>45869</v>
      </c>
      <c r="B193" s="227" t="s">
        <v>172</v>
      </c>
      <c r="C193" s="227" t="s">
        <v>283</v>
      </c>
      <c r="D193" s="228">
        <v>750</v>
      </c>
      <c r="E193" s="228">
        <v>801.1</v>
      </c>
      <c r="F193" s="228">
        <v>805.7</v>
      </c>
      <c r="G193" s="228">
        <v>-4.5999999999999996</v>
      </c>
      <c r="H193" s="229">
        <v>-5.7000000000000002E-3</v>
      </c>
      <c r="I193" s="228">
        <v>796.55</v>
      </c>
      <c r="J193" s="228">
        <v>801.65</v>
      </c>
      <c r="K193" s="228">
        <v>-5.0999999999999996</v>
      </c>
      <c r="L193" s="229">
        <v>-6.4000000000000003E-3</v>
      </c>
      <c r="M193" s="228">
        <v>796.25</v>
      </c>
      <c r="N193" s="228">
        <v>801.5</v>
      </c>
      <c r="O193" s="228">
        <v>-5.25</v>
      </c>
      <c r="P193" s="229">
        <v>-6.6E-3</v>
      </c>
      <c r="Q193" s="228">
        <v>801.1</v>
      </c>
      <c r="R193" s="228">
        <v>805.7</v>
      </c>
      <c r="S193" s="228">
        <v>-4.5999999999999996</v>
      </c>
      <c r="T193" s="229">
        <v>-5.7000000000000002E-3</v>
      </c>
      <c r="U193" s="228">
        <v>805.65</v>
      </c>
      <c r="V193" s="228">
        <v>809.9</v>
      </c>
      <c r="W193" s="228">
        <v>-4.25</v>
      </c>
      <c r="X193" s="229">
        <v>-5.1999999999999998E-3</v>
      </c>
      <c r="Y193" s="228">
        <v>4.55</v>
      </c>
      <c r="Z193" s="228">
        <v>-0.15</v>
      </c>
      <c r="AA193" s="228">
        <v>4.7</v>
      </c>
      <c r="AB193" s="229">
        <v>5.7000000000000002E-3</v>
      </c>
      <c r="AC193" s="228">
        <v>-0.3</v>
      </c>
      <c r="AD193" s="228">
        <v>-0.15</v>
      </c>
      <c r="AE193" s="228">
        <v>-0.15</v>
      </c>
      <c r="AF193" s="229">
        <v>-4.0000000000000002E-4</v>
      </c>
      <c r="AG193" s="228">
        <v>4.55</v>
      </c>
      <c r="AH193" s="228">
        <v>4.05</v>
      </c>
      <c r="AI193" s="228">
        <v>0.5</v>
      </c>
      <c r="AJ193" s="229">
        <v>5.7000000000000002E-3</v>
      </c>
      <c r="AK193" s="228">
        <v>9.1</v>
      </c>
      <c r="AL193" s="228">
        <v>8.25</v>
      </c>
      <c r="AM193" s="228">
        <v>0.85</v>
      </c>
      <c r="AN193" s="229">
        <v>1.14E-2</v>
      </c>
      <c r="AO193" s="228">
        <v>798.29</v>
      </c>
      <c r="AP193" s="228">
        <v>802.2</v>
      </c>
      <c r="AQ193" s="228">
        <v>0</v>
      </c>
      <c r="AR193" s="230">
        <v>55995750</v>
      </c>
      <c r="AS193" s="230">
        <v>54504000</v>
      </c>
      <c r="AT193" s="230">
        <v>1491750</v>
      </c>
      <c r="AU193" s="229">
        <v>2.7400000000000001E-2</v>
      </c>
      <c r="AV193" s="230">
        <v>23037750</v>
      </c>
      <c r="AW193" s="230">
        <v>27133500</v>
      </c>
      <c r="AX193" s="230">
        <v>-4095750</v>
      </c>
      <c r="AY193" s="229">
        <v>-0.15090000000000001</v>
      </c>
      <c r="AZ193" s="230">
        <v>31982250</v>
      </c>
      <c r="BA193" s="230">
        <v>26979000</v>
      </c>
      <c r="BB193" s="230">
        <v>5003250</v>
      </c>
      <c r="BC193" s="229">
        <v>0.18540000000000001</v>
      </c>
      <c r="BD193" s="230">
        <v>975750</v>
      </c>
      <c r="BE193" s="230">
        <v>391500</v>
      </c>
      <c r="BF193" s="230">
        <v>584250</v>
      </c>
      <c r="BG193" s="229">
        <v>1.4923</v>
      </c>
      <c r="BH193" s="230">
        <v>63936000</v>
      </c>
      <c r="BI193" s="230">
        <v>84757500</v>
      </c>
      <c r="BJ193" s="230">
        <v>-20821500</v>
      </c>
      <c r="BK193" s="229">
        <v>-0.2457</v>
      </c>
      <c r="BL193" s="230">
        <v>41874750</v>
      </c>
      <c r="BM193" s="230">
        <v>48270750</v>
      </c>
      <c r="BN193" s="230">
        <v>-6396000</v>
      </c>
      <c r="BO193" s="229">
        <v>-0.13250000000000001</v>
      </c>
      <c r="BP193" s="230">
        <v>161806500</v>
      </c>
      <c r="BQ193" s="230">
        <v>187532250</v>
      </c>
      <c r="BR193" s="230">
        <v>-25725750</v>
      </c>
      <c r="BS193" s="229">
        <v>-0.13719999999999999</v>
      </c>
      <c r="BT193" s="230">
        <v>11737683</v>
      </c>
      <c r="BU193" s="230">
        <v>8898086</v>
      </c>
      <c r="BV193" s="230">
        <v>2839597</v>
      </c>
      <c r="BW193" s="229">
        <v>0.31909999999999999</v>
      </c>
      <c r="BX193" s="230">
        <v>111511500</v>
      </c>
      <c r="BY193" s="230">
        <v>118432500</v>
      </c>
      <c r="BZ193" s="230">
        <v>-6921000</v>
      </c>
      <c r="CA193" s="229">
        <v>-5.8400000000000001E-2</v>
      </c>
      <c r="CB193" s="230">
        <v>9378000</v>
      </c>
      <c r="CC193" s="230">
        <v>23878500</v>
      </c>
      <c r="CD193" s="230">
        <v>-14500500</v>
      </c>
      <c r="CE193" s="229">
        <v>-0.60729999999999995</v>
      </c>
      <c r="CF193" s="230">
        <v>109400250</v>
      </c>
      <c r="CG193" s="230">
        <v>92910750</v>
      </c>
      <c r="CH193" s="230">
        <v>16489500</v>
      </c>
      <c r="CI193" s="229">
        <v>0.17749999999999999</v>
      </c>
      <c r="CJ193" s="230">
        <v>2111250</v>
      </c>
      <c r="CK193" s="230">
        <v>1643250</v>
      </c>
      <c r="CL193" s="230">
        <v>468000</v>
      </c>
      <c r="CM193" s="229">
        <v>0.2848</v>
      </c>
      <c r="CN193" s="230">
        <v>33031500</v>
      </c>
      <c r="CO193" s="230">
        <v>86687250</v>
      </c>
      <c r="CP193" s="230">
        <v>-53655750</v>
      </c>
      <c r="CQ193" s="229">
        <v>-0.61899999999999999</v>
      </c>
      <c r="CR193" s="230">
        <v>29543250</v>
      </c>
      <c r="CS193" s="230">
        <v>43364250</v>
      </c>
      <c r="CT193" s="230">
        <v>-13821000</v>
      </c>
      <c r="CU193" s="229">
        <v>-0.31869999999999998</v>
      </c>
      <c r="CV193" s="230">
        <v>174086250</v>
      </c>
      <c r="CW193" s="230">
        <v>248484000</v>
      </c>
      <c r="CX193" s="230">
        <v>-74397750</v>
      </c>
      <c r="CY193" s="229">
        <v>-0.2994</v>
      </c>
      <c r="CZ193" s="228">
        <v>20.89</v>
      </c>
      <c r="DA193" s="228">
        <v>20.78</v>
      </c>
      <c r="DB193" s="228">
        <v>0.11</v>
      </c>
      <c r="DC193" s="228">
        <v>0.11</v>
      </c>
      <c r="DD193" s="228">
        <v>28.4</v>
      </c>
      <c r="DE193" s="228">
        <v>28.46</v>
      </c>
      <c r="DF193" s="228">
        <v>-7.51</v>
      </c>
      <c r="DG193" s="228">
        <v>-0.06</v>
      </c>
      <c r="DH193" s="228">
        <v>21</v>
      </c>
      <c r="DI193" s="228">
        <v>21.04</v>
      </c>
      <c r="DJ193" s="228">
        <v>-0.04</v>
      </c>
      <c r="DK193" s="228">
        <v>-0.04</v>
      </c>
      <c r="DL193" s="228">
        <v>20.71</v>
      </c>
      <c r="DM193" s="228">
        <v>20.46</v>
      </c>
      <c r="DN193" s="228">
        <v>0.25</v>
      </c>
      <c r="DO193" s="228">
        <v>0.25</v>
      </c>
      <c r="DP193" s="228">
        <v>0.89</v>
      </c>
      <c r="DQ193" s="228">
        <v>0.5</v>
      </c>
      <c r="DR193" s="228">
        <v>0.39</v>
      </c>
      <c r="DS193" s="229">
        <v>0.78</v>
      </c>
      <c r="DT193" s="228">
        <v>820</v>
      </c>
      <c r="DU193" s="228">
        <v>820</v>
      </c>
      <c r="DV193" s="228">
        <v>0.65</v>
      </c>
      <c r="DW193" s="228">
        <v>0.56999999999999995</v>
      </c>
      <c r="DX193" s="228">
        <v>0.08</v>
      </c>
      <c r="DY193" s="229">
        <v>0.1404</v>
      </c>
      <c r="DZ193" s="229">
        <v>0.9224</v>
      </c>
      <c r="EA193" s="230">
        <v>94554000</v>
      </c>
      <c r="EB193" s="229">
        <v>6.1000000000000004E-3</v>
      </c>
      <c r="EC193" s="229">
        <v>0.9224</v>
      </c>
      <c r="ED193" s="228">
        <v>3.91</v>
      </c>
      <c r="EE193" s="229">
        <v>4.8999999999999998E-3</v>
      </c>
      <c r="EF193" s="230">
        <v>6192768</v>
      </c>
      <c r="EG193" s="230">
        <v>5512724</v>
      </c>
      <c r="EH193" s="229">
        <v>0.1234</v>
      </c>
      <c r="EI193" s="229">
        <v>0.52759999999999996</v>
      </c>
      <c r="EJ193" s="231">
        <v>529247.93000000005</v>
      </c>
      <c r="EK193" s="231">
        <v>338715.45</v>
      </c>
      <c r="EL193" s="231">
        <v>448348.85</v>
      </c>
      <c r="EM193" s="228">
        <v>0</v>
      </c>
      <c r="EN193" s="231">
        <v>1316312.23</v>
      </c>
      <c r="EO193" s="231">
        <v>1529505.48</v>
      </c>
      <c r="EP193" s="231">
        <v>-213193.25</v>
      </c>
      <c r="EQ193" s="229">
        <v>-0.1394</v>
      </c>
      <c r="ER193" s="231">
        <v>275441</v>
      </c>
      <c r="ES193" s="231">
        <v>237161</v>
      </c>
      <c r="ET193" s="231">
        <v>893415</v>
      </c>
      <c r="EU193" s="231">
        <v>753011455</v>
      </c>
      <c r="EV193" s="231">
        <v>1406017</v>
      </c>
      <c r="EW193" s="231">
        <v>2025648</v>
      </c>
      <c r="EX193" s="231">
        <v>-619631</v>
      </c>
      <c r="EY193" s="229">
        <v>-0.30590000000000001</v>
      </c>
      <c r="EZ193" s="229">
        <v>0.23119999999999999</v>
      </c>
      <c r="FA193" s="227" t="s">
        <v>568</v>
      </c>
      <c r="FB193" s="161">
        <f t="shared" si="4"/>
        <v>0</v>
      </c>
    </row>
    <row r="194" spans="1:158" ht="17.25" thickBot="1" x14ac:dyDescent="0.3">
      <c r="A194" s="226">
        <v>45869</v>
      </c>
      <c r="B194" s="227" t="s">
        <v>157</v>
      </c>
      <c r="C194" s="227" t="s">
        <v>284</v>
      </c>
      <c r="D194" s="228">
        <v>25</v>
      </c>
      <c r="E194" s="231">
        <v>30880</v>
      </c>
      <c r="F194" s="231">
        <v>30735</v>
      </c>
      <c r="G194" s="228">
        <v>145</v>
      </c>
      <c r="H194" s="229">
        <v>4.7000000000000002E-3</v>
      </c>
      <c r="I194" s="231">
        <v>30810</v>
      </c>
      <c r="J194" s="231">
        <v>30590</v>
      </c>
      <c r="K194" s="228">
        <v>220</v>
      </c>
      <c r="L194" s="229">
        <v>7.1999999999999998E-3</v>
      </c>
      <c r="M194" s="231">
        <v>30870</v>
      </c>
      <c r="N194" s="231">
        <v>30595</v>
      </c>
      <c r="O194" s="228">
        <v>275</v>
      </c>
      <c r="P194" s="229">
        <v>8.9999999999999993E-3</v>
      </c>
      <c r="Q194" s="231">
        <v>30880</v>
      </c>
      <c r="R194" s="231">
        <v>30735</v>
      </c>
      <c r="S194" s="228">
        <v>145</v>
      </c>
      <c r="T194" s="229">
        <v>4.7000000000000002E-3</v>
      </c>
      <c r="U194" s="231">
        <v>31025</v>
      </c>
      <c r="V194" s="231">
        <v>30710</v>
      </c>
      <c r="W194" s="228">
        <v>315</v>
      </c>
      <c r="X194" s="229">
        <v>1.03E-2</v>
      </c>
      <c r="Y194" s="228">
        <v>70</v>
      </c>
      <c r="Z194" s="228">
        <v>5</v>
      </c>
      <c r="AA194" s="228">
        <v>65</v>
      </c>
      <c r="AB194" s="229">
        <v>2.3E-3</v>
      </c>
      <c r="AC194" s="228">
        <v>60</v>
      </c>
      <c r="AD194" s="228">
        <v>5</v>
      </c>
      <c r="AE194" s="228">
        <v>55</v>
      </c>
      <c r="AF194" s="229">
        <v>1.9E-3</v>
      </c>
      <c r="AG194" s="228">
        <v>70</v>
      </c>
      <c r="AH194" s="228">
        <v>145</v>
      </c>
      <c r="AI194" s="228">
        <v>-75</v>
      </c>
      <c r="AJ194" s="229">
        <v>2.3E-3</v>
      </c>
      <c r="AK194" s="228">
        <v>215</v>
      </c>
      <c r="AL194" s="228">
        <v>120</v>
      </c>
      <c r="AM194" s="228">
        <v>95</v>
      </c>
      <c r="AN194" s="229">
        <v>7.0000000000000001E-3</v>
      </c>
      <c r="AO194" s="231">
        <v>30827.56</v>
      </c>
      <c r="AP194" s="231">
        <v>30922.83</v>
      </c>
      <c r="AQ194" s="228">
        <v>0</v>
      </c>
      <c r="AR194" s="230">
        <v>135575</v>
      </c>
      <c r="AS194" s="230">
        <v>181400</v>
      </c>
      <c r="AT194" s="230">
        <v>-45825</v>
      </c>
      <c r="AU194" s="229">
        <v>-0.25259999999999999</v>
      </c>
      <c r="AV194" s="230">
        <v>52025</v>
      </c>
      <c r="AW194" s="230">
        <v>79700</v>
      </c>
      <c r="AX194" s="230">
        <v>-27675</v>
      </c>
      <c r="AY194" s="229">
        <v>-0.34720000000000001</v>
      </c>
      <c r="AZ194" s="230">
        <v>83475</v>
      </c>
      <c r="BA194" s="230">
        <v>101275</v>
      </c>
      <c r="BB194" s="230">
        <v>-17800</v>
      </c>
      <c r="BC194" s="229">
        <v>-0.17580000000000001</v>
      </c>
      <c r="BD194" s="228">
        <v>75</v>
      </c>
      <c r="BE194" s="228">
        <v>425</v>
      </c>
      <c r="BF194" s="228">
        <v>-350</v>
      </c>
      <c r="BG194" s="229">
        <v>-0.82350000000000001</v>
      </c>
      <c r="BH194" s="230">
        <v>114850</v>
      </c>
      <c r="BI194" s="230">
        <v>223850</v>
      </c>
      <c r="BJ194" s="230">
        <v>-109000</v>
      </c>
      <c r="BK194" s="229">
        <v>-0.4869</v>
      </c>
      <c r="BL194" s="230">
        <v>46500</v>
      </c>
      <c r="BM194" s="230">
        <v>113000</v>
      </c>
      <c r="BN194" s="230">
        <v>-66500</v>
      </c>
      <c r="BO194" s="229">
        <v>-0.58850000000000002</v>
      </c>
      <c r="BP194" s="230">
        <v>296925</v>
      </c>
      <c r="BQ194" s="230">
        <v>518250</v>
      </c>
      <c r="BR194" s="230">
        <v>-221325</v>
      </c>
      <c r="BS194" s="229">
        <v>-0.42709999999999998</v>
      </c>
      <c r="BT194" s="230">
        <v>15264</v>
      </c>
      <c r="BU194" s="230">
        <v>18924</v>
      </c>
      <c r="BV194" s="230">
        <v>-3660</v>
      </c>
      <c r="BW194" s="229">
        <v>-0.19339999999999999</v>
      </c>
      <c r="BX194" s="230">
        <v>252125</v>
      </c>
      <c r="BY194" s="230">
        <v>284575</v>
      </c>
      <c r="BZ194" s="230">
        <v>-32450</v>
      </c>
      <c r="CA194" s="229">
        <v>-0.114</v>
      </c>
      <c r="CB194" s="230">
        <v>14400</v>
      </c>
      <c r="CC194" s="230">
        <v>40700</v>
      </c>
      <c r="CD194" s="230">
        <v>-26300</v>
      </c>
      <c r="CE194" s="229">
        <v>-0.6462</v>
      </c>
      <c r="CF194" s="230">
        <v>251325</v>
      </c>
      <c r="CG194" s="230">
        <v>243050</v>
      </c>
      <c r="CH194" s="230">
        <v>8275</v>
      </c>
      <c r="CI194" s="229">
        <v>3.4000000000000002E-2</v>
      </c>
      <c r="CJ194" s="228">
        <v>800</v>
      </c>
      <c r="CK194" s="228">
        <v>825</v>
      </c>
      <c r="CL194" s="228">
        <v>-25</v>
      </c>
      <c r="CM194" s="229">
        <v>-3.0300000000000001E-2</v>
      </c>
      <c r="CN194" s="230">
        <v>24000</v>
      </c>
      <c r="CO194" s="230">
        <v>140200</v>
      </c>
      <c r="CP194" s="230">
        <v>-116200</v>
      </c>
      <c r="CQ194" s="229">
        <v>-0.82879999999999998</v>
      </c>
      <c r="CR194" s="230">
        <v>11350</v>
      </c>
      <c r="CS194" s="230">
        <v>61500</v>
      </c>
      <c r="CT194" s="230">
        <v>-50150</v>
      </c>
      <c r="CU194" s="229">
        <v>-0.81540000000000001</v>
      </c>
      <c r="CV194" s="230">
        <v>287475</v>
      </c>
      <c r="CW194" s="230">
        <v>486275</v>
      </c>
      <c r="CX194" s="230">
        <v>-198800</v>
      </c>
      <c r="CY194" s="229">
        <v>-0.4088</v>
      </c>
      <c r="CZ194" s="228">
        <v>27.76</v>
      </c>
      <c r="DA194" s="228">
        <v>28.18</v>
      </c>
      <c r="DB194" s="228">
        <v>-0.42</v>
      </c>
      <c r="DC194" s="228">
        <v>-0.42</v>
      </c>
      <c r="DD194" s="228">
        <v>27.45</v>
      </c>
      <c r="DE194" s="228">
        <v>27.51</v>
      </c>
      <c r="DF194" s="228">
        <v>0.31</v>
      </c>
      <c r="DG194" s="228">
        <v>-0.06</v>
      </c>
      <c r="DH194" s="228">
        <v>27.75</v>
      </c>
      <c r="DI194" s="228">
        <v>27.9</v>
      </c>
      <c r="DJ194" s="228">
        <v>-0.15</v>
      </c>
      <c r="DK194" s="228">
        <v>-0.15</v>
      </c>
      <c r="DL194" s="228">
        <v>27.8</v>
      </c>
      <c r="DM194" s="228">
        <v>28.92</v>
      </c>
      <c r="DN194" s="228">
        <v>-1.1200000000000001</v>
      </c>
      <c r="DO194" s="228">
        <v>-1.1200000000000001</v>
      </c>
      <c r="DP194" s="228">
        <v>0.47</v>
      </c>
      <c r="DQ194" s="228">
        <v>0.44</v>
      </c>
      <c r="DR194" s="228">
        <v>0.03</v>
      </c>
      <c r="DS194" s="229">
        <v>6.8199999999999997E-2</v>
      </c>
      <c r="DT194" s="231">
        <v>33000</v>
      </c>
      <c r="DU194" s="231">
        <v>30000</v>
      </c>
      <c r="DV194" s="228">
        <v>0.4</v>
      </c>
      <c r="DW194" s="228">
        <v>0.5</v>
      </c>
      <c r="DX194" s="228">
        <v>-0.1</v>
      </c>
      <c r="DY194" s="229">
        <v>-0.2</v>
      </c>
      <c r="DZ194" s="229">
        <v>0.94599999999999995</v>
      </c>
      <c r="EA194" s="230">
        <v>243875</v>
      </c>
      <c r="EB194" s="229">
        <v>2.9999999999999997E-4</v>
      </c>
      <c r="EC194" s="229">
        <v>0.94599999999999995</v>
      </c>
      <c r="ED194" s="228">
        <v>95.27</v>
      </c>
      <c r="EE194" s="229">
        <v>3.0999999999999999E-3</v>
      </c>
      <c r="EF194" s="230">
        <v>6040</v>
      </c>
      <c r="EG194" s="230">
        <v>6713</v>
      </c>
      <c r="EH194" s="229">
        <v>-0.1003</v>
      </c>
      <c r="EI194" s="229">
        <v>0.3957</v>
      </c>
      <c r="EJ194" s="231">
        <v>37115.879999999997</v>
      </c>
      <c r="EK194" s="231">
        <v>13834.46</v>
      </c>
      <c r="EL194" s="231">
        <v>41873.949999999997</v>
      </c>
      <c r="EM194" s="228">
        <v>0</v>
      </c>
      <c r="EN194" s="231">
        <v>92824.29</v>
      </c>
      <c r="EO194" s="231">
        <v>161129.35</v>
      </c>
      <c r="EP194" s="231">
        <v>-68305.06</v>
      </c>
      <c r="EQ194" s="229">
        <v>-0.4239</v>
      </c>
      <c r="ER194" s="231">
        <v>7846</v>
      </c>
      <c r="ES194" s="231">
        <v>3405</v>
      </c>
      <c r="ET194" s="231">
        <v>77857</v>
      </c>
      <c r="EU194" s="231">
        <v>2702310</v>
      </c>
      <c r="EV194" s="231">
        <v>89108</v>
      </c>
      <c r="EW194" s="231">
        <v>151376</v>
      </c>
      <c r="EX194" s="231">
        <v>-62268</v>
      </c>
      <c r="EY194" s="229">
        <v>-0.4113</v>
      </c>
      <c r="EZ194" s="229">
        <v>0.10639999999999999</v>
      </c>
      <c r="FA194" s="227" t="s">
        <v>556</v>
      </c>
      <c r="FB194" s="161">
        <f t="shared" si="4"/>
        <v>0</v>
      </c>
    </row>
    <row r="195" spans="1:158" ht="17.25" thickBot="1" x14ac:dyDescent="0.3">
      <c r="A195" s="226">
        <v>45869</v>
      </c>
      <c r="B195" s="227" t="s">
        <v>175</v>
      </c>
      <c r="C195" s="227" t="s">
        <v>562</v>
      </c>
      <c r="D195" s="228">
        <v>825</v>
      </c>
      <c r="E195" s="228">
        <v>634.25</v>
      </c>
      <c r="F195" s="228">
        <v>635.29999999999995</v>
      </c>
      <c r="G195" s="228">
        <v>-1.05</v>
      </c>
      <c r="H195" s="229">
        <v>-1.6999999999999999E-3</v>
      </c>
      <c r="I195" s="228">
        <v>630.85</v>
      </c>
      <c r="J195" s="228">
        <v>632.79999999999995</v>
      </c>
      <c r="K195" s="228">
        <v>-1.95</v>
      </c>
      <c r="L195" s="229">
        <v>-3.0999999999999999E-3</v>
      </c>
      <c r="M195" s="228">
        <v>630.45000000000005</v>
      </c>
      <c r="N195" s="228">
        <v>631.79999999999995</v>
      </c>
      <c r="O195" s="228">
        <v>-1.35</v>
      </c>
      <c r="P195" s="229">
        <v>-2.0999999999999999E-3</v>
      </c>
      <c r="Q195" s="228">
        <v>634.25</v>
      </c>
      <c r="R195" s="228">
        <v>635.29999999999995</v>
      </c>
      <c r="S195" s="228">
        <v>-1.05</v>
      </c>
      <c r="T195" s="229">
        <v>-1.6999999999999999E-3</v>
      </c>
      <c r="U195" s="228">
        <v>638</v>
      </c>
      <c r="V195" s="228">
        <v>639.35</v>
      </c>
      <c r="W195" s="228">
        <v>-1.35</v>
      </c>
      <c r="X195" s="229">
        <v>-2.0999999999999999E-3</v>
      </c>
      <c r="Y195" s="228">
        <v>3.4</v>
      </c>
      <c r="Z195" s="228">
        <v>-1</v>
      </c>
      <c r="AA195" s="228">
        <v>4.4000000000000004</v>
      </c>
      <c r="AB195" s="229">
        <v>5.4000000000000003E-3</v>
      </c>
      <c r="AC195" s="228">
        <v>-0.4</v>
      </c>
      <c r="AD195" s="228">
        <v>-1</v>
      </c>
      <c r="AE195" s="228">
        <v>0.6</v>
      </c>
      <c r="AF195" s="229">
        <v>-5.9999999999999995E-4</v>
      </c>
      <c r="AG195" s="228">
        <v>3.4</v>
      </c>
      <c r="AH195" s="228">
        <v>2.5</v>
      </c>
      <c r="AI195" s="228">
        <v>0.9</v>
      </c>
      <c r="AJ195" s="229">
        <v>5.4000000000000003E-3</v>
      </c>
      <c r="AK195" s="228">
        <v>7.15</v>
      </c>
      <c r="AL195" s="228">
        <v>6.55</v>
      </c>
      <c r="AM195" s="228">
        <v>0.6</v>
      </c>
      <c r="AN195" s="229">
        <v>1.1299999999999999E-2</v>
      </c>
      <c r="AO195" s="228">
        <v>631.79999999999995</v>
      </c>
      <c r="AP195" s="228">
        <v>635.35</v>
      </c>
      <c r="AQ195" s="228">
        <v>0</v>
      </c>
      <c r="AR195" s="230">
        <v>15572700</v>
      </c>
      <c r="AS195" s="230">
        <v>21950775</v>
      </c>
      <c r="AT195" s="230">
        <v>-6378075</v>
      </c>
      <c r="AU195" s="229">
        <v>-0.29060000000000002</v>
      </c>
      <c r="AV195" s="230">
        <v>5680125</v>
      </c>
      <c r="AW195" s="230">
        <v>10808325</v>
      </c>
      <c r="AX195" s="230">
        <v>-5128200</v>
      </c>
      <c r="AY195" s="229">
        <v>-0.47449999999999998</v>
      </c>
      <c r="AZ195" s="230">
        <v>9721800</v>
      </c>
      <c r="BA195" s="230">
        <v>11017050</v>
      </c>
      <c r="BB195" s="230">
        <v>-1295250</v>
      </c>
      <c r="BC195" s="229">
        <v>-0.1176</v>
      </c>
      <c r="BD195" s="230">
        <v>170775</v>
      </c>
      <c r="BE195" s="230">
        <v>125400</v>
      </c>
      <c r="BF195" s="230">
        <v>45375</v>
      </c>
      <c r="BG195" s="229">
        <v>0.36180000000000001</v>
      </c>
      <c r="BH195" s="230">
        <v>8524725</v>
      </c>
      <c r="BI195" s="230">
        <v>11979000</v>
      </c>
      <c r="BJ195" s="230">
        <v>-3454275</v>
      </c>
      <c r="BK195" s="229">
        <v>-0.28839999999999999</v>
      </c>
      <c r="BL195" s="230">
        <v>5573700</v>
      </c>
      <c r="BM195" s="230">
        <v>7339200</v>
      </c>
      <c r="BN195" s="230">
        <v>-1765500</v>
      </c>
      <c r="BO195" s="229">
        <v>-0.24060000000000001</v>
      </c>
      <c r="BP195" s="230">
        <v>29671125</v>
      </c>
      <c r="BQ195" s="230">
        <v>41268975</v>
      </c>
      <c r="BR195" s="230">
        <v>-11597850</v>
      </c>
      <c r="BS195" s="229">
        <v>-0.28100000000000003</v>
      </c>
      <c r="BT195" s="230">
        <v>6566328</v>
      </c>
      <c r="BU195" s="230">
        <v>6110303</v>
      </c>
      <c r="BV195" s="230">
        <v>456025</v>
      </c>
      <c r="BW195" s="229">
        <v>7.46E-2</v>
      </c>
      <c r="BX195" s="230">
        <v>38151300</v>
      </c>
      <c r="BY195" s="230">
        <v>40924125</v>
      </c>
      <c r="BZ195" s="230">
        <v>-2772825</v>
      </c>
      <c r="CA195" s="229">
        <v>-6.7799999999999999E-2</v>
      </c>
      <c r="CB195" s="230">
        <v>1580700</v>
      </c>
      <c r="CC195" s="230">
        <v>4643100</v>
      </c>
      <c r="CD195" s="230">
        <v>-3062400</v>
      </c>
      <c r="CE195" s="229">
        <v>-0.65959999999999996</v>
      </c>
      <c r="CF195" s="230">
        <v>36738075</v>
      </c>
      <c r="CG195" s="230">
        <v>34915650</v>
      </c>
      <c r="CH195" s="230">
        <v>1822425</v>
      </c>
      <c r="CI195" s="229">
        <v>5.2200000000000003E-2</v>
      </c>
      <c r="CJ195" s="230">
        <v>1413225</v>
      </c>
      <c r="CK195" s="230">
        <v>1365375</v>
      </c>
      <c r="CL195" s="230">
        <v>47850</v>
      </c>
      <c r="CM195" s="229">
        <v>3.5000000000000003E-2</v>
      </c>
      <c r="CN195" s="230">
        <v>4837800</v>
      </c>
      <c r="CO195" s="230">
        <v>12466575</v>
      </c>
      <c r="CP195" s="230">
        <v>-7628775</v>
      </c>
      <c r="CQ195" s="229">
        <v>-0.6119</v>
      </c>
      <c r="CR195" s="230">
        <v>3785100</v>
      </c>
      <c r="CS195" s="230">
        <v>7303725</v>
      </c>
      <c r="CT195" s="230">
        <v>-3518625</v>
      </c>
      <c r="CU195" s="229">
        <v>-0.48180000000000001</v>
      </c>
      <c r="CV195" s="230">
        <v>46774200</v>
      </c>
      <c r="CW195" s="230">
        <v>60694425</v>
      </c>
      <c r="CX195" s="230">
        <v>-13920225</v>
      </c>
      <c r="CY195" s="229">
        <v>-0.2293</v>
      </c>
      <c r="CZ195" s="228">
        <v>31.22</v>
      </c>
      <c r="DA195" s="228">
        <v>31.33</v>
      </c>
      <c r="DB195" s="228">
        <v>-0.11</v>
      </c>
      <c r="DC195" s="228">
        <v>-0.11</v>
      </c>
      <c r="DD195" s="228">
        <v>42.98</v>
      </c>
      <c r="DE195" s="228">
        <v>43.08</v>
      </c>
      <c r="DF195" s="228">
        <v>-11.76</v>
      </c>
      <c r="DG195" s="228">
        <v>-0.1</v>
      </c>
      <c r="DH195" s="228">
        <v>31.35</v>
      </c>
      <c r="DI195" s="228">
        <v>31.47</v>
      </c>
      <c r="DJ195" s="228">
        <v>-0.12</v>
      </c>
      <c r="DK195" s="228">
        <v>-0.12</v>
      </c>
      <c r="DL195" s="228">
        <v>31.02</v>
      </c>
      <c r="DM195" s="228">
        <v>31.08</v>
      </c>
      <c r="DN195" s="228">
        <v>-0.06</v>
      </c>
      <c r="DO195" s="228">
        <v>-0.06</v>
      </c>
      <c r="DP195" s="228">
        <v>0.78</v>
      </c>
      <c r="DQ195" s="228">
        <v>0.59</v>
      </c>
      <c r="DR195" s="228">
        <v>0.19</v>
      </c>
      <c r="DS195" s="229">
        <v>0.32200000000000001</v>
      </c>
      <c r="DT195" s="228">
        <v>700</v>
      </c>
      <c r="DU195" s="228">
        <v>600</v>
      </c>
      <c r="DV195" s="228">
        <v>0.65</v>
      </c>
      <c r="DW195" s="228">
        <v>0.61</v>
      </c>
      <c r="DX195" s="228">
        <v>0.04</v>
      </c>
      <c r="DY195" s="229">
        <v>6.5600000000000006E-2</v>
      </c>
      <c r="DZ195" s="229">
        <v>0.96020000000000005</v>
      </c>
      <c r="EA195" s="230">
        <v>36281025</v>
      </c>
      <c r="EB195" s="229">
        <v>6.0000000000000001E-3</v>
      </c>
      <c r="EC195" s="229">
        <v>0.96020000000000005</v>
      </c>
      <c r="ED195" s="228">
        <v>3.55</v>
      </c>
      <c r="EE195" s="229">
        <v>5.5999999999999999E-3</v>
      </c>
      <c r="EF195" s="230">
        <v>3807849</v>
      </c>
      <c r="EG195" s="230">
        <v>4054897</v>
      </c>
      <c r="EH195" s="229">
        <v>-6.0900000000000003E-2</v>
      </c>
      <c r="EI195" s="229">
        <v>0.57989999999999997</v>
      </c>
      <c r="EJ195" s="231">
        <v>57040.85</v>
      </c>
      <c r="EK195" s="231">
        <v>35625.919999999998</v>
      </c>
      <c r="EL195" s="231">
        <v>98746.32</v>
      </c>
      <c r="EM195" s="228">
        <v>0</v>
      </c>
      <c r="EN195" s="231">
        <v>191413.09</v>
      </c>
      <c r="EO195" s="231">
        <v>264560.01</v>
      </c>
      <c r="EP195" s="231">
        <v>-73146.92</v>
      </c>
      <c r="EQ195" s="229">
        <v>-0.27650000000000002</v>
      </c>
      <c r="ER195" s="231">
        <v>32576</v>
      </c>
      <c r="ES195" s="231">
        <v>23194</v>
      </c>
      <c r="ET195" s="231">
        <v>242028</v>
      </c>
      <c r="EU195" s="231">
        <v>280560500</v>
      </c>
      <c r="EV195" s="231">
        <v>297797</v>
      </c>
      <c r="EW195" s="231">
        <v>391501</v>
      </c>
      <c r="EX195" s="231">
        <v>-93704</v>
      </c>
      <c r="EY195" s="229">
        <v>-0.23930000000000001</v>
      </c>
      <c r="EZ195" s="229">
        <v>0.16669999999999999</v>
      </c>
      <c r="FA195" s="227" t="s">
        <v>568</v>
      </c>
      <c r="FB195" s="161">
        <f t="shared" ref="FB195:FB258" si="5">BX277-CB277</f>
        <v>0</v>
      </c>
    </row>
    <row r="196" spans="1:158" ht="17.25" thickBot="1" x14ac:dyDescent="0.3">
      <c r="A196" s="226">
        <v>45869</v>
      </c>
      <c r="B196" s="227" t="s">
        <v>184</v>
      </c>
      <c r="C196" s="227" t="s">
        <v>285</v>
      </c>
      <c r="D196" s="228">
        <v>125</v>
      </c>
      <c r="E196" s="231">
        <v>3044.6</v>
      </c>
      <c r="F196" s="231">
        <v>3079.5</v>
      </c>
      <c r="G196" s="228">
        <v>-34.9</v>
      </c>
      <c r="H196" s="229">
        <v>-1.1299999999999999E-2</v>
      </c>
      <c r="I196" s="231">
        <v>3033.4</v>
      </c>
      <c r="J196" s="231">
        <v>3071.4</v>
      </c>
      <c r="K196" s="228">
        <v>-38</v>
      </c>
      <c r="L196" s="229">
        <v>-1.24E-2</v>
      </c>
      <c r="M196" s="231">
        <v>3026.3</v>
      </c>
      <c r="N196" s="231">
        <v>3066.9</v>
      </c>
      <c r="O196" s="228">
        <v>-40.6</v>
      </c>
      <c r="P196" s="229">
        <v>-1.32E-2</v>
      </c>
      <c r="Q196" s="231">
        <v>3044.6</v>
      </c>
      <c r="R196" s="231">
        <v>3079.5</v>
      </c>
      <c r="S196" s="228">
        <v>-34.9</v>
      </c>
      <c r="T196" s="229">
        <v>-1.1299999999999999E-2</v>
      </c>
      <c r="U196" s="231">
        <v>3060.1</v>
      </c>
      <c r="V196" s="231">
        <v>3095.3</v>
      </c>
      <c r="W196" s="228">
        <v>-35.200000000000003</v>
      </c>
      <c r="X196" s="229">
        <v>-1.14E-2</v>
      </c>
      <c r="Y196" s="228">
        <v>11.2</v>
      </c>
      <c r="Z196" s="228">
        <v>-4.5</v>
      </c>
      <c r="AA196" s="228">
        <v>15.7</v>
      </c>
      <c r="AB196" s="229">
        <v>3.7000000000000002E-3</v>
      </c>
      <c r="AC196" s="228">
        <v>-7.1</v>
      </c>
      <c r="AD196" s="228">
        <v>-4.5</v>
      </c>
      <c r="AE196" s="228">
        <v>-2.6</v>
      </c>
      <c r="AF196" s="229">
        <v>-2.3E-3</v>
      </c>
      <c r="AG196" s="228">
        <v>11.2</v>
      </c>
      <c r="AH196" s="228">
        <v>8.1</v>
      </c>
      <c r="AI196" s="228">
        <v>3.1</v>
      </c>
      <c r="AJ196" s="229">
        <v>3.7000000000000002E-3</v>
      </c>
      <c r="AK196" s="228">
        <v>26.7</v>
      </c>
      <c r="AL196" s="228">
        <v>23.9</v>
      </c>
      <c r="AM196" s="228">
        <v>2.8</v>
      </c>
      <c r="AN196" s="229">
        <v>8.8000000000000005E-3</v>
      </c>
      <c r="AO196" s="231">
        <v>3033.65</v>
      </c>
      <c r="AP196" s="231">
        <v>3049.91</v>
      </c>
      <c r="AQ196" s="228">
        <v>0</v>
      </c>
      <c r="AR196" s="230">
        <v>1305125</v>
      </c>
      <c r="AS196" s="230">
        <v>1105375</v>
      </c>
      <c r="AT196" s="230">
        <v>199750</v>
      </c>
      <c r="AU196" s="229">
        <v>0.1807</v>
      </c>
      <c r="AV196" s="230">
        <v>573500</v>
      </c>
      <c r="AW196" s="230">
        <v>492000</v>
      </c>
      <c r="AX196" s="230">
        <v>81500</v>
      </c>
      <c r="AY196" s="229">
        <v>0.16569999999999999</v>
      </c>
      <c r="AZ196" s="230">
        <v>706375</v>
      </c>
      <c r="BA196" s="230">
        <v>597375</v>
      </c>
      <c r="BB196" s="230">
        <v>109000</v>
      </c>
      <c r="BC196" s="229">
        <v>0.1825</v>
      </c>
      <c r="BD196" s="230">
        <v>25250</v>
      </c>
      <c r="BE196" s="230">
        <v>16000</v>
      </c>
      <c r="BF196" s="230">
        <v>9250</v>
      </c>
      <c r="BG196" s="229">
        <v>0.57809999999999995</v>
      </c>
      <c r="BH196" s="230">
        <v>1348875</v>
      </c>
      <c r="BI196" s="230">
        <v>1692875</v>
      </c>
      <c r="BJ196" s="230">
        <v>-344000</v>
      </c>
      <c r="BK196" s="229">
        <v>-0.20319999999999999</v>
      </c>
      <c r="BL196" s="230">
        <v>751000</v>
      </c>
      <c r="BM196" s="230">
        <v>544250</v>
      </c>
      <c r="BN196" s="230">
        <v>206750</v>
      </c>
      <c r="BO196" s="229">
        <v>0.37990000000000002</v>
      </c>
      <c r="BP196" s="230">
        <v>3405000</v>
      </c>
      <c r="BQ196" s="230">
        <v>3342500</v>
      </c>
      <c r="BR196" s="230">
        <v>62500</v>
      </c>
      <c r="BS196" s="229">
        <v>1.8700000000000001E-2</v>
      </c>
      <c r="BT196" s="230">
        <v>320990</v>
      </c>
      <c r="BU196" s="230">
        <v>345239</v>
      </c>
      <c r="BV196" s="230">
        <v>-24249</v>
      </c>
      <c r="BW196" s="229">
        <v>-7.0199999999999999E-2</v>
      </c>
      <c r="BX196" s="230">
        <v>2110875</v>
      </c>
      <c r="BY196" s="230">
        <v>2298500</v>
      </c>
      <c r="BZ196" s="230">
        <v>-187625</v>
      </c>
      <c r="CA196" s="229">
        <v>-8.1600000000000006E-2</v>
      </c>
      <c r="CB196" s="230">
        <v>152875</v>
      </c>
      <c r="CC196" s="230">
        <v>405125</v>
      </c>
      <c r="CD196" s="230">
        <v>-252250</v>
      </c>
      <c r="CE196" s="229">
        <v>-0.62260000000000004</v>
      </c>
      <c r="CF196" s="230">
        <v>2052750</v>
      </c>
      <c r="CG196" s="230">
        <v>1850750</v>
      </c>
      <c r="CH196" s="230">
        <v>202000</v>
      </c>
      <c r="CI196" s="229">
        <v>0.1091</v>
      </c>
      <c r="CJ196" s="230">
        <v>58125</v>
      </c>
      <c r="CK196" s="230">
        <v>42625</v>
      </c>
      <c r="CL196" s="230">
        <v>15500</v>
      </c>
      <c r="CM196" s="229">
        <v>0.36359999999999998</v>
      </c>
      <c r="CN196" s="230">
        <v>429875</v>
      </c>
      <c r="CO196" s="230">
        <v>1518375</v>
      </c>
      <c r="CP196" s="230">
        <v>-1088500</v>
      </c>
      <c r="CQ196" s="229">
        <v>-0.71689999999999998</v>
      </c>
      <c r="CR196" s="230">
        <v>260000</v>
      </c>
      <c r="CS196" s="230">
        <v>732125</v>
      </c>
      <c r="CT196" s="230">
        <v>-472125</v>
      </c>
      <c r="CU196" s="229">
        <v>-0.64490000000000003</v>
      </c>
      <c r="CV196" s="230">
        <v>2800750</v>
      </c>
      <c r="CW196" s="230">
        <v>4549000</v>
      </c>
      <c r="CX196" s="230">
        <v>-1748250</v>
      </c>
      <c r="CY196" s="229">
        <v>-0.38429999999999997</v>
      </c>
      <c r="CZ196" s="228">
        <v>31.43</v>
      </c>
      <c r="DA196" s="228">
        <v>32.130000000000003</v>
      </c>
      <c r="DB196" s="228">
        <v>-0.7</v>
      </c>
      <c r="DC196" s="228">
        <v>-0.7</v>
      </c>
      <c r="DD196" s="228">
        <v>42.56</v>
      </c>
      <c r="DE196" s="228">
        <v>42.64</v>
      </c>
      <c r="DF196" s="228">
        <v>-11.13</v>
      </c>
      <c r="DG196" s="228">
        <v>-0.08</v>
      </c>
      <c r="DH196" s="228">
        <v>31.65</v>
      </c>
      <c r="DI196" s="228">
        <v>32.21</v>
      </c>
      <c r="DJ196" s="228">
        <v>-0.56000000000000005</v>
      </c>
      <c r="DK196" s="228">
        <v>-0.56000000000000005</v>
      </c>
      <c r="DL196" s="228">
        <v>31.04</v>
      </c>
      <c r="DM196" s="228">
        <v>32</v>
      </c>
      <c r="DN196" s="228">
        <v>-0.96</v>
      </c>
      <c r="DO196" s="228">
        <v>-0.96</v>
      </c>
      <c r="DP196" s="228">
        <v>0.6</v>
      </c>
      <c r="DQ196" s="228">
        <v>0.48</v>
      </c>
      <c r="DR196" s="228">
        <v>0.12</v>
      </c>
      <c r="DS196" s="229">
        <v>0.25</v>
      </c>
      <c r="DT196" s="231">
        <v>3400</v>
      </c>
      <c r="DU196" s="231">
        <v>2700</v>
      </c>
      <c r="DV196" s="228">
        <v>0.56000000000000005</v>
      </c>
      <c r="DW196" s="228">
        <v>0.32</v>
      </c>
      <c r="DX196" s="228">
        <v>0.24</v>
      </c>
      <c r="DY196" s="229">
        <v>0.75</v>
      </c>
      <c r="DZ196" s="229">
        <v>0.9325</v>
      </c>
      <c r="EA196" s="230">
        <v>1893375</v>
      </c>
      <c r="EB196" s="229">
        <v>6.0000000000000001E-3</v>
      </c>
      <c r="EC196" s="229">
        <v>0.9325</v>
      </c>
      <c r="ED196" s="228">
        <v>16.260000000000002</v>
      </c>
      <c r="EE196" s="229">
        <v>5.4000000000000003E-3</v>
      </c>
      <c r="EF196" s="230">
        <v>148639</v>
      </c>
      <c r="EG196" s="230">
        <v>162847</v>
      </c>
      <c r="EH196" s="229">
        <v>-8.72E-2</v>
      </c>
      <c r="EI196" s="229">
        <v>0.46310000000000001</v>
      </c>
      <c r="EJ196" s="231">
        <v>43905.59</v>
      </c>
      <c r="EK196" s="231">
        <v>22858.76</v>
      </c>
      <c r="EL196" s="231">
        <v>39716.089999999997</v>
      </c>
      <c r="EM196" s="228">
        <v>0</v>
      </c>
      <c r="EN196" s="231">
        <v>106480.44</v>
      </c>
      <c r="EO196" s="231">
        <v>105690.81</v>
      </c>
      <c r="EP196" s="228">
        <v>789.63</v>
      </c>
      <c r="EQ196" s="229">
        <v>7.4999999999999997E-3</v>
      </c>
      <c r="ER196" s="231">
        <v>14134</v>
      </c>
      <c r="ES196" s="231">
        <v>7941</v>
      </c>
      <c r="ET196" s="231">
        <v>64277</v>
      </c>
      <c r="EU196" s="231">
        <v>17806118</v>
      </c>
      <c r="EV196" s="231">
        <v>86352</v>
      </c>
      <c r="EW196" s="231">
        <v>143701</v>
      </c>
      <c r="EX196" s="231">
        <v>-57349</v>
      </c>
      <c r="EY196" s="229">
        <v>-0.39910000000000001</v>
      </c>
      <c r="EZ196" s="229">
        <v>0.1573</v>
      </c>
      <c r="FA196" s="227" t="s">
        <v>568</v>
      </c>
      <c r="FB196" s="161">
        <f t="shared" si="5"/>
        <v>0</v>
      </c>
    </row>
    <row r="197" spans="1:158" ht="17.25" thickBot="1" x14ac:dyDescent="0.3">
      <c r="A197" s="226">
        <v>45869</v>
      </c>
      <c r="B197" s="227" t="s">
        <v>161</v>
      </c>
      <c r="C197" s="227" t="s">
        <v>600</v>
      </c>
      <c r="D197" s="228">
        <v>5875</v>
      </c>
      <c r="E197" s="228">
        <v>94.03</v>
      </c>
      <c r="F197" s="228">
        <v>96.67</v>
      </c>
      <c r="G197" s="228">
        <v>-2.64</v>
      </c>
      <c r="H197" s="229">
        <v>-2.7300000000000001E-2</v>
      </c>
      <c r="I197" s="228">
        <v>93.62</v>
      </c>
      <c r="J197" s="228">
        <v>96.82</v>
      </c>
      <c r="K197" s="228">
        <v>-3.2</v>
      </c>
      <c r="L197" s="229">
        <v>-3.3099999999999997E-2</v>
      </c>
      <c r="M197" s="228">
        <v>93.62</v>
      </c>
      <c r="N197" s="228">
        <v>97.02</v>
      </c>
      <c r="O197" s="228">
        <v>-3.4</v>
      </c>
      <c r="P197" s="229">
        <v>-3.5000000000000003E-2</v>
      </c>
      <c r="Q197" s="228">
        <v>94.03</v>
      </c>
      <c r="R197" s="228">
        <v>96.67</v>
      </c>
      <c r="S197" s="228">
        <v>-2.64</v>
      </c>
      <c r="T197" s="229">
        <v>-2.7300000000000001E-2</v>
      </c>
      <c r="U197" s="228">
        <v>0</v>
      </c>
      <c r="V197" s="228">
        <v>0</v>
      </c>
      <c r="W197" s="228">
        <v>0</v>
      </c>
      <c r="X197" s="229">
        <v>0</v>
      </c>
      <c r="Y197" s="228">
        <v>0.41</v>
      </c>
      <c r="Z197" s="228">
        <v>0.2</v>
      </c>
      <c r="AA197" s="228">
        <v>0.21</v>
      </c>
      <c r="AB197" s="229">
        <v>4.4000000000000003E-3</v>
      </c>
      <c r="AC197" s="228">
        <v>0</v>
      </c>
      <c r="AD197" s="228">
        <v>0.2</v>
      </c>
      <c r="AE197" s="228">
        <v>-0.2</v>
      </c>
      <c r="AF197" s="229">
        <v>0</v>
      </c>
      <c r="AG197" s="228">
        <v>0.41</v>
      </c>
      <c r="AH197" s="228">
        <v>-0.15</v>
      </c>
      <c r="AI197" s="228">
        <v>0.56000000000000005</v>
      </c>
      <c r="AJ197" s="229">
        <v>4.4000000000000003E-3</v>
      </c>
      <c r="AK197" s="228">
        <v>0</v>
      </c>
      <c r="AL197" s="228">
        <v>0</v>
      </c>
      <c r="AM197" s="228">
        <v>0</v>
      </c>
      <c r="AN197" s="229">
        <v>0</v>
      </c>
      <c r="AO197" s="228">
        <v>94.78</v>
      </c>
      <c r="AP197" s="228">
        <v>94.81</v>
      </c>
      <c r="AQ197" s="228">
        <v>0</v>
      </c>
      <c r="AR197" s="230">
        <v>17231375</v>
      </c>
      <c r="AS197" s="230">
        <v>17842375</v>
      </c>
      <c r="AT197" s="230">
        <v>-611000</v>
      </c>
      <c r="AU197" s="229">
        <v>-3.4200000000000001E-2</v>
      </c>
      <c r="AV197" s="230">
        <v>8330750</v>
      </c>
      <c r="AW197" s="230">
        <v>9317750</v>
      </c>
      <c r="AX197" s="230">
        <v>-987000</v>
      </c>
      <c r="AY197" s="229">
        <v>-0.10589999999999999</v>
      </c>
      <c r="AZ197" s="230">
        <v>8900625</v>
      </c>
      <c r="BA197" s="230">
        <v>8524625</v>
      </c>
      <c r="BB197" s="230">
        <v>376000</v>
      </c>
      <c r="BC197" s="229">
        <v>4.41E-2</v>
      </c>
      <c r="BD197" s="228">
        <v>0</v>
      </c>
      <c r="BE197" s="228">
        <v>0</v>
      </c>
      <c r="BF197" s="228">
        <v>0</v>
      </c>
      <c r="BG197" s="229">
        <v>0</v>
      </c>
      <c r="BH197" s="230">
        <v>14622875</v>
      </c>
      <c r="BI197" s="230">
        <v>9776000</v>
      </c>
      <c r="BJ197" s="230">
        <v>4846875</v>
      </c>
      <c r="BK197" s="229">
        <v>0.49580000000000002</v>
      </c>
      <c r="BL197" s="230">
        <v>6068875</v>
      </c>
      <c r="BM197" s="230">
        <v>3013875</v>
      </c>
      <c r="BN197" s="230">
        <v>3055000</v>
      </c>
      <c r="BO197" s="229">
        <v>1.0136000000000001</v>
      </c>
      <c r="BP197" s="230">
        <v>37923125</v>
      </c>
      <c r="BQ197" s="230">
        <v>30632250</v>
      </c>
      <c r="BR197" s="230">
        <v>7290875</v>
      </c>
      <c r="BS197" s="229">
        <v>0.23799999999999999</v>
      </c>
      <c r="BT197" s="230">
        <v>5478689</v>
      </c>
      <c r="BU197" s="230">
        <v>3832318</v>
      </c>
      <c r="BV197" s="230">
        <v>1646371</v>
      </c>
      <c r="BW197" s="229">
        <v>0.42959999999999998</v>
      </c>
      <c r="BX197" s="230">
        <v>20192375</v>
      </c>
      <c r="BY197" s="230">
        <v>25121500</v>
      </c>
      <c r="BZ197" s="230">
        <v>-4929125</v>
      </c>
      <c r="CA197" s="229">
        <v>-0.19620000000000001</v>
      </c>
      <c r="CB197" s="230">
        <v>3331125</v>
      </c>
      <c r="CC197" s="230">
        <v>6538875</v>
      </c>
      <c r="CD197" s="230">
        <v>-3207750</v>
      </c>
      <c r="CE197" s="229">
        <v>-0.49059999999999998</v>
      </c>
      <c r="CF197" s="230">
        <v>20192375</v>
      </c>
      <c r="CG197" s="230">
        <v>18582625</v>
      </c>
      <c r="CH197" s="230">
        <v>1609750</v>
      </c>
      <c r="CI197" s="229">
        <v>8.6599999999999996E-2</v>
      </c>
      <c r="CJ197" s="228">
        <v>0</v>
      </c>
      <c r="CK197" s="228">
        <v>0</v>
      </c>
      <c r="CL197" s="228">
        <v>0</v>
      </c>
      <c r="CM197" s="229">
        <v>0</v>
      </c>
      <c r="CN197" s="230">
        <v>6627000</v>
      </c>
      <c r="CO197" s="230">
        <v>19587250</v>
      </c>
      <c r="CP197" s="230">
        <v>-12960250</v>
      </c>
      <c r="CQ197" s="229">
        <v>-0.66169999999999995</v>
      </c>
      <c r="CR197" s="230">
        <v>3413375</v>
      </c>
      <c r="CS197" s="230">
        <v>8307250</v>
      </c>
      <c r="CT197" s="230">
        <v>-4893875</v>
      </c>
      <c r="CU197" s="229">
        <v>-0.58909999999999996</v>
      </c>
      <c r="CV197" s="230">
        <v>30232750</v>
      </c>
      <c r="CW197" s="230">
        <v>53016000</v>
      </c>
      <c r="CX197" s="230">
        <v>-22783250</v>
      </c>
      <c r="CY197" s="229">
        <v>-0.42970000000000003</v>
      </c>
      <c r="CZ197" s="228">
        <v>40.090000000000003</v>
      </c>
      <c r="DA197" s="228">
        <v>35.840000000000003</v>
      </c>
      <c r="DB197" s="228">
        <v>4.25</v>
      </c>
      <c r="DC197" s="228">
        <v>4.25</v>
      </c>
      <c r="DD197" s="228">
        <v>53.02</v>
      </c>
      <c r="DE197" s="228">
        <v>53.02</v>
      </c>
      <c r="DF197" s="228">
        <v>-12.93</v>
      </c>
      <c r="DG197" s="228">
        <v>0</v>
      </c>
      <c r="DH197" s="228">
        <v>40.479999999999997</v>
      </c>
      <c r="DI197" s="228">
        <v>35.85</v>
      </c>
      <c r="DJ197" s="228">
        <v>4.63</v>
      </c>
      <c r="DK197" s="228">
        <v>4.63</v>
      </c>
      <c r="DL197" s="228">
        <v>39</v>
      </c>
      <c r="DM197" s="228">
        <v>35.82</v>
      </c>
      <c r="DN197" s="228">
        <v>3.18</v>
      </c>
      <c r="DO197" s="228">
        <v>3.18</v>
      </c>
      <c r="DP197" s="228">
        <v>0.52</v>
      </c>
      <c r="DQ197" s="228">
        <v>0.42</v>
      </c>
      <c r="DR197" s="228">
        <v>0.1</v>
      </c>
      <c r="DS197" s="229">
        <v>0.23810000000000001</v>
      </c>
      <c r="DT197" s="228">
        <v>100</v>
      </c>
      <c r="DU197" s="228">
        <v>100</v>
      </c>
      <c r="DV197" s="228">
        <v>0.42</v>
      </c>
      <c r="DW197" s="228">
        <v>0.31</v>
      </c>
      <c r="DX197" s="228">
        <v>0.11</v>
      </c>
      <c r="DY197" s="229">
        <v>0.3548</v>
      </c>
      <c r="DZ197" s="229">
        <v>0.85840000000000005</v>
      </c>
      <c r="EA197" s="230">
        <v>18582625</v>
      </c>
      <c r="EB197" s="229">
        <v>4.4000000000000003E-3</v>
      </c>
      <c r="EC197" s="229">
        <v>0.85840000000000005</v>
      </c>
      <c r="ED197" s="228">
        <v>0.03</v>
      </c>
      <c r="EE197" s="229">
        <v>2.9999999999999997E-4</v>
      </c>
      <c r="EF197" s="230">
        <v>2468301</v>
      </c>
      <c r="EG197" s="230">
        <v>1200696</v>
      </c>
      <c r="EH197" s="229">
        <v>1.0557000000000001</v>
      </c>
      <c r="EI197" s="229">
        <v>0.45050000000000001</v>
      </c>
      <c r="EJ197" s="231">
        <v>14767.68</v>
      </c>
      <c r="EK197" s="231">
        <v>5834.24</v>
      </c>
      <c r="EL197" s="231">
        <v>16334.97</v>
      </c>
      <c r="EM197" s="228">
        <v>0</v>
      </c>
      <c r="EN197" s="231">
        <v>36936.89</v>
      </c>
      <c r="EO197" s="231">
        <v>30233.119999999999</v>
      </c>
      <c r="EP197" s="231">
        <v>6703.77</v>
      </c>
      <c r="EQ197" s="229">
        <v>0.22170000000000001</v>
      </c>
      <c r="ER197" s="231">
        <v>6637</v>
      </c>
      <c r="ES197" s="231">
        <v>3217</v>
      </c>
      <c r="ET197" s="231">
        <v>18987</v>
      </c>
      <c r="EU197" s="231">
        <v>142687689</v>
      </c>
      <c r="EV197" s="231">
        <v>28841</v>
      </c>
      <c r="EW197" s="231">
        <v>52668</v>
      </c>
      <c r="EX197" s="231">
        <v>-23827</v>
      </c>
      <c r="EY197" s="229">
        <v>-0.45240000000000002</v>
      </c>
      <c r="EZ197" s="229">
        <v>0.21190000000000001</v>
      </c>
      <c r="FA197" s="227" t="s">
        <v>568</v>
      </c>
      <c r="FB197" s="161">
        <f t="shared" si="5"/>
        <v>0</v>
      </c>
    </row>
    <row r="198" spans="1:158" ht="17.25" thickBot="1" x14ac:dyDescent="0.3">
      <c r="A198" s="226">
        <v>45869</v>
      </c>
      <c r="B198" s="227" t="s">
        <v>498</v>
      </c>
      <c r="C198" s="227" t="s">
        <v>647</v>
      </c>
      <c r="D198" s="228">
        <v>75</v>
      </c>
      <c r="E198" s="231">
        <v>14242</v>
      </c>
      <c r="F198" s="231">
        <v>14553</v>
      </c>
      <c r="G198" s="228">
        <v>-311</v>
      </c>
      <c r="H198" s="229">
        <v>-2.1399999999999999E-2</v>
      </c>
      <c r="I198" s="231">
        <v>14220</v>
      </c>
      <c r="J198" s="231">
        <v>14469</v>
      </c>
      <c r="K198" s="228">
        <v>-249</v>
      </c>
      <c r="L198" s="229">
        <v>-1.72E-2</v>
      </c>
      <c r="M198" s="231">
        <v>14177</v>
      </c>
      <c r="N198" s="231">
        <v>14479</v>
      </c>
      <c r="O198" s="228">
        <v>-302</v>
      </c>
      <c r="P198" s="229">
        <v>-2.0899999999999998E-2</v>
      </c>
      <c r="Q198" s="231">
        <v>14242</v>
      </c>
      <c r="R198" s="231">
        <v>14553</v>
      </c>
      <c r="S198" s="228">
        <v>-311</v>
      </c>
      <c r="T198" s="229">
        <v>-2.1399999999999999E-2</v>
      </c>
      <c r="U198" s="231">
        <v>14362</v>
      </c>
      <c r="V198" s="231">
        <v>14640</v>
      </c>
      <c r="W198" s="228">
        <v>-278</v>
      </c>
      <c r="X198" s="229">
        <v>-1.9E-2</v>
      </c>
      <c r="Y198" s="228">
        <v>22</v>
      </c>
      <c r="Z198" s="228">
        <v>10</v>
      </c>
      <c r="AA198" s="228">
        <v>12</v>
      </c>
      <c r="AB198" s="229">
        <v>1.5E-3</v>
      </c>
      <c r="AC198" s="228">
        <v>-43</v>
      </c>
      <c r="AD198" s="228">
        <v>10</v>
      </c>
      <c r="AE198" s="228">
        <v>-53</v>
      </c>
      <c r="AF198" s="229">
        <v>-3.0000000000000001E-3</v>
      </c>
      <c r="AG198" s="228">
        <v>22</v>
      </c>
      <c r="AH198" s="228">
        <v>84</v>
      </c>
      <c r="AI198" s="228">
        <v>-62</v>
      </c>
      <c r="AJ198" s="229">
        <v>1.5E-3</v>
      </c>
      <c r="AK198" s="228">
        <v>142</v>
      </c>
      <c r="AL198" s="228">
        <v>171</v>
      </c>
      <c r="AM198" s="228">
        <v>-29</v>
      </c>
      <c r="AN198" s="229">
        <v>0.01</v>
      </c>
      <c r="AO198" s="231">
        <v>14291.44</v>
      </c>
      <c r="AP198" s="231">
        <v>14356.49</v>
      </c>
      <c r="AQ198" s="228">
        <v>0</v>
      </c>
      <c r="AR198" s="230">
        <v>709875</v>
      </c>
      <c r="AS198" s="230">
        <v>500175</v>
      </c>
      <c r="AT198" s="230">
        <v>209700</v>
      </c>
      <c r="AU198" s="229">
        <v>0.41930000000000001</v>
      </c>
      <c r="AV198" s="230">
        <v>392175</v>
      </c>
      <c r="AW198" s="230">
        <v>249300</v>
      </c>
      <c r="AX198" s="230">
        <v>142875</v>
      </c>
      <c r="AY198" s="229">
        <v>0.57310000000000005</v>
      </c>
      <c r="AZ198" s="230">
        <v>309975</v>
      </c>
      <c r="BA198" s="230">
        <v>249750</v>
      </c>
      <c r="BB198" s="230">
        <v>60225</v>
      </c>
      <c r="BC198" s="229">
        <v>0.24110000000000001</v>
      </c>
      <c r="BD198" s="230">
        <v>7725</v>
      </c>
      <c r="BE198" s="230">
        <v>1125</v>
      </c>
      <c r="BF198" s="230">
        <v>6600</v>
      </c>
      <c r="BG198" s="229">
        <v>5.8666999999999998</v>
      </c>
      <c r="BH198" s="230">
        <v>768225</v>
      </c>
      <c r="BI198" s="230">
        <v>926775</v>
      </c>
      <c r="BJ198" s="230">
        <v>-158550</v>
      </c>
      <c r="BK198" s="229">
        <v>-0.1711</v>
      </c>
      <c r="BL198" s="230">
        <v>391950</v>
      </c>
      <c r="BM198" s="230">
        <v>300300</v>
      </c>
      <c r="BN198" s="230">
        <v>91650</v>
      </c>
      <c r="BO198" s="229">
        <v>0.30520000000000003</v>
      </c>
      <c r="BP198" s="230">
        <v>1870050</v>
      </c>
      <c r="BQ198" s="230">
        <v>1727250</v>
      </c>
      <c r="BR198" s="230">
        <v>142800</v>
      </c>
      <c r="BS198" s="229">
        <v>8.2699999999999996E-2</v>
      </c>
      <c r="BT198" s="230">
        <v>207018</v>
      </c>
      <c r="BU198" s="230">
        <v>123659</v>
      </c>
      <c r="BV198" s="230">
        <v>83359</v>
      </c>
      <c r="BW198" s="229">
        <v>0.67410000000000003</v>
      </c>
      <c r="BX198" s="230">
        <v>833025</v>
      </c>
      <c r="BY198" s="230">
        <v>1002750</v>
      </c>
      <c r="BZ198" s="230">
        <v>-169725</v>
      </c>
      <c r="CA198" s="229">
        <v>-0.16930000000000001</v>
      </c>
      <c r="CB198" s="230">
        <v>131175</v>
      </c>
      <c r="CC198" s="230">
        <v>308925</v>
      </c>
      <c r="CD198" s="230">
        <v>-177750</v>
      </c>
      <c r="CE198" s="229">
        <v>-0.57540000000000002</v>
      </c>
      <c r="CF198" s="230">
        <v>800325</v>
      </c>
      <c r="CG198" s="230">
        <v>667275</v>
      </c>
      <c r="CH198" s="230">
        <v>133050</v>
      </c>
      <c r="CI198" s="229">
        <v>0.19939999999999999</v>
      </c>
      <c r="CJ198" s="230">
        <v>32700</v>
      </c>
      <c r="CK198" s="230">
        <v>26550</v>
      </c>
      <c r="CL198" s="230">
        <v>6150</v>
      </c>
      <c r="CM198" s="229">
        <v>0.2316</v>
      </c>
      <c r="CN198" s="230">
        <v>100875</v>
      </c>
      <c r="CO198" s="230">
        <v>618300</v>
      </c>
      <c r="CP198" s="230">
        <v>-517425</v>
      </c>
      <c r="CQ198" s="229">
        <v>-0.83689999999999998</v>
      </c>
      <c r="CR198" s="230">
        <v>75000</v>
      </c>
      <c r="CS198" s="230">
        <v>470700</v>
      </c>
      <c r="CT198" s="230">
        <v>-395700</v>
      </c>
      <c r="CU198" s="229">
        <v>-0.8407</v>
      </c>
      <c r="CV198" s="230">
        <v>1008900</v>
      </c>
      <c r="CW198" s="230">
        <v>2091750</v>
      </c>
      <c r="CX198" s="230">
        <v>-1082850</v>
      </c>
      <c r="CY198" s="229">
        <v>-0.51770000000000005</v>
      </c>
      <c r="CZ198" s="228">
        <v>30.16</v>
      </c>
      <c r="DA198" s="228">
        <v>28.34</v>
      </c>
      <c r="DB198" s="228">
        <v>1.82</v>
      </c>
      <c r="DC198" s="228">
        <v>1.82</v>
      </c>
      <c r="DD198" s="228">
        <v>42.86</v>
      </c>
      <c r="DE198" s="228">
        <v>42.88</v>
      </c>
      <c r="DF198" s="228">
        <v>-12.7</v>
      </c>
      <c r="DG198" s="228">
        <v>-0.02</v>
      </c>
      <c r="DH198" s="228">
        <v>29.6</v>
      </c>
      <c r="DI198" s="228">
        <v>28.31</v>
      </c>
      <c r="DJ198" s="228">
        <v>1.29</v>
      </c>
      <c r="DK198" s="228">
        <v>1.29</v>
      </c>
      <c r="DL198" s="228">
        <v>31.24</v>
      </c>
      <c r="DM198" s="228">
        <v>28.39</v>
      </c>
      <c r="DN198" s="228">
        <v>2.85</v>
      </c>
      <c r="DO198" s="228">
        <v>2.85</v>
      </c>
      <c r="DP198" s="228">
        <v>0.74</v>
      </c>
      <c r="DQ198" s="228">
        <v>0.76</v>
      </c>
      <c r="DR198" s="228">
        <v>-0.02</v>
      </c>
      <c r="DS198" s="229">
        <v>-2.63E-2</v>
      </c>
      <c r="DT198" s="231">
        <v>14500</v>
      </c>
      <c r="DU198" s="231">
        <v>14500</v>
      </c>
      <c r="DV198" s="228">
        <v>0.51</v>
      </c>
      <c r="DW198" s="228">
        <v>0.32</v>
      </c>
      <c r="DX198" s="228">
        <v>0.19</v>
      </c>
      <c r="DY198" s="229">
        <v>0.59379999999999999</v>
      </c>
      <c r="DZ198" s="229">
        <v>0.86399999999999999</v>
      </c>
      <c r="EA198" s="230">
        <v>693825</v>
      </c>
      <c r="EB198" s="229">
        <v>4.5999999999999999E-3</v>
      </c>
      <c r="EC198" s="229">
        <v>0.86399999999999999</v>
      </c>
      <c r="ED198" s="228">
        <v>65.05</v>
      </c>
      <c r="EE198" s="229">
        <v>4.5999999999999999E-3</v>
      </c>
      <c r="EF198" s="230">
        <v>146133</v>
      </c>
      <c r="EG198" s="230">
        <v>79764</v>
      </c>
      <c r="EH198" s="229">
        <v>0.83209999999999995</v>
      </c>
      <c r="EI198" s="229">
        <v>0.70589999999999997</v>
      </c>
      <c r="EJ198" s="231">
        <v>117922.06</v>
      </c>
      <c r="EK198" s="231">
        <v>57953.79</v>
      </c>
      <c r="EL198" s="231">
        <v>101668.76</v>
      </c>
      <c r="EM198" s="228">
        <v>0</v>
      </c>
      <c r="EN198" s="231">
        <v>277544.61</v>
      </c>
      <c r="EO198" s="231">
        <v>267303.69</v>
      </c>
      <c r="EP198" s="231">
        <v>10240.92</v>
      </c>
      <c r="EQ198" s="229">
        <v>3.8300000000000001E-2</v>
      </c>
      <c r="ER198" s="231">
        <v>15665</v>
      </c>
      <c r="ES198" s="231">
        <v>10795</v>
      </c>
      <c r="ET198" s="231">
        <v>118679</v>
      </c>
      <c r="EU198" s="231">
        <v>4859756</v>
      </c>
      <c r="EV198" s="231">
        <v>145139</v>
      </c>
      <c r="EW198" s="231">
        <v>316641</v>
      </c>
      <c r="EX198" s="231">
        <v>-171502</v>
      </c>
      <c r="EY198" s="229">
        <v>-0.54159999999999997</v>
      </c>
      <c r="EZ198" s="229">
        <v>0.20760000000000001</v>
      </c>
      <c r="FA198" s="227" t="s">
        <v>568</v>
      </c>
      <c r="FB198" s="161">
        <f t="shared" si="5"/>
        <v>0</v>
      </c>
    </row>
    <row r="199" spans="1:158" ht="17.25" thickBot="1" x14ac:dyDescent="0.3">
      <c r="A199" s="226">
        <v>45869</v>
      </c>
      <c r="B199" s="227" t="s">
        <v>162</v>
      </c>
      <c r="C199" s="227" t="s">
        <v>615</v>
      </c>
      <c r="D199" s="228">
        <v>1050</v>
      </c>
      <c r="E199" s="228">
        <v>451.15</v>
      </c>
      <c r="F199" s="228">
        <v>458</v>
      </c>
      <c r="G199" s="228">
        <v>-6.85</v>
      </c>
      <c r="H199" s="229">
        <v>-1.4999999999999999E-2</v>
      </c>
      <c r="I199" s="228">
        <v>449.55</v>
      </c>
      <c r="J199" s="228">
        <v>461.3</v>
      </c>
      <c r="K199" s="228">
        <v>-11.75</v>
      </c>
      <c r="L199" s="229">
        <v>-2.5499999999999998E-2</v>
      </c>
      <c r="M199" s="228">
        <v>451.1</v>
      </c>
      <c r="N199" s="228">
        <v>461.05</v>
      </c>
      <c r="O199" s="228">
        <v>-9.9499999999999993</v>
      </c>
      <c r="P199" s="229">
        <v>-2.1600000000000001E-2</v>
      </c>
      <c r="Q199" s="228">
        <v>451.15</v>
      </c>
      <c r="R199" s="228">
        <v>458</v>
      </c>
      <c r="S199" s="228">
        <v>-6.85</v>
      </c>
      <c r="T199" s="229">
        <v>-1.4999999999999999E-2</v>
      </c>
      <c r="U199" s="228">
        <v>448.95</v>
      </c>
      <c r="V199" s="228">
        <v>455.55</v>
      </c>
      <c r="W199" s="228">
        <v>-6.6</v>
      </c>
      <c r="X199" s="229">
        <v>-1.4500000000000001E-2</v>
      </c>
      <c r="Y199" s="228">
        <v>1.6</v>
      </c>
      <c r="Z199" s="228">
        <v>-0.25</v>
      </c>
      <c r="AA199" s="228">
        <v>1.85</v>
      </c>
      <c r="AB199" s="229">
        <v>3.5999999999999999E-3</v>
      </c>
      <c r="AC199" s="228">
        <v>1.55</v>
      </c>
      <c r="AD199" s="228">
        <v>-0.25</v>
      </c>
      <c r="AE199" s="228">
        <v>1.8</v>
      </c>
      <c r="AF199" s="229">
        <v>3.3999999999999998E-3</v>
      </c>
      <c r="AG199" s="228">
        <v>1.6</v>
      </c>
      <c r="AH199" s="228">
        <v>-3.3</v>
      </c>
      <c r="AI199" s="228">
        <v>4.9000000000000004</v>
      </c>
      <c r="AJ199" s="229">
        <v>3.5999999999999999E-3</v>
      </c>
      <c r="AK199" s="228">
        <v>-0.6</v>
      </c>
      <c r="AL199" s="228">
        <v>-5.75</v>
      </c>
      <c r="AM199" s="228">
        <v>5.15</v>
      </c>
      <c r="AN199" s="229">
        <v>-1.2999999999999999E-3</v>
      </c>
      <c r="AO199" s="228">
        <v>451.12</v>
      </c>
      <c r="AP199" s="228">
        <v>450.24</v>
      </c>
      <c r="AQ199" s="228">
        <v>0</v>
      </c>
      <c r="AR199" s="230">
        <v>18155550</v>
      </c>
      <c r="AS199" s="230">
        <v>15000300</v>
      </c>
      <c r="AT199" s="230">
        <v>3155250</v>
      </c>
      <c r="AU199" s="229">
        <v>0.21029999999999999</v>
      </c>
      <c r="AV199" s="230">
        <v>7732200</v>
      </c>
      <c r="AW199" s="230">
        <v>6936300</v>
      </c>
      <c r="AX199" s="230">
        <v>795900</v>
      </c>
      <c r="AY199" s="229">
        <v>0.1147</v>
      </c>
      <c r="AZ199" s="230">
        <v>10170300</v>
      </c>
      <c r="BA199" s="230">
        <v>7891800</v>
      </c>
      <c r="BB199" s="230">
        <v>2278500</v>
      </c>
      <c r="BC199" s="229">
        <v>0.28870000000000001</v>
      </c>
      <c r="BD199" s="230">
        <v>253050</v>
      </c>
      <c r="BE199" s="230">
        <v>172200</v>
      </c>
      <c r="BF199" s="230">
        <v>80850</v>
      </c>
      <c r="BG199" s="229">
        <v>0.46949999999999997</v>
      </c>
      <c r="BH199" s="230">
        <v>2766750</v>
      </c>
      <c r="BI199" s="230">
        <v>6356700</v>
      </c>
      <c r="BJ199" s="230">
        <v>-3589950</v>
      </c>
      <c r="BK199" s="229">
        <v>-0.56479999999999997</v>
      </c>
      <c r="BL199" s="230">
        <v>3549000</v>
      </c>
      <c r="BM199" s="230">
        <v>5558700</v>
      </c>
      <c r="BN199" s="230">
        <v>-2009700</v>
      </c>
      <c r="BO199" s="229">
        <v>-0.36149999999999999</v>
      </c>
      <c r="BP199" s="230">
        <v>24471300</v>
      </c>
      <c r="BQ199" s="230">
        <v>26915700</v>
      </c>
      <c r="BR199" s="230">
        <v>-2444400</v>
      </c>
      <c r="BS199" s="229">
        <v>-9.0800000000000006E-2</v>
      </c>
      <c r="BT199" s="230">
        <v>8186996</v>
      </c>
      <c r="BU199" s="230">
        <v>2919782</v>
      </c>
      <c r="BV199" s="230">
        <v>5267214</v>
      </c>
      <c r="BW199" s="229">
        <v>1.804</v>
      </c>
      <c r="BX199" s="230">
        <v>20302800</v>
      </c>
      <c r="BY199" s="230">
        <v>25330200</v>
      </c>
      <c r="BZ199" s="230">
        <v>-5027400</v>
      </c>
      <c r="CA199" s="229">
        <v>-0.19850000000000001</v>
      </c>
      <c r="CB199" s="230">
        <v>3057600</v>
      </c>
      <c r="CC199" s="230">
        <v>6559350</v>
      </c>
      <c r="CD199" s="230">
        <v>-3501750</v>
      </c>
      <c r="CE199" s="229">
        <v>-0.53390000000000004</v>
      </c>
      <c r="CF199" s="230">
        <v>19818750</v>
      </c>
      <c r="CG199" s="230">
        <v>18324600</v>
      </c>
      <c r="CH199" s="230">
        <v>1494150</v>
      </c>
      <c r="CI199" s="229">
        <v>8.1500000000000003E-2</v>
      </c>
      <c r="CJ199" s="230">
        <v>484050</v>
      </c>
      <c r="CK199" s="230">
        <v>446250</v>
      </c>
      <c r="CL199" s="230">
        <v>37800</v>
      </c>
      <c r="CM199" s="229">
        <v>8.4699999999999998E-2</v>
      </c>
      <c r="CN199" s="230">
        <v>1993950</v>
      </c>
      <c r="CO199" s="230">
        <v>5725650</v>
      </c>
      <c r="CP199" s="230">
        <v>-3731700</v>
      </c>
      <c r="CQ199" s="229">
        <v>-0.65180000000000005</v>
      </c>
      <c r="CR199" s="230">
        <v>1844850</v>
      </c>
      <c r="CS199" s="230">
        <v>3438750</v>
      </c>
      <c r="CT199" s="230">
        <v>-1593900</v>
      </c>
      <c r="CU199" s="229">
        <v>-0.46350000000000002</v>
      </c>
      <c r="CV199" s="230">
        <v>24141600</v>
      </c>
      <c r="CW199" s="230">
        <v>34494600</v>
      </c>
      <c r="CX199" s="230">
        <v>-10353000</v>
      </c>
      <c r="CY199" s="229">
        <v>-0.30009999999999998</v>
      </c>
      <c r="CZ199" s="228">
        <v>43.18</v>
      </c>
      <c r="DA199" s="228">
        <v>42.14</v>
      </c>
      <c r="DB199" s="228">
        <v>1.04</v>
      </c>
      <c r="DC199" s="228">
        <v>1.04</v>
      </c>
      <c r="DD199" s="228">
        <v>42.98</v>
      </c>
      <c r="DE199" s="228">
        <v>42.94</v>
      </c>
      <c r="DF199" s="228">
        <v>0.2</v>
      </c>
      <c r="DG199" s="228">
        <v>0.04</v>
      </c>
      <c r="DH199" s="228">
        <v>41.85</v>
      </c>
      <c r="DI199" s="228">
        <v>41.77</v>
      </c>
      <c r="DJ199" s="228">
        <v>0.08</v>
      </c>
      <c r="DK199" s="228">
        <v>0.08</v>
      </c>
      <c r="DL199" s="228">
        <v>44.23</v>
      </c>
      <c r="DM199" s="228">
        <v>42.61</v>
      </c>
      <c r="DN199" s="228">
        <v>1.62</v>
      </c>
      <c r="DO199" s="228">
        <v>1.62</v>
      </c>
      <c r="DP199" s="228">
        <v>0.93</v>
      </c>
      <c r="DQ199" s="228">
        <v>0.6</v>
      </c>
      <c r="DR199" s="228">
        <v>0.33</v>
      </c>
      <c r="DS199" s="229">
        <v>0.55000000000000004</v>
      </c>
      <c r="DT199" s="228">
        <v>500</v>
      </c>
      <c r="DU199" s="228">
        <v>400</v>
      </c>
      <c r="DV199" s="228">
        <v>1.28</v>
      </c>
      <c r="DW199" s="228">
        <v>0.87</v>
      </c>
      <c r="DX199" s="228">
        <v>0.41</v>
      </c>
      <c r="DY199" s="229">
        <v>0.4713</v>
      </c>
      <c r="DZ199" s="229">
        <v>0.86909999999999998</v>
      </c>
      <c r="EA199" s="230">
        <v>18770850</v>
      </c>
      <c r="EB199" s="229">
        <v>1E-4</v>
      </c>
      <c r="EC199" s="229">
        <v>0.86909999999999998</v>
      </c>
      <c r="ED199" s="228">
        <v>-0.88</v>
      </c>
      <c r="EE199" s="229">
        <v>-2E-3</v>
      </c>
      <c r="EF199" s="230">
        <v>4645172</v>
      </c>
      <c r="EG199" s="230">
        <v>1600961</v>
      </c>
      <c r="EH199" s="229">
        <v>1.9015</v>
      </c>
      <c r="EI199" s="229">
        <v>0.56740000000000002</v>
      </c>
      <c r="EJ199" s="231">
        <v>13411.66</v>
      </c>
      <c r="EK199" s="231">
        <v>15885.73</v>
      </c>
      <c r="EL199" s="231">
        <v>81806.87</v>
      </c>
      <c r="EM199" s="228">
        <v>0</v>
      </c>
      <c r="EN199" s="231">
        <v>111104.26</v>
      </c>
      <c r="EO199" s="231">
        <v>125371.44</v>
      </c>
      <c r="EP199" s="231">
        <v>-14267.18</v>
      </c>
      <c r="EQ199" s="229">
        <v>-0.1138</v>
      </c>
      <c r="ER199" s="231">
        <v>9806</v>
      </c>
      <c r="ES199" s="231">
        <v>8133</v>
      </c>
      <c r="ET199" s="231">
        <v>91585</v>
      </c>
      <c r="EU199" s="231">
        <v>89501464</v>
      </c>
      <c r="EV199" s="231">
        <v>109524</v>
      </c>
      <c r="EW199" s="231">
        <v>160322</v>
      </c>
      <c r="EX199" s="231">
        <v>-50798</v>
      </c>
      <c r="EY199" s="229">
        <v>-0.31680000000000003</v>
      </c>
      <c r="EZ199" s="229">
        <v>0.2697</v>
      </c>
      <c r="FA199" s="227" t="s">
        <v>568</v>
      </c>
      <c r="FB199" s="161">
        <f t="shared" si="5"/>
        <v>0</v>
      </c>
    </row>
    <row r="200" spans="1:158" ht="17.25" thickBot="1" x14ac:dyDescent="0.3">
      <c r="A200" s="226">
        <v>45869</v>
      </c>
      <c r="B200" s="227" t="s">
        <v>197</v>
      </c>
      <c r="C200" s="227" t="s">
        <v>286</v>
      </c>
      <c r="D200" s="228">
        <v>200</v>
      </c>
      <c r="E200" s="231">
        <v>3052</v>
      </c>
      <c r="F200" s="231">
        <v>3104.7</v>
      </c>
      <c r="G200" s="228">
        <v>-52.7</v>
      </c>
      <c r="H200" s="229">
        <v>-1.7000000000000001E-2</v>
      </c>
      <c r="I200" s="231">
        <v>3040.8</v>
      </c>
      <c r="J200" s="231">
        <v>3086.5</v>
      </c>
      <c r="K200" s="228">
        <v>-45.7</v>
      </c>
      <c r="L200" s="229">
        <v>-1.4800000000000001E-2</v>
      </c>
      <c r="M200" s="231">
        <v>3035.1</v>
      </c>
      <c r="N200" s="231">
        <v>3088.2</v>
      </c>
      <c r="O200" s="228">
        <v>-53.1</v>
      </c>
      <c r="P200" s="229">
        <v>-1.72E-2</v>
      </c>
      <c r="Q200" s="231">
        <v>3052</v>
      </c>
      <c r="R200" s="231">
        <v>3104.7</v>
      </c>
      <c r="S200" s="228">
        <v>-52.7</v>
      </c>
      <c r="T200" s="229">
        <v>-1.7000000000000001E-2</v>
      </c>
      <c r="U200" s="231">
        <v>3070</v>
      </c>
      <c r="V200" s="231">
        <v>3120.7</v>
      </c>
      <c r="W200" s="228">
        <v>-50.7</v>
      </c>
      <c r="X200" s="229">
        <v>-1.6199999999999999E-2</v>
      </c>
      <c r="Y200" s="228">
        <v>11.2</v>
      </c>
      <c r="Z200" s="228">
        <v>1.7</v>
      </c>
      <c r="AA200" s="228">
        <v>9.5</v>
      </c>
      <c r="AB200" s="229">
        <v>3.7000000000000002E-3</v>
      </c>
      <c r="AC200" s="228">
        <v>-5.7</v>
      </c>
      <c r="AD200" s="228">
        <v>1.7</v>
      </c>
      <c r="AE200" s="228">
        <v>-7.4</v>
      </c>
      <c r="AF200" s="229">
        <v>-1.9E-3</v>
      </c>
      <c r="AG200" s="228">
        <v>11.2</v>
      </c>
      <c r="AH200" s="228">
        <v>18.2</v>
      </c>
      <c r="AI200" s="228">
        <v>-7</v>
      </c>
      <c r="AJ200" s="229">
        <v>3.7000000000000002E-3</v>
      </c>
      <c r="AK200" s="228">
        <v>29.2</v>
      </c>
      <c r="AL200" s="228">
        <v>34.200000000000003</v>
      </c>
      <c r="AM200" s="228">
        <v>-5</v>
      </c>
      <c r="AN200" s="229">
        <v>9.5999999999999992E-3</v>
      </c>
      <c r="AO200" s="231">
        <v>3036.76</v>
      </c>
      <c r="AP200" s="231">
        <v>3047.47</v>
      </c>
      <c r="AQ200" s="228">
        <v>0</v>
      </c>
      <c r="AR200" s="230">
        <v>3208000</v>
      </c>
      <c r="AS200" s="230">
        <v>2712200</v>
      </c>
      <c r="AT200" s="230">
        <v>495800</v>
      </c>
      <c r="AU200" s="229">
        <v>0.18279999999999999</v>
      </c>
      <c r="AV200" s="230">
        <v>1223000</v>
      </c>
      <c r="AW200" s="230">
        <v>1285400</v>
      </c>
      <c r="AX200" s="230">
        <v>-62400</v>
      </c>
      <c r="AY200" s="229">
        <v>-4.8500000000000001E-2</v>
      </c>
      <c r="AZ200" s="230">
        <v>1965000</v>
      </c>
      <c r="BA200" s="230">
        <v>1417800</v>
      </c>
      <c r="BB200" s="230">
        <v>547200</v>
      </c>
      <c r="BC200" s="229">
        <v>0.38600000000000001</v>
      </c>
      <c r="BD200" s="230">
        <v>20000</v>
      </c>
      <c r="BE200" s="230">
        <v>9000</v>
      </c>
      <c r="BF200" s="230">
        <v>11000</v>
      </c>
      <c r="BG200" s="229">
        <v>1.2222</v>
      </c>
      <c r="BH200" s="230">
        <v>2823800</v>
      </c>
      <c r="BI200" s="230">
        <v>2761400</v>
      </c>
      <c r="BJ200" s="230">
        <v>62400</v>
      </c>
      <c r="BK200" s="229">
        <v>2.2599999999999999E-2</v>
      </c>
      <c r="BL200" s="230">
        <v>2838600</v>
      </c>
      <c r="BM200" s="230">
        <v>1405800</v>
      </c>
      <c r="BN200" s="230">
        <v>1432800</v>
      </c>
      <c r="BO200" s="229">
        <v>1.0192000000000001</v>
      </c>
      <c r="BP200" s="230">
        <v>8870400</v>
      </c>
      <c r="BQ200" s="230">
        <v>6879400</v>
      </c>
      <c r="BR200" s="230">
        <v>1991000</v>
      </c>
      <c r="BS200" s="229">
        <v>0.28939999999999999</v>
      </c>
      <c r="BT200" s="230">
        <v>695208</v>
      </c>
      <c r="BU200" s="230">
        <v>468092</v>
      </c>
      <c r="BV200" s="230">
        <v>227116</v>
      </c>
      <c r="BW200" s="229">
        <v>0.48520000000000002</v>
      </c>
      <c r="BX200" s="230">
        <v>3874400</v>
      </c>
      <c r="BY200" s="230">
        <v>4137000</v>
      </c>
      <c r="BZ200" s="230">
        <v>-262600</v>
      </c>
      <c r="CA200" s="229">
        <v>-6.3500000000000001E-2</v>
      </c>
      <c r="CB200" s="230">
        <v>154800</v>
      </c>
      <c r="CC200" s="230">
        <v>826600</v>
      </c>
      <c r="CD200" s="230">
        <v>-671800</v>
      </c>
      <c r="CE200" s="229">
        <v>-0.81269999999999998</v>
      </c>
      <c r="CF200" s="230">
        <v>3841600</v>
      </c>
      <c r="CG200" s="230">
        <v>3283200</v>
      </c>
      <c r="CH200" s="230">
        <v>558400</v>
      </c>
      <c r="CI200" s="229">
        <v>0.1701</v>
      </c>
      <c r="CJ200" s="230">
        <v>32800</v>
      </c>
      <c r="CK200" s="230">
        <v>27200</v>
      </c>
      <c r="CL200" s="230">
        <v>5600</v>
      </c>
      <c r="CM200" s="229">
        <v>0.2059</v>
      </c>
      <c r="CN200" s="230">
        <v>868400</v>
      </c>
      <c r="CO200" s="230">
        <v>1942600</v>
      </c>
      <c r="CP200" s="230">
        <v>-1074200</v>
      </c>
      <c r="CQ200" s="229">
        <v>-0.55300000000000005</v>
      </c>
      <c r="CR200" s="230">
        <v>590200</v>
      </c>
      <c r="CS200" s="230">
        <v>1069200</v>
      </c>
      <c r="CT200" s="230">
        <v>-479000</v>
      </c>
      <c r="CU200" s="229">
        <v>-0.44800000000000001</v>
      </c>
      <c r="CV200" s="230">
        <v>5333000</v>
      </c>
      <c r="CW200" s="230">
        <v>7148800</v>
      </c>
      <c r="CX200" s="230">
        <v>-1815800</v>
      </c>
      <c r="CY200" s="229">
        <v>-0.254</v>
      </c>
      <c r="CZ200" s="228">
        <v>28.11</v>
      </c>
      <c r="DA200" s="228">
        <v>27.21</v>
      </c>
      <c r="DB200" s="228">
        <v>0.9</v>
      </c>
      <c r="DC200" s="228">
        <v>0.9</v>
      </c>
      <c r="DD200" s="228">
        <v>33.93</v>
      </c>
      <c r="DE200" s="228">
        <v>33.96</v>
      </c>
      <c r="DF200" s="228">
        <v>-5.82</v>
      </c>
      <c r="DG200" s="228">
        <v>-0.03</v>
      </c>
      <c r="DH200" s="228">
        <v>28.24</v>
      </c>
      <c r="DI200" s="228">
        <v>27.26</v>
      </c>
      <c r="DJ200" s="228">
        <v>0.98</v>
      </c>
      <c r="DK200" s="228">
        <v>0.98</v>
      </c>
      <c r="DL200" s="228">
        <v>27.9</v>
      </c>
      <c r="DM200" s="228">
        <v>27.1</v>
      </c>
      <c r="DN200" s="228">
        <v>0.8</v>
      </c>
      <c r="DO200" s="228">
        <v>0.8</v>
      </c>
      <c r="DP200" s="228">
        <v>0.68</v>
      </c>
      <c r="DQ200" s="228">
        <v>0.55000000000000004</v>
      </c>
      <c r="DR200" s="228">
        <v>0.13</v>
      </c>
      <c r="DS200" s="229">
        <v>0.2364</v>
      </c>
      <c r="DT200" s="231">
        <v>3200</v>
      </c>
      <c r="DU200" s="231">
        <v>3000</v>
      </c>
      <c r="DV200" s="228">
        <v>1.01</v>
      </c>
      <c r="DW200" s="228">
        <v>0.51</v>
      </c>
      <c r="DX200" s="228">
        <v>0.5</v>
      </c>
      <c r="DY200" s="229">
        <v>0.98040000000000005</v>
      </c>
      <c r="DZ200" s="229">
        <v>0.96160000000000001</v>
      </c>
      <c r="EA200" s="230">
        <v>3310400</v>
      </c>
      <c r="EB200" s="229">
        <v>5.5999999999999999E-3</v>
      </c>
      <c r="EC200" s="229">
        <v>0.96160000000000001</v>
      </c>
      <c r="ED200" s="228">
        <v>10.71</v>
      </c>
      <c r="EE200" s="229">
        <v>3.5000000000000001E-3</v>
      </c>
      <c r="EF200" s="230">
        <v>321856</v>
      </c>
      <c r="EG200" s="230">
        <v>276702</v>
      </c>
      <c r="EH200" s="229">
        <v>0.16320000000000001</v>
      </c>
      <c r="EI200" s="229">
        <v>0.46300000000000002</v>
      </c>
      <c r="EJ200" s="231">
        <v>90588.27</v>
      </c>
      <c r="EK200" s="231">
        <v>86075.07</v>
      </c>
      <c r="EL200" s="231">
        <v>97636.54</v>
      </c>
      <c r="EM200" s="228">
        <v>0</v>
      </c>
      <c r="EN200" s="231">
        <v>274299.88</v>
      </c>
      <c r="EO200" s="231">
        <v>217322.98</v>
      </c>
      <c r="EP200" s="231">
        <v>56976.9</v>
      </c>
      <c r="EQ200" s="229">
        <v>0.26219999999999999</v>
      </c>
      <c r="ER200" s="231">
        <v>28025</v>
      </c>
      <c r="ES200" s="231">
        <v>17720</v>
      </c>
      <c r="ET200" s="231">
        <v>118253</v>
      </c>
      <c r="EU200" s="231">
        <v>29488465</v>
      </c>
      <c r="EV200" s="231">
        <v>163997</v>
      </c>
      <c r="EW200" s="231">
        <v>224053</v>
      </c>
      <c r="EX200" s="231">
        <v>-60056</v>
      </c>
      <c r="EY200" s="229">
        <v>-0.26800000000000002</v>
      </c>
      <c r="EZ200" s="229">
        <v>0.18090000000000001</v>
      </c>
      <c r="FA200" s="227" t="s">
        <v>568</v>
      </c>
      <c r="FB200" s="161">
        <f t="shared" si="5"/>
        <v>0</v>
      </c>
    </row>
    <row r="201" spans="1:158" ht="17.25" thickBot="1" x14ac:dyDescent="0.3">
      <c r="A201" s="226">
        <v>45869</v>
      </c>
      <c r="B201" s="227" t="s">
        <v>170</v>
      </c>
      <c r="C201" s="227" t="s">
        <v>288</v>
      </c>
      <c r="D201" s="228">
        <v>350</v>
      </c>
      <c r="E201" s="231">
        <v>1713.9</v>
      </c>
      <c r="F201" s="231">
        <v>1743.9</v>
      </c>
      <c r="G201" s="228">
        <v>-30</v>
      </c>
      <c r="H201" s="229">
        <v>-1.72E-2</v>
      </c>
      <c r="I201" s="231">
        <v>1706.7</v>
      </c>
      <c r="J201" s="231">
        <v>1733.8</v>
      </c>
      <c r="K201" s="228">
        <v>-27.1</v>
      </c>
      <c r="L201" s="229">
        <v>-1.5599999999999999E-2</v>
      </c>
      <c r="M201" s="231">
        <v>1708.1</v>
      </c>
      <c r="N201" s="231">
        <v>1732.6</v>
      </c>
      <c r="O201" s="228">
        <v>-24.5</v>
      </c>
      <c r="P201" s="229">
        <v>-1.41E-2</v>
      </c>
      <c r="Q201" s="231">
        <v>1713.9</v>
      </c>
      <c r="R201" s="231">
        <v>1743.9</v>
      </c>
      <c r="S201" s="228">
        <v>-30</v>
      </c>
      <c r="T201" s="229">
        <v>-1.72E-2</v>
      </c>
      <c r="U201" s="231">
        <v>1725.9</v>
      </c>
      <c r="V201" s="231">
        <v>1757.9</v>
      </c>
      <c r="W201" s="228">
        <v>-32</v>
      </c>
      <c r="X201" s="229">
        <v>-1.8200000000000001E-2</v>
      </c>
      <c r="Y201" s="228">
        <v>7.2</v>
      </c>
      <c r="Z201" s="228">
        <v>-1.2</v>
      </c>
      <c r="AA201" s="228">
        <v>8.4</v>
      </c>
      <c r="AB201" s="229">
        <v>4.1999999999999997E-3</v>
      </c>
      <c r="AC201" s="228">
        <v>1.4</v>
      </c>
      <c r="AD201" s="228">
        <v>-1.2</v>
      </c>
      <c r="AE201" s="228">
        <v>2.6</v>
      </c>
      <c r="AF201" s="229">
        <v>8.0000000000000004E-4</v>
      </c>
      <c r="AG201" s="228">
        <v>7.2</v>
      </c>
      <c r="AH201" s="228">
        <v>10.1</v>
      </c>
      <c r="AI201" s="228">
        <v>-2.9</v>
      </c>
      <c r="AJ201" s="229">
        <v>4.1999999999999997E-3</v>
      </c>
      <c r="AK201" s="228">
        <v>19.2</v>
      </c>
      <c r="AL201" s="228">
        <v>24.1</v>
      </c>
      <c r="AM201" s="228">
        <v>-4.9000000000000004</v>
      </c>
      <c r="AN201" s="229">
        <v>1.12E-2</v>
      </c>
      <c r="AO201" s="231">
        <v>1722.38</v>
      </c>
      <c r="AP201" s="231">
        <v>1732.73</v>
      </c>
      <c r="AQ201" s="228">
        <v>0</v>
      </c>
      <c r="AR201" s="230">
        <v>18940250</v>
      </c>
      <c r="AS201" s="230">
        <v>12310550</v>
      </c>
      <c r="AT201" s="230">
        <v>6629700</v>
      </c>
      <c r="AU201" s="229">
        <v>0.53849999999999998</v>
      </c>
      <c r="AV201" s="230">
        <v>7476000</v>
      </c>
      <c r="AW201" s="230">
        <v>5917100</v>
      </c>
      <c r="AX201" s="230">
        <v>1558900</v>
      </c>
      <c r="AY201" s="229">
        <v>0.26350000000000001</v>
      </c>
      <c r="AZ201" s="230">
        <v>11346650</v>
      </c>
      <c r="BA201" s="230">
        <v>6322750</v>
      </c>
      <c r="BB201" s="230">
        <v>5023900</v>
      </c>
      <c r="BC201" s="229">
        <v>0.79459999999999997</v>
      </c>
      <c r="BD201" s="230">
        <v>117600</v>
      </c>
      <c r="BE201" s="230">
        <v>70700</v>
      </c>
      <c r="BF201" s="230">
        <v>46900</v>
      </c>
      <c r="BG201" s="229">
        <v>0.66339999999999999</v>
      </c>
      <c r="BH201" s="230">
        <v>30946650</v>
      </c>
      <c r="BI201" s="230">
        <v>22285200</v>
      </c>
      <c r="BJ201" s="230">
        <v>8661450</v>
      </c>
      <c r="BK201" s="229">
        <v>0.38869999999999999</v>
      </c>
      <c r="BL201" s="230">
        <v>19664750</v>
      </c>
      <c r="BM201" s="230">
        <v>9403450</v>
      </c>
      <c r="BN201" s="230">
        <v>10261300</v>
      </c>
      <c r="BO201" s="229">
        <v>1.0911999999999999</v>
      </c>
      <c r="BP201" s="230">
        <v>69551650</v>
      </c>
      <c r="BQ201" s="230">
        <v>43999200</v>
      </c>
      <c r="BR201" s="230">
        <v>25552450</v>
      </c>
      <c r="BS201" s="229">
        <v>0.58069999999999999</v>
      </c>
      <c r="BT201" s="230">
        <v>3358027</v>
      </c>
      <c r="BU201" s="230">
        <v>2392483</v>
      </c>
      <c r="BV201" s="230">
        <v>965544</v>
      </c>
      <c r="BW201" s="229">
        <v>0.40360000000000001</v>
      </c>
      <c r="BX201" s="230">
        <v>19349750</v>
      </c>
      <c r="BY201" s="230">
        <v>21110250</v>
      </c>
      <c r="BZ201" s="230">
        <v>-1760500</v>
      </c>
      <c r="CA201" s="229">
        <v>-8.3400000000000002E-2</v>
      </c>
      <c r="CB201" s="230">
        <v>2965200</v>
      </c>
      <c r="CC201" s="230">
        <v>5141500</v>
      </c>
      <c r="CD201" s="230">
        <v>-2176300</v>
      </c>
      <c r="CE201" s="229">
        <v>-0.42330000000000001</v>
      </c>
      <c r="CF201" s="230">
        <v>19228650</v>
      </c>
      <c r="CG201" s="230">
        <v>15884050</v>
      </c>
      <c r="CH201" s="230">
        <v>3344600</v>
      </c>
      <c r="CI201" s="229">
        <v>0.21060000000000001</v>
      </c>
      <c r="CJ201" s="230">
        <v>121100</v>
      </c>
      <c r="CK201" s="230">
        <v>84700</v>
      </c>
      <c r="CL201" s="230">
        <v>36400</v>
      </c>
      <c r="CM201" s="229">
        <v>0.42980000000000002</v>
      </c>
      <c r="CN201" s="230">
        <v>3076150</v>
      </c>
      <c r="CO201" s="230">
        <v>9679600</v>
      </c>
      <c r="CP201" s="230">
        <v>-6603450</v>
      </c>
      <c r="CQ201" s="229">
        <v>-0.68220000000000003</v>
      </c>
      <c r="CR201" s="230">
        <v>1872150</v>
      </c>
      <c r="CS201" s="230">
        <v>5738250</v>
      </c>
      <c r="CT201" s="230">
        <v>-3866100</v>
      </c>
      <c r="CU201" s="229">
        <v>-0.67369999999999997</v>
      </c>
      <c r="CV201" s="230">
        <v>24298050</v>
      </c>
      <c r="CW201" s="230">
        <v>36528100</v>
      </c>
      <c r="CX201" s="230">
        <v>-12230050</v>
      </c>
      <c r="CY201" s="229">
        <v>-0.33479999999999999</v>
      </c>
      <c r="CZ201" s="228">
        <v>23.44</v>
      </c>
      <c r="DA201" s="228">
        <v>25.23</v>
      </c>
      <c r="DB201" s="228">
        <v>-1.79</v>
      </c>
      <c r="DC201" s="228">
        <v>-1.79</v>
      </c>
      <c r="DD201" s="228">
        <v>24.07</v>
      </c>
      <c r="DE201" s="228">
        <v>24.04</v>
      </c>
      <c r="DF201" s="228">
        <v>-0.63</v>
      </c>
      <c r="DG201" s="228">
        <v>0.03</v>
      </c>
      <c r="DH201" s="228">
        <v>23.09</v>
      </c>
      <c r="DI201" s="228">
        <v>25.11</v>
      </c>
      <c r="DJ201" s="228">
        <v>-2.02</v>
      </c>
      <c r="DK201" s="228">
        <v>-2.02</v>
      </c>
      <c r="DL201" s="228">
        <v>23.94</v>
      </c>
      <c r="DM201" s="228">
        <v>25.65</v>
      </c>
      <c r="DN201" s="228">
        <v>-1.71</v>
      </c>
      <c r="DO201" s="228">
        <v>-1.71</v>
      </c>
      <c r="DP201" s="228">
        <v>0.61</v>
      </c>
      <c r="DQ201" s="228">
        <v>0.59</v>
      </c>
      <c r="DR201" s="228">
        <v>0.02</v>
      </c>
      <c r="DS201" s="229">
        <v>3.39E-2</v>
      </c>
      <c r="DT201" s="231">
        <v>1720</v>
      </c>
      <c r="DU201" s="231">
        <v>1700</v>
      </c>
      <c r="DV201" s="228">
        <v>0.64</v>
      </c>
      <c r="DW201" s="228">
        <v>0.42</v>
      </c>
      <c r="DX201" s="228">
        <v>0.22</v>
      </c>
      <c r="DY201" s="229">
        <v>0.52380000000000004</v>
      </c>
      <c r="DZ201" s="229">
        <v>0.86709999999999998</v>
      </c>
      <c r="EA201" s="230">
        <v>15968750</v>
      </c>
      <c r="EB201" s="229">
        <v>3.3999999999999998E-3</v>
      </c>
      <c r="EC201" s="229">
        <v>0.86709999999999998</v>
      </c>
      <c r="ED201" s="228">
        <v>10.35</v>
      </c>
      <c r="EE201" s="229">
        <v>6.0000000000000001E-3</v>
      </c>
      <c r="EF201" s="230">
        <v>1307251</v>
      </c>
      <c r="EG201" s="230">
        <v>1453637</v>
      </c>
      <c r="EH201" s="229">
        <v>-0.1007</v>
      </c>
      <c r="EI201" s="229">
        <v>0.38929999999999998</v>
      </c>
      <c r="EJ201" s="231">
        <v>549848.80000000005</v>
      </c>
      <c r="EK201" s="231">
        <v>336604.89</v>
      </c>
      <c r="EL201" s="231">
        <v>327419.88</v>
      </c>
      <c r="EM201" s="228">
        <v>0</v>
      </c>
      <c r="EN201" s="231">
        <v>1213873.57</v>
      </c>
      <c r="EO201" s="231">
        <v>768857.82</v>
      </c>
      <c r="EP201" s="231">
        <v>445015.75</v>
      </c>
      <c r="EQ201" s="229">
        <v>0.57879999999999998</v>
      </c>
      <c r="ER201" s="231">
        <v>54966</v>
      </c>
      <c r="ES201" s="231">
        <v>30952</v>
      </c>
      <c r="ET201" s="231">
        <v>331650</v>
      </c>
      <c r="EU201" s="231">
        <v>218440087</v>
      </c>
      <c r="EV201" s="231">
        <v>417569</v>
      </c>
      <c r="EW201" s="231">
        <v>631906</v>
      </c>
      <c r="EX201" s="231">
        <v>-214337</v>
      </c>
      <c r="EY201" s="229">
        <v>-0.3392</v>
      </c>
      <c r="EZ201" s="229">
        <v>0.11119999999999999</v>
      </c>
      <c r="FA201" s="227" t="s">
        <v>568</v>
      </c>
      <c r="FB201" s="161">
        <f t="shared" si="5"/>
        <v>0</v>
      </c>
    </row>
    <row r="202" spans="1:158" ht="17.25" thickBot="1" x14ac:dyDescent="0.3">
      <c r="A202" s="226">
        <v>45869</v>
      </c>
      <c r="B202" s="227" t="s">
        <v>184</v>
      </c>
      <c r="C202" s="227" t="s">
        <v>575</v>
      </c>
      <c r="D202" s="228">
        <v>175</v>
      </c>
      <c r="E202" s="231">
        <v>4323.5</v>
      </c>
      <c r="F202" s="231">
        <v>4299.1000000000004</v>
      </c>
      <c r="G202" s="228">
        <v>24.4</v>
      </c>
      <c r="H202" s="229">
        <v>5.7000000000000002E-3</v>
      </c>
      <c r="I202" s="231">
        <v>4306.8999999999996</v>
      </c>
      <c r="J202" s="231">
        <v>4279.2</v>
      </c>
      <c r="K202" s="228">
        <v>27.7</v>
      </c>
      <c r="L202" s="229">
        <v>6.4999999999999997E-3</v>
      </c>
      <c r="M202" s="231">
        <v>4299.7</v>
      </c>
      <c r="N202" s="231">
        <v>4275.7</v>
      </c>
      <c r="O202" s="228">
        <v>24</v>
      </c>
      <c r="P202" s="229">
        <v>5.5999999999999999E-3</v>
      </c>
      <c r="Q202" s="231">
        <v>4323.5</v>
      </c>
      <c r="R202" s="231">
        <v>4299.1000000000004</v>
      </c>
      <c r="S202" s="228">
        <v>24.4</v>
      </c>
      <c r="T202" s="229">
        <v>5.7000000000000002E-3</v>
      </c>
      <c r="U202" s="231">
        <v>4347.8</v>
      </c>
      <c r="V202" s="231">
        <v>4322.3</v>
      </c>
      <c r="W202" s="228">
        <v>25.5</v>
      </c>
      <c r="X202" s="229">
        <v>5.8999999999999999E-3</v>
      </c>
      <c r="Y202" s="228">
        <v>16.600000000000001</v>
      </c>
      <c r="Z202" s="228">
        <v>-3.5</v>
      </c>
      <c r="AA202" s="228">
        <v>20.100000000000001</v>
      </c>
      <c r="AB202" s="229">
        <v>3.8999999999999998E-3</v>
      </c>
      <c r="AC202" s="228">
        <v>-7.2</v>
      </c>
      <c r="AD202" s="228">
        <v>-3.5</v>
      </c>
      <c r="AE202" s="228">
        <v>-3.7</v>
      </c>
      <c r="AF202" s="229">
        <v>-1.6999999999999999E-3</v>
      </c>
      <c r="AG202" s="228">
        <v>16.600000000000001</v>
      </c>
      <c r="AH202" s="228">
        <v>19.899999999999999</v>
      </c>
      <c r="AI202" s="228">
        <v>-3.3</v>
      </c>
      <c r="AJ202" s="229">
        <v>3.8999999999999998E-3</v>
      </c>
      <c r="AK202" s="228">
        <v>40.9</v>
      </c>
      <c r="AL202" s="228">
        <v>43.1</v>
      </c>
      <c r="AM202" s="228">
        <v>-2.2000000000000002</v>
      </c>
      <c r="AN202" s="229">
        <v>9.4999999999999998E-3</v>
      </c>
      <c r="AO202" s="231">
        <v>4282.24</v>
      </c>
      <c r="AP202" s="231">
        <v>4304.04</v>
      </c>
      <c r="AQ202" s="228">
        <v>0</v>
      </c>
      <c r="AR202" s="230">
        <v>685300</v>
      </c>
      <c r="AS202" s="230">
        <v>915950</v>
      </c>
      <c r="AT202" s="230">
        <v>-230650</v>
      </c>
      <c r="AU202" s="229">
        <v>-0.25180000000000002</v>
      </c>
      <c r="AV202" s="230">
        <v>247800</v>
      </c>
      <c r="AW202" s="230">
        <v>428050</v>
      </c>
      <c r="AX202" s="230">
        <v>-180250</v>
      </c>
      <c r="AY202" s="229">
        <v>-0.42109999999999997</v>
      </c>
      <c r="AZ202" s="230">
        <v>435400</v>
      </c>
      <c r="BA202" s="230">
        <v>484925</v>
      </c>
      <c r="BB202" s="230">
        <v>-49525</v>
      </c>
      <c r="BC202" s="229">
        <v>-0.1021</v>
      </c>
      <c r="BD202" s="230">
        <v>2100</v>
      </c>
      <c r="BE202" s="230">
        <v>2975</v>
      </c>
      <c r="BF202" s="228">
        <v>-875</v>
      </c>
      <c r="BG202" s="229">
        <v>-0.29409999999999997</v>
      </c>
      <c r="BH202" s="230">
        <v>456400</v>
      </c>
      <c r="BI202" s="230">
        <v>752325</v>
      </c>
      <c r="BJ202" s="230">
        <v>-295925</v>
      </c>
      <c r="BK202" s="229">
        <v>-0.39329999999999998</v>
      </c>
      <c r="BL202" s="230">
        <v>516250</v>
      </c>
      <c r="BM202" s="230">
        <v>936600</v>
      </c>
      <c r="BN202" s="230">
        <v>-420350</v>
      </c>
      <c r="BO202" s="229">
        <v>-0.44879999999999998</v>
      </c>
      <c r="BP202" s="230">
        <v>1657950</v>
      </c>
      <c r="BQ202" s="230">
        <v>2604875</v>
      </c>
      <c r="BR202" s="230">
        <v>-946925</v>
      </c>
      <c r="BS202" s="229">
        <v>-0.36349999999999999</v>
      </c>
      <c r="BT202" s="230">
        <v>160017</v>
      </c>
      <c r="BU202" s="230">
        <v>124948</v>
      </c>
      <c r="BV202" s="230">
        <v>35069</v>
      </c>
      <c r="BW202" s="229">
        <v>0.28070000000000001</v>
      </c>
      <c r="BX202" s="230">
        <v>1395275</v>
      </c>
      <c r="BY202" s="230">
        <v>1438325</v>
      </c>
      <c r="BZ202" s="230">
        <v>-43050</v>
      </c>
      <c r="CA202" s="229">
        <v>-2.9899999999999999E-2</v>
      </c>
      <c r="CB202" s="230">
        <v>103600</v>
      </c>
      <c r="CC202" s="230">
        <v>169575</v>
      </c>
      <c r="CD202" s="230">
        <v>-65975</v>
      </c>
      <c r="CE202" s="229">
        <v>-0.3891</v>
      </c>
      <c r="CF202" s="230">
        <v>1383025</v>
      </c>
      <c r="CG202" s="230">
        <v>1257900</v>
      </c>
      <c r="CH202" s="230">
        <v>125125</v>
      </c>
      <c r="CI202" s="229">
        <v>9.9500000000000005E-2</v>
      </c>
      <c r="CJ202" s="230">
        <v>12250</v>
      </c>
      <c r="CK202" s="230">
        <v>10850</v>
      </c>
      <c r="CL202" s="230">
        <v>1400</v>
      </c>
      <c r="CM202" s="229">
        <v>0.129</v>
      </c>
      <c r="CN202" s="230">
        <v>105350</v>
      </c>
      <c r="CO202" s="230">
        <v>467075</v>
      </c>
      <c r="CP202" s="230">
        <v>-361725</v>
      </c>
      <c r="CQ202" s="229">
        <v>-0.77439999999999998</v>
      </c>
      <c r="CR202" s="230">
        <v>113225</v>
      </c>
      <c r="CS202" s="230">
        <v>460600</v>
      </c>
      <c r="CT202" s="230">
        <v>-347375</v>
      </c>
      <c r="CU202" s="229">
        <v>-0.75419999999999998</v>
      </c>
      <c r="CV202" s="230">
        <v>1613850</v>
      </c>
      <c r="CW202" s="230">
        <v>2366000</v>
      </c>
      <c r="CX202" s="230">
        <v>-752150</v>
      </c>
      <c r="CY202" s="229">
        <v>-0.31790000000000002</v>
      </c>
      <c r="CZ202" s="228">
        <v>31.93</v>
      </c>
      <c r="DA202" s="228">
        <v>34.270000000000003</v>
      </c>
      <c r="DB202" s="228">
        <v>-2.34</v>
      </c>
      <c r="DC202" s="228">
        <v>-2.34</v>
      </c>
      <c r="DD202" s="228">
        <v>43.87</v>
      </c>
      <c r="DE202" s="228">
        <v>43.98</v>
      </c>
      <c r="DF202" s="228">
        <v>-11.94</v>
      </c>
      <c r="DG202" s="228">
        <v>-0.11</v>
      </c>
      <c r="DH202" s="228">
        <v>32.01</v>
      </c>
      <c r="DI202" s="228">
        <v>33.71</v>
      </c>
      <c r="DJ202" s="228">
        <v>-1.7</v>
      </c>
      <c r="DK202" s="228">
        <v>-1.7</v>
      </c>
      <c r="DL202" s="228">
        <v>31.87</v>
      </c>
      <c r="DM202" s="228">
        <v>34.799999999999997</v>
      </c>
      <c r="DN202" s="228">
        <v>-2.93</v>
      </c>
      <c r="DO202" s="228">
        <v>-2.93</v>
      </c>
      <c r="DP202" s="228">
        <v>1.07</v>
      </c>
      <c r="DQ202" s="228">
        <v>0.99</v>
      </c>
      <c r="DR202" s="228">
        <v>0.08</v>
      </c>
      <c r="DS202" s="229">
        <v>8.0799999999999997E-2</v>
      </c>
      <c r="DT202" s="231">
        <v>4400</v>
      </c>
      <c r="DU202" s="231">
        <v>4000</v>
      </c>
      <c r="DV202" s="228">
        <v>1.1299999999999999</v>
      </c>
      <c r="DW202" s="228">
        <v>1.24</v>
      </c>
      <c r="DX202" s="228">
        <v>-0.11</v>
      </c>
      <c r="DY202" s="229">
        <v>-8.8700000000000001E-2</v>
      </c>
      <c r="DZ202" s="229">
        <v>0.93089999999999995</v>
      </c>
      <c r="EA202" s="230">
        <v>1268750</v>
      </c>
      <c r="EB202" s="229">
        <v>5.4999999999999997E-3</v>
      </c>
      <c r="EC202" s="229">
        <v>0.93089999999999995</v>
      </c>
      <c r="ED202" s="228">
        <v>21.8</v>
      </c>
      <c r="EE202" s="229">
        <v>5.1000000000000004E-3</v>
      </c>
      <c r="EF202" s="230">
        <v>70505</v>
      </c>
      <c r="EG202" s="230">
        <v>54287</v>
      </c>
      <c r="EH202" s="229">
        <v>0.29870000000000002</v>
      </c>
      <c r="EI202" s="229">
        <v>0.44059999999999999</v>
      </c>
      <c r="EJ202" s="231">
        <v>20357.72</v>
      </c>
      <c r="EK202" s="231">
        <v>21759.82</v>
      </c>
      <c r="EL202" s="231">
        <v>29441.9</v>
      </c>
      <c r="EM202" s="228">
        <v>0</v>
      </c>
      <c r="EN202" s="231">
        <v>71559.44</v>
      </c>
      <c r="EO202" s="231">
        <v>111765.79</v>
      </c>
      <c r="EP202" s="231">
        <v>-40206.35</v>
      </c>
      <c r="EQ202" s="229">
        <v>-0.35970000000000002</v>
      </c>
      <c r="ER202" s="231">
        <v>4720</v>
      </c>
      <c r="ES202" s="231">
        <v>4688</v>
      </c>
      <c r="ET202" s="231">
        <v>60328</v>
      </c>
      <c r="EU202" s="231">
        <v>12994611</v>
      </c>
      <c r="EV202" s="231">
        <v>69736</v>
      </c>
      <c r="EW202" s="231">
        <v>101486</v>
      </c>
      <c r="EX202" s="231">
        <v>-31750</v>
      </c>
      <c r="EY202" s="229">
        <v>-0.31290000000000001</v>
      </c>
      <c r="EZ202" s="229">
        <v>0.1242</v>
      </c>
      <c r="FA202" s="227" t="s">
        <v>556</v>
      </c>
      <c r="FB202" s="161">
        <f t="shared" si="5"/>
        <v>0</v>
      </c>
    </row>
    <row r="203" spans="1:158" ht="17.25" thickBot="1" x14ac:dyDescent="0.3">
      <c r="A203" s="226">
        <v>45869</v>
      </c>
      <c r="B203" s="227" t="s">
        <v>170</v>
      </c>
      <c r="C203" s="227" t="s">
        <v>520</v>
      </c>
      <c r="D203" s="228">
        <v>1000</v>
      </c>
      <c r="E203" s="228">
        <v>716.5</v>
      </c>
      <c r="F203" s="228">
        <v>724.65</v>
      </c>
      <c r="G203" s="228">
        <v>-8.15</v>
      </c>
      <c r="H203" s="229">
        <v>-1.12E-2</v>
      </c>
      <c r="I203" s="228">
        <v>714</v>
      </c>
      <c r="J203" s="228">
        <v>722.05</v>
      </c>
      <c r="K203" s="228">
        <v>-8.0500000000000007</v>
      </c>
      <c r="L203" s="229">
        <v>-1.11E-2</v>
      </c>
      <c r="M203" s="228">
        <v>713.25</v>
      </c>
      <c r="N203" s="228">
        <v>720.6</v>
      </c>
      <c r="O203" s="228">
        <v>-7.35</v>
      </c>
      <c r="P203" s="229">
        <v>-1.0200000000000001E-2</v>
      </c>
      <c r="Q203" s="228">
        <v>716.5</v>
      </c>
      <c r="R203" s="228">
        <v>724.65</v>
      </c>
      <c r="S203" s="228">
        <v>-8.15</v>
      </c>
      <c r="T203" s="229">
        <v>-1.12E-2</v>
      </c>
      <c r="U203" s="228">
        <v>721.2</v>
      </c>
      <c r="V203" s="228">
        <v>727.95</v>
      </c>
      <c r="W203" s="228">
        <v>-6.75</v>
      </c>
      <c r="X203" s="229">
        <v>-9.2999999999999992E-3</v>
      </c>
      <c r="Y203" s="228">
        <v>2.5</v>
      </c>
      <c r="Z203" s="228">
        <v>-1.45</v>
      </c>
      <c r="AA203" s="228">
        <v>3.95</v>
      </c>
      <c r="AB203" s="229">
        <v>3.5000000000000001E-3</v>
      </c>
      <c r="AC203" s="228">
        <v>-0.75</v>
      </c>
      <c r="AD203" s="228">
        <v>-1.45</v>
      </c>
      <c r="AE203" s="228">
        <v>0.7</v>
      </c>
      <c r="AF203" s="229">
        <v>-1.1000000000000001E-3</v>
      </c>
      <c r="AG203" s="228">
        <v>2.5</v>
      </c>
      <c r="AH203" s="228">
        <v>2.6</v>
      </c>
      <c r="AI203" s="228">
        <v>-0.1</v>
      </c>
      <c r="AJ203" s="229">
        <v>3.5000000000000001E-3</v>
      </c>
      <c r="AK203" s="228">
        <v>7.2</v>
      </c>
      <c r="AL203" s="228">
        <v>5.9</v>
      </c>
      <c r="AM203" s="228">
        <v>1.3</v>
      </c>
      <c r="AN203" s="229">
        <v>1.01E-2</v>
      </c>
      <c r="AO203" s="228">
        <v>711.52</v>
      </c>
      <c r="AP203" s="228">
        <v>714.68</v>
      </c>
      <c r="AQ203" s="228">
        <v>0</v>
      </c>
      <c r="AR203" s="230">
        <v>6578000</v>
      </c>
      <c r="AS203" s="230">
        <v>7978000</v>
      </c>
      <c r="AT203" s="230">
        <v>-1400000</v>
      </c>
      <c r="AU203" s="229">
        <v>-0.17549999999999999</v>
      </c>
      <c r="AV203" s="230">
        <v>2687000</v>
      </c>
      <c r="AW203" s="230">
        <v>3282000</v>
      </c>
      <c r="AX203" s="230">
        <v>-595000</v>
      </c>
      <c r="AY203" s="229">
        <v>-0.18129999999999999</v>
      </c>
      <c r="AZ203" s="230">
        <v>3868000</v>
      </c>
      <c r="BA203" s="230">
        <v>4626000</v>
      </c>
      <c r="BB203" s="230">
        <v>-758000</v>
      </c>
      <c r="BC203" s="229">
        <v>-0.16389999999999999</v>
      </c>
      <c r="BD203" s="230">
        <v>23000</v>
      </c>
      <c r="BE203" s="230">
        <v>70000</v>
      </c>
      <c r="BF203" s="230">
        <v>-47000</v>
      </c>
      <c r="BG203" s="229">
        <v>-0.6714</v>
      </c>
      <c r="BH203" s="230">
        <v>3299000</v>
      </c>
      <c r="BI203" s="230">
        <v>11057000</v>
      </c>
      <c r="BJ203" s="230">
        <v>-7758000</v>
      </c>
      <c r="BK203" s="229">
        <v>-0.7016</v>
      </c>
      <c r="BL203" s="230">
        <v>2565000</v>
      </c>
      <c r="BM203" s="230">
        <v>4101000</v>
      </c>
      <c r="BN203" s="230">
        <v>-1536000</v>
      </c>
      <c r="BO203" s="229">
        <v>-0.3745</v>
      </c>
      <c r="BP203" s="230">
        <v>12442000</v>
      </c>
      <c r="BQ203" s="230">
        <v>23136000</v>
      </c>
      <c r="BR203" s="230">
        <v>-10694000</v>
      </c>
      <c r="BS203" s="229">
        <v>-0.4622</v>
      </c>
      <c r="BT203" s="230">
        <v>895732</v>
      </c>
      <c r="BU203" s="230">
        <v>2672245</v>
      </c>
      <c r="BV203" s="230">
        <v>-1776513</v>
      </c>
      <c r="BW203" s="229">
        <v>-0.66479999999999995</v>
      </c>
      <c r="BX203" s="230">
        <v>8709000</v>
      </c>
      <c r="BY203" s="230">
        <v>9881000</v>
      </c>
      <c r="BZ203" s="230">
        <v>-1172000</v>
      </c>
      <c r="CA203" s="229">
        <v>-0.1186</v>
      </c>
      <c r="CB203" s="230">
        <v>435000</v>
      </c>
      <c r="CC203" s="230">
        <v>1692000</v>
      </c>
      <c r="CD203" s="230">
        <v>-1257000</v>
      </c>
      <c r="CE203" s="229">
        <v>-0.7429</v>
      </c>
      <c r="CF203" s="230">
        <v>8603000</v>
      </c>
      <c r="CG203" s="230">
        <v>8078000</v>
      </c>
      <c r="CH203" s="230">
        <v>525000</v>
      </c>
      <c r="CI203" s="229">
        <v>6.5000000000000002E-2</v>
      </c>
      <c r="CJ203" s="230">
        <v>106000</v>
      </c>
      <c r="CK203" s="230">
        <v>111000</v>
      </c>
      <c r="CL203" s="230">
        <v>-5000</v>
      </c>
      <c r="CM203" s="229">
        <v>-4.4999999999999998E-2</v>
      </c>
      <c r="CN203" s="230">
        <v>1327000</v>
      </c>
      <c r="CO203" s="230">
        <v>3244000</v>
      </c>
      <c r="CP203" s="230">
        <v>-1917000</v>
      </c>
      <c r="CQ203" s="229">
        <v>-0.59089999999999998</v>
      </c>
      <c r="CR203" s="230">
        <v>1004000</v>
      </c>
      <c r="CS203" s="230">
        <v>3002000</v>
      </c>
      <c r="CT203" s="230">
        <v>-1998000</v>
      </c>
      <c r="CU203" s="229">
        <v>-0.66559999999999997</v>
      </c>
      <c r="CV203" s="230">
        <v>11040000</v>
      </c>
      <c r="CW203" s="230">
        <v>16127000</v>
      </c>
      <c r="CX203" s="230">
        <v>-5087000</v>
      </c>
      <c r="CY203" s="229">
        <v>-0.31540000000000001</v>
      </c>
      <c r="CZ203" s="228">
        <v>25.38</v>
      </c>
      <c r="DA203" s="228">
        <v>26.18</v>
      </c>
      <c r="DB203" s="228">
        <v>-0.8</v>
      </c>
      <c r="DC203" s="228">
        <v>-0.8</v>
      </c>
      <c r="DD203" s="228">
        <v>34.07</v>
      </c>
      <c r="DE203" s="228">
        <v>34.119999999999997</v>
      </c>
      <c r="DF203" s="228">
        <v>-8.69</v>
      </c>
      <c r="DG203" s="228">
        <v>-0.05</v>
      </c>
      <c r="DH203" s="228">
        <v>25.43</v>
      </c>
      <c r="DI203" s="228">
        <v>26.16</v>
      </c>
      <c r="DJ203" s="228">
        <v>-0.73</v>
      </c>
      <c r="DK203" s="228">
        <v>-0.73</v>
      </c>
      <c r="DL203" s="228">
        <v>25.3</v>
      </c>
      <c r="DM203" s="228">
        <v>26.28</v>
      </c>
      <c r="DN203" s="228">
        <v>-0.98</v>
      </c>
      <c r="DO203" s="228">
        <v>-0.98</v>
      </c>
      <c r="DP203" s="228">
        <v>0.76</v>
      </c>
      <c r="DQ203" s="228">
        <v>0.93</v>
      </c>
      <c r="DR203" s="228">
        <v>-0.17</v>
      </c>
      <c r="DS203" s="229">
        <v>-0.18279999999999999</v>
      </c>
      <c r="DT203" s="228">
        <v>720</v>
      </c>
      <c r="DU203" s="228">
        <v>700</v>
      </c>
      <c r="DV203" s="228">
        <v>0.78</v>
      </c>
      <c r="DW203" s="228">
        <v>0.37</v>
      </c>
      <c r="DX203" s="228">
        <v>0.41</v>
      </c>
      <c r="DY203" s="229">
        <v>1.1081000000000001</v>
      </c>
      <c r="DZ203" s="229">
        <v>0.95240000000000002</v>
      </c>
      <c r="EA203" s="230">
        <v>8189000</v>
      </c>
      <c r="EB203" s="229">
        <v>4.5999999999999999E-3</v>
      </c>
      <c r="EC203" s="229">
        <v>0.95240000000000002</v>
      </c>
      <c r="ED203" s="228">
        <v>3.16</v>
      </c>
      <c r="EE203" s="229">
        <v>4.4000000000000003E-3</v>
      </c>
      <c r="EF203" s="230">
        <v>355753</v>
      </c>
      <c r="EG203" s="230">
        <v>1378263</v>
      </c>
      <c r="EH203" s="229">
        <v>-0.7419</v>
      </c>
      <c r="EI203" s="229">
        <v>0.3972</v>
      </c>
      <c r="EJ203" s="231">
        <v>24333.7</v>
      </c>
      <c r="EK203" s="231">
        <v>17848.16</v>
      </c>
      <c r="EL203" s="231">
        <v>46927.32</v>
      </c>
      <c r="EM203" s="228">
        <v>0</v>
      </c>
      <c r="EN203" s="231">
        <v>89109.18</v>
      </c>
      <c r="EO203" s="231">
        <v>168319.44</v>
      </c>
      <c r="EP203" s="231">
        <v>-79210.259999999995</v>
      </c>
      <c r="EQ203" s="229">
        <v>-0.47060000000000002</v>
      </c>
      <c r="ER203" s="231">
        <v>9655</v>
      </c>
      <c r="ES203" s="231">
        <v>6824</v>
      </c>
      <c r="ET203" s="231">
        <v>62405</v>
      </c>
      <c r="EU203" s="231">
        <v>37816323</v>
      </c>
      <c r="EV203" s="231">
        <v>78884</v>
      </c>
      <c r="EW203" s="231">
        <v>114543</v>
      </c>
      <c r="EX203" s="231">
        <v>-35659</v>
      </c>
      <c r="EY203" s="229">
        <v>-0.31130000000000002</v>
      </c>
      <c r="EZ203" s="229">
        <v>0.29189999999999999</v>
      </c>
      <c r="FA203" s="227" t="s">
        <v>568</v>
      </c>
      <c r="FB203" s="161">
        <f t="shared" si="5"/>
        <v>0</v>
      </c>
    </row>
    <row r="204" spans="1:158" ht="17.25" thickBot="1" x14ac:dyDescent="0.3">
      <c r="A204" s="226">
        <v>45869</v>
      </c>
      <c r="B204" s="227" t="s">
        <v>498</v>
      </c>
      <c r="C204" s="227" t="s">
        <v>290</v>
      </c>
      <c r="D204" s="228">
        <v>650</v>
      </c>
      <c r="E204" s="228">
        <v>986.55</v>
      </c>
      <c r="F204" s="231">
        <v>1005.7</v>
      </c>
      <c r="G204" s="228">
        <v>-19.149999999999999</v>
      </c>
      <c r="H204" s="229">
        <v>-1.9E-2</v>
      </c>
      <c r="I204" s="228">
        <v>982.55</v>
      </c>
      <c r="J204" s="231">
        <v>1001.35</v>
      </c>
      <c r="K204" s="228">
        <v>-18.8</v>
      </c>
      <c r="L204" s="229">
        <v>-1.8800000000000001E-2</v>
      </c>
      <c r="M204" s="228">
        <v>982.85</v>
      </c>
      <c r="N204" s="231">
        <v>1001.8</v>
      </c>
      <c r="O204" s="228">
        <v>-18.95</v>
      </c>
      <c r="P204" s="229">
        <v>-1.89E-2</v>
      </c>
      <c r="Q204" s="228">
        <v>986.55</v>
      </c>
      <c r="R204" s="231">
        <v>1005.7</v>
      </c>
      <c r="S204" s="228">
        <v>-19.149999999999999</v>
      </c>
      <c r="T204" s="229">
        <v>-1.9E-2</v>
      </c>
      <c r="U204" s="228">
        <v>991.65</v>
      </c>
      <c r="V204" s="231">
        <v>1010.85</v>
      </c>
      <c r="W204" s="228">
        <v>-19.2</v>
      </c>
      <c r="X204" s="229">
        <v>-1.9E-2</v>
      </c>
      <c r="Y204" s="228">
        <v>4</v>
      </c>
      <c r="Z204" s="228">
        <v>0.45</v>
      </c>
      <c r="AA204" s="228">
        <v>3.55</v>
      </c>
      <c r="AB204" s="229">
        <v>4.1000000000000003E-3</v>
      </c>
      <c r="AC204" s="228">
        <v>0.3</v>
      </c>
      <c r="AD204" s="228">
        <v>0.45</v>
      </c>
      <c r="AE204" s="228">
        <v>-0.15</v>
      </c>
      <c r="AF204" s="229">
        <v>2.9999999999999997E-4</v>
      </c>
      <c r="AG204" s="228">
        <v>4</v>
      </c>
      <c r="AH204" s="228">
        <v>4.3499999999999996</v>
      </c>
      <c r="AI204" s="228">
        <v>-0.35</v>
      </c>
      <c r="AJ204" s="229">
        <v>4.1000000000000003E-3</v>
      </c>
      <c r="AK204" s="228">
        <v>9.1</v>
      </c>
      <c r="AL204" s="228">
        <v>9.5</v>
      </c>
      <c r="AM204" s="228">
        <v>-0.4</v>
      </c>
      <c r="AN204" s="229">
        <v>9.2999999999999992E-3</v>
      </c>
      <c r="AO204" s="228">
        <v>988.17</v>
      </c>
      <c r="AP204" s="228">
        <v>993.38</v>
      </c>
      <c r="AQ204" s="228">
        <v>0</v>
      </c>
      <c r="AR204" s="230">
        <v>5982600</v>
      </c>
      <c r="AS204" s="230">
        <v>8147100</v>
      </c>
      <c r="AT204" s="230">
        <v>-2164500</v>
      </c>
      <c r="AU204" s="229">
        <v>-0.26569999999999999</v>
      </c>
      <c r="AV204" s="230">
        <v>2378350</v>
      </c>
      <c r="AW204" s="230">
        <v>3127800</v>
      </c>
      <c r="AX204" s="230">
        <v>-749450</v>
      </c>
      <c r="AY204" s="229">
        <v>-0.23960000000000001</v>
      </c>
      <c r="AZ204" s="230">
        <v>3511950</v>
      </c>
      <c r="BA204" s="230">
        <v>4916600</v>
      </c>
      <c r="BB204" s="230">
        <v>-1404650</v>
      </c>
      <c r="BC204" s="229">
        <v>-0.28570000000000001</v>
      </c>
      <c r="BD204" s="230">
        <v>92300</v>
      </c>
      <c r="BE204" s="230">
        <v>102700</v>
      </c>
      <c r="BF204" s="230">
        <v>-10400</v>
      </c>
      <c r="BG204" s="229">
        <v>-0.1013</v>
      </c>
      <c r="BH204" s="230">
        <v>7483450</v>
      </c>
      <c r="BI204" s="230">
        <v>25977250</v>
      </c>
      <c r="BJ204" s="230">
        <v>-18493800</v>
      </c>
      <c r="BK204" s="229">
        <v>-0.71189999999999998</v>
      </c>
      <c r="BL204" s="230">
        <v>4449900</v>
      </c>
      <c r="BM204" s="230">
        <v>11393850</v>
      </c>
      <c r="BN204" s="230">
        <v>-6943950</v>
      </c>
      <c r="BO204" s="229">
        <v>-0.60940000000000005</v>
      </c>
      <c r="BP204" s="230">
        <v>17915950</v>
      </c>
      <c r="BQ204" s="230">
        <v>45518200</v>
      </c>
      <c r="BR204" s="230">
        <v>-27602250</v>
      </c>
      <c r="BS204" s="229">
        <v>-0.60640000000000005</v>
      </c>
      <c r="BT204" s="230">
        <v>867098</v>
      </c>
      <c r="BU204" s="230">
        <v>2284387</v>
      </c>
      <c r="BV204" s="230">
        <v>-1417289</v>
      </c>
      <c r="BW204" s="229">
        <v>-0.62039999999999995</v>
      </c>
      <c r="BX204" s="230">
        <v>7345650</v>
      </c>
      <c r="BY204" s="230">
        <v>8706750</v>
      </c>
      <c r="BZ204" s="230">
        <v>-1361100</v>
      </c>
      <c r="CA204" s="229">
        <v>-0.15629999999999999</v>
      </c>
      <c r="CB204" s="230">
        <v>965900</v>
      </c>
      <c r="CC204" s="230">
        <v>1808950</v>
      </c>
      <c r="CD204" s="230">
        <v>-843050</v>
      </c>
      <c r="CE204" s="229">
        <v>-0.46600000000000003</v>
      </c>
      <c r="CF204" s="230">
        <v>7198750</v>
      </c>
      <c r="CG204" s="230">
        <v>6763900</v>
      </c>
      <c r="CH204" s="230">
        <v>434850</v>
      </c>
      <c r="CI204" s="229">
        <v>6.4299999999999996E-2</v>
      </c>
      <c r="CJ204" s="230">
        <v>146900</v>
      </c>
      <c r="CK204" s="230">
        <v>133900</v>
      </c>
      <c r="CL204" s="230">
        <v>13000</v>
      </c>
      <c r="CM204" s="229">
        <v>9.7100000000000006E-2</v>
      </c>
      <c r="CN204" s="230">
        <v>4035200</v>
      </c>
      <c r="CO204" s="230">
        <v>7332650</v>
      </c>
      <c r="CP204" s="230">
        <v>-3297450</v>
      </c>
      <c r="CQ204" s="229">
        <v>-0.44969999999999999</v>
      </c>
      <c r="CR204" s="230">
        <v>2432950</v>
      </c>
      <c r="CS204" s="230">
        <v>5770050</v>
      </c>
      <c r="CT204" s="230">
        <v>-3337100</v>
      </c>
      <c r="CU204" s="229">
        <v>-0.57830000000000004</v>
      </c>
      <c r="CV204" s="230">
        <v>13813800</v>
      </c>
      <c r="CW204" s="230">
        <v>21809450</v>
      </c>
      <c r="CX204" s="230">
        <v>-7995650</v>
      </c>
      <c r="CY204" s="229">
        <v>-0.36659999999999998</v>
      </c>
      <c r="CZ204" s="228">
        <v>27.95</v>
      </c>
      <c r="DA204" s="228">
        <v>27.94</v>
      </c>
      <c r="DB204" s="228">
        <v>0.01</v>
      </c>
      <c r="DC204" s="228">
        <v>0.01</v>
      </c>
      <c r="DD204" s="228">
        <v>36.549999999999997</v>
      </c>
      <c r="DE204" s="228">
        <v>36.549999999999997</v>
      </c>
      <c r="DF204" s="228">
        <v>-8.6</v>
      </c>
      <c r="DG204" s="228">
        <v>0</v>
      </c>
      <c r="DH204" s="228">
        <v>28.34</v>
      </c>
      <c r="DI204" s="228">
        <v>27.99</v>
      </c>
      <c r="DJ204" s="228">
        <v>0.35</v>
      </c>
      <c r="DK204" s="228">
        <v>0.35</v>
      </c>
      <c r="DL204" s="228">
        <v>27.27</v>
      </c>
      <c r="DM204" s="228">
        <v>27.79</v>
      </c>
      <c r="DN204" s="228">
        <v>-0.52</v>
      </c>
      <c r="DO204" s="228">
        <v>-0.52</v>
      </c>
      <c r="DP204" s="228">
        <v>0.6</v>
      </c>
      <c r="DQ204" s="228">
        <v>0.79</v>
      </c>
      <c r="DR204" s="228">
        <v>-0.19</v>
      </c>
      <c r="DS204" s="229">
        <v>-0.24049999999999999</v>
      </c>
      <c r="DT204" s="231">
        <v>1100</v>
      </c>
      <c r="DU204" s="228">
        <v>900</v>
      </c>
      <c r="DV204" s="228">
        <v>0.59</v>
      </c>
      <c r="DW204" s="228">
        <v>0.44</v>
      </c>
      <c r="DX204" s="228">
        <v>0.15</v>
      </c>
      <c r="DY204" s="229">
        <v>0.34089999999999998</v>
      </c>
      <c r="DZ204" s="229">
        <v>0.88380000000000003</v>
      </c>
      <c r="EA204" s="230">
        <v>6897800</v>
      </c>
      <c r="EB204" s="229">
        <v>3.8E-3</v>
      </c>
      <c r="EC204" s="229">
        <v>0.88380000000000003</v>
      </c>
      <c r="ED204" s="228">
        <v>5.21</v>
      </c>
      <c r="EE204" s="229">
        <v>5.3E-3</v>
      </c>
      <c r="EF204" s="230">
        <v>362106</v>
      </c>
      <c r="EG204" s="230">
        <v>636984</v>
      </c>
      <c r="EH204" s="229">
        <v>-0.43149999999999999</v>
      </c>
      <c r="EI204" s="229">
        <v>0.41760000000000003</v>
      </c>
      <c r="EJ204" s="231">
        <v>77669.8</v>
      </c>
      <c r="EK204" s="231">
        <v>43951.86</v>
      </c>
      <c r="EL204" s="231">
        <v>59311.69</v>
      </c>
      <c r="EM204" s="228">
        <v>0</v>
      </c>
      <c r="EN204" s="231">
        <v>180933.35</v>
      </c>
      <c r="EO204" s="231">
        <v>464752.18</v>
      </c>
      <c r="EP204" s="231">
        <v>-283818.83</v>
      </c>
      <c r="EQ204" s="229">
        <v>-0.61070000000000002</v>
      </c>
      <c r="ER204" s="231">
        <v>41783</v>
      </c>
      <c r="ES204" s="231">
        <v>23037</v>
      </c>
      <c r="ET204" s="231">
        <v>72476</v>
      </c>
      <c r="EU204" s="231">
        <v>31601465</v>
      </c>
      <c r="EV204" s="231">
        <v>137297</v>
      </c>
      <c r="EW204" s="231">
        <v>216231</v>
      </c>
      <c r="EX204" s="231">
        <v>-78934</v>
      </c>
      <c r="EY204" s="229">
        <v>-0.36499999999999999</v>
      </c>
      <c r="EZ204" s="229">
        <v>0.43709999999999999</v>
      </c>
      <c r="FA204" s="227" t="s">
        <v>568</v>
      </c>
      <c r="FB204" s="161">
        <f t="shared" si="5"/>
        <v>0</v>
      </c>
    </row>
    <row r="205" spans="1:158" ht="17.25" thickBot="1" x14ac:dyDescent="0.3">
      <c r="A205" s="226">
        <v>45869</v>
      </c>
      <c r="B205" s="227" t="s">
        <v>188</v>
      </c>
      <c r="C205" s="227" t="s">
        <v>552</v>
      </c>
      <c r="D205" s="228">
        <v>350</v>
      </c>
      <c r="E205" s="228">
        <v>0</v>
      </c>
      <c r="F205" s="228">
        <v>0</v>
      </c>
      <c r="G205" s="228">
        <v>0</v>
      </c>
      <c r="H205" s="229">
        <v>0</v>
      </c>
      <c r="I205" s="231">
        <v>1724.7</v>
      </c>
      <c r="J205" s="231">
        <v>1758.6</v>
      </c>
      <c r="K205" s="228">
        <v>-33.9</v>
      </c>
      <c r="L205" s="229">
        <v>-1.9300000000000001E-2</v>
      </c>
      <c r="M205" s="231">
        <v>1726.4</v>
      </c>
      <c r="N205" s="231">
        <v>1758</v>
      </c>
      <c r="O205" s="228">
        <v>-31.6</v>
      </c>
      <c r="P205" s="229">
        <v>-1.7999999999999999E-2</v>
      </c>
      <c r="Q205" s="228">
        <v>0</v>
      </c>
      <c r="R205" s="228">
        <v>0</v>
      </c>
      <c r="S205" s="228">
        <v>0</v>
      </c>
      <c r="T205" s="229">
        <v>0</v>
      </c>
      <c r="U205" s="228">
        <v>0</v>
      </c>
      <c r="V205" s="228">
        <v>0</v>
      </c>
      <c r="W205" s="228">
        <v>0</v>
      </c>
      <c r="X205" s="229">
        <v>0</v>
      </c>
      <c r="Y205" s="228">
        <v>0</v>
      </c>
      <c r="Z205" s="228">
        <v>-0.6</v>
      </c>
      <c r="AA205" s="228">
        <v>0</v>
      </c>
      <c r="AB205" s="229">
        <v>0</v>
      </c>
      <c r="AC205" s="228">
        <v>1.7</v>
      </c>
      <c r="AD205" s="228">
        <v>-0.6</v>
      </c>
      <c r="AE205" s="228">
        <v>2.2999999999999998</v>
      </c>
      <c r="AF205" s="229">
        <v>1E-3</v>
      </c>
      <c r="AG205" s="228">
        <v>0</v>
      </c>
      <c r="AH205" s="228">
        <v>0</v>
      </c>
      <c r="AI205" s="228">
        <v>0</v>
      </c>
      <c r="AJ205" s="229">
        <v>0</v>
      </c>
      <c r="AK205" s="228">
        <v>0</v>
      </c>
      <c r="AL205" s="228">
        <v>0</v>
      </c>
      <c r="AM205" s="228">
        <v>0</v>
      </c>
      <c r="AN205" s="229">
        <v>0</v>
      </c>
      <c r="AO205" s="231">
        <v>1742.88</v>
      </c>
      <c r="AP205" s="228">
        <v>0</v>
      </c>
      <c r="AQ205" s="228">
        <v>0</v>
      </c>
      <c r="AR205" s="230">
        <v>818300</v>
      </c>
      <c r="AS205" s="230">
        <v>954450</v>
      </c>
      <c r="AT205" s="230">
        <v>-136150</v>
      </c>
      <c r="AU205" s="229">
        <v>-0.1426</v>
      </c>
      <c r="AV205" s="230">
        <v>818300</v>
      </c>
      <c r="AW205" s="230">
        <v>954450</v>
      </c>
      <c r="AX205" s="230">
        <v>-136150</v>
      </c>
      <c r="AY205" s="229">
        <v>-0.1426</v>
      </c>
      <c r="AZ205" s="228">
        <v>0</v>
      </c>
      <c r="BA205" s="228">
        <v>0</v>
      </c>
      <c r="BB205" s="228">
        <v>0</v>
      </c>
      <c r="BC205" s="229">
        <v>0</v>
      </c>
      <c r="BD205" s="228">
        <v>0</v>
      </c>
      <c r="BE205" s="228">
        <v>0</v>
      </c>
      <c r="BF205" s="228">
        <v>0</v>
      </c>
      <c r="BG205" s="229">
        <v>0</v>
      </c>
      <c r="BH205" s="230">
        <v>950950</v>
      </c>
      <c r="BI205" s="230">
        <v>2003050</v>
      </c>
      <c r="BJ205" s="230">
        <v>-1052100</v>
      </c>
      <c r="BK205" s="229">
        <v>-0.5252</v>
      </c>
      <c r="BL205" s="230">
        <v>708750</v>
      </c>
      <c r="BM205" s="230">
        <v>771050</v>
      </c>
      <c r="BN205" s="230">
        <v>-62300</v>
      </c>
      <c r="BO205" s="229">
        <v>-8.0799999999999997E-2</v>
      </c>
      <c r="BP205" s="230">
        <v>2478000</v>
      </c>
      <c r="BQ205" s="230">
        <v>3728550</v>
      </c>
      <c r="BR205" s="230">
        <v>-1250550</v>
      </c>
      <c r="BS205" s="229">
        <v>-0.33539999999999998</v>
      </c>
      <c r="BT205" s="230">
        <v>650184</v>
      </c>
      <c r="BU205" s="230">
        <v>393290</v>
      </c>
      <c r="BV205" s="230">
        <v>256894</v>
      </c>
      <c r="BW205" s="229">
        <v>0.6532</v>
      </c>
      <c r="BX205" s="228">
        <v>0</v>
      </c>
      <c r="BY205" s="230">
        <v>1035650</v>
      </c>
      <c r="BZ205" s="230">
        <v>-1035650</v>
      </c>
      <c r="CA205" s="229">
        <v>-1</v>
      </c>
      <c r="CB205" s="230">
        <v>745500</v>
      </c>
      <c r="CC205" s="230">
        <v>1035650</v>
      </c>
      <c r="CD205" s="230">
        <v>-290150</v>
      </c>
      <c r="CE205" s="229">
        <v>-0.2802</v>
      </c>
      <c r="CF205" s="228">
        <v>0</v>
      </c>
      <c r="CG205" s="228">
        <v>0</v>
      </c>
      <c r="CH205" s="228">
        <v>0</v>
      </c>
      <c r="CI205" s="229">
        <v>0</v>
      </c>
      <c r="CJ205" s="228">
        <v>0</v>
      </c>
      <c r="CK205" s="228">
        <v>0</v>
      </c>
      <c r="CL205" s="228">
        <v>0</v>
      </c>
      <c r="CM205" s="229">
        <v>0</v>
      </c>
      <c r="CN205" s="230">
        <v>1275050</v>
      </c>
      <c r="CO205" s="230">
        <v>1655150</v>
      </c>
      <c r="CP205" s="230">
        <v>-380100</v>
      </c>
      <c r="CQ205" s="229">
        <v>-0.2296</v>
      </c>
      <c r="CR205" s="230">
        <v>906150</v>
      </c>
      <c r="CS205" s="230">
        <v>1042300</v>
      </c>
      <c r="CT205" s="230">
        <v>-136150</v>
      </c>
      <c r="CU205" s="229">
        <v>-0.13059999999999999</v>
      </c>
      <c r="CV205" s="230">
        <v>2181200</v>
      </c>
      <c r="CW205" s="230">
        <v>3733100</v>
      </c>
      <c r="CX205" s="230">
        <v>-1551900</v>
      </c>
      <c r="CY205" s="229">
        <v>-0.41570000000000001</v>
      </c>
      <c r="CZ205" s="228">
        <v>32.99</v>
      </c>
      <c r="DA205" s="228">
        <v>32.99</v>
      </c>
      <c r="DB205" s="228">
        <v>0</v>
      </c>
      <c r="DC205" s="228">
        <v>0</v>
      </c>
      <c r="DD205" s="228">
        <v>32.99</v>
      </c>
      <c r="DE205" s="228">
        <v>32.99</v>
      </c>
      <c r="DF205" s="228">
        <v>0</v>
      </c>
      <c r="DG205" s="228">
        <v>0</v>
      </c>
      <c r="DH205" s="228">
        <v>32.99</v>
      </c>
      <c r="DI205" s="228">
        <v>32.99</v>
      </c>
      <c r="DJ205" s="228">
        <v>0</v>
      </c>
      <c r="DK205" s="228">
        <v>0</v>
      </c>
      <c r="DL205" s="228">
        <v>32.99</v>
      </c>
      <c r="DM205" s="228">
        <v>32.99</v>
      </c>
      <c r="DN205" s="228">
        <v>0</v>
      </c>
      <c r="DO205" s="228">
        <v>0</v>
      </c>
      <c r="DP205" s="228">
        <v>0.71</v>
      </c>
      <c r="DQ205" s="228">
        <v>0.63</v>
      </c>
      <c r="DR205" s="228">
        <v>0.08</v>
      </c>
      <c r="DS205" s="229">
        <v>0.127</v>
      </c>
      <c r="DT205" s="231">
        <v>1800</v>
      </c>
      <c r="DU205" s="231">
        <v>1680</v>
      </c>
      <c r="DV205" s="228">
        <v>0.75</v>
      </c>
      <c r="DW205" s="228">
        <v>0.38</v>
      </c>
      <c r="DX205" s="228">
        <v>0.37</v>
      </c>
      <c r="DY205" s="229">
        <v>0.97370000000000001</v>
      </c>
      <c r="DZ205" s="229">
        <v>0</v>
      </c>
      <c r="EA205" s="228">
        <v>0</v>
      </c>
      <c r="EB205" s="229">
        <v>0</v>
      </c>
      <c r="EC205" s="229">
        <v>0</v>
      </c>
      <c r="ED205" s="228">
        <v>0</v>
      </c>
      <c r="EE205" s="229">
        <v>0</v>
      </c>
      <c r="EF205" s="230">
        <v>273000</v>
      </c>
      <c r="EG205" s="230">
        <v>180103</v>
      </c>
      <c r="EH205" s="229">
        <v>0.51580000000000004</v>
      </c>
      <c r="EI205" s="229">
        <v>0.4199</v>
      </c>
      <c r="EJ205" s="231">
        <v>17218.75</v>
      </c>
      <c r="EK205" s="231">
        <v>12315.45</v>
      </c>
      <c r="EL205" s="231">
        <v>14261.99</v>
      </c>
      <c r="EM205" s="228">
        <v>0</v>
      </c>
      <c r="EN205" s="231">
        <v>43796.19</v>
      </c>
      <c r="EO205" s="231">
        <v>66183.59</v>
      </c>
      <c r="EP205" s="231">
        <v>-22387.4</v>
      </c>
      <c r="EQ205" s="229">
        <v>-0.33829999999999999</v>
      </c>
      <c r="ER205" s="228">
        <v>0</v>
      </c>
      <c r="ES205" s="228">
        <v>0</v>
      </c>
      <c r="ET205" s="228">
        <v>0</v>
      </c>
      <c r="EU205" s="231">
        <v>23447901</v>
      </c>
      <c r="EV205" s="228">
        <v>0</v>
      </c>
      <c r="EW205" s="231">
        <v>66248</v>
      </c>
      <c r="EX205" s="231">
        <v>-66248</v>
      </c>
      <c r="EY205" s="229">
        <v>-1</v>
      </c>
      <c r="EZ205" s="229">
        <v>9.2999999999999999E-2</v>
      </c>
      <c r="FA205" s="227" t="s">
        <v>237</v>
      </c>
      <c r="FB205" s="161">
        <f t="shared" si="5"/>
        <v>0</v>
      </c>
    </row>
    <row r="206" spans="1:158" ht="17.25" thickBot="1" x14ac:dyDescent="0.3">
      <c r="A206" s="226">
        <v>45869</v>
      </c>
      <c r="B206" s="227" t="s">
        <v>168</v>
      </c>
      <c r="C206" s="227" t="s">
        <v>291</v>
      </c>
      <c r="D206" s="228">
        <v>550</v>
      </c>
      <c r="E206" s="231">
        <v>1076.4000000000001</v>
      </c>
      <c r="F206" s="231">
        <v>1079.3</v>
      </c>
      <c r="G206" s="228">
        <v>-2.9</v>
      </c>
      <c r="H206" s="229">
        <v>-2.7000000000000001E-3</v>
      </c>
      <c r="I206" s="231">
        <v>1073.2</v>
      </c>
      <c r="J206" s="231">
        <v>1073.0999999999999</v>
      </c>
      <c r="K206" s="228">
        <v>0.1</v>
      </c>
      <c r="L206" s="229">
        <v>1E-4</v>
      </c>
      <c r="M206" s="231">
        <v>1071.3</v>
      </c>
      <c r="N206" s="231">
        <v>1073.8</v>
      </c>
      <c r="O206" s="228">
        <v>-2.5</v>
      </c>
      <c r="P206" s="229">
        <v>-2.3E-3</v>
      </c>
      <c r="Q206" s="231">
        <v>1076.4000000000001</v>
      </c>
      <c r="R206" s="231">
        <v>1079.3</v>
      </c>
      <c r="S206" s="228">
        <v>-2.9</v>
      </c>
      <c r="T206" s="229">
        <v>-2.7000000000000001E-3</v>
      </c>
      <c r="U206" s="231">
        <v>1082.5</v>
      </c>
      <c r="V206" s="231">
        <v>1086.5999999999999</v>
      </c>
      <c r="W206" s="228">
        <v>-4.0999999999999996</v>
      </c>
      <c r="X206" s="229">
        <v>-3.8E-3</v>
      </c>
      <c r="Y206" s="228">
        <v>3.2</v>
      </c>
      <c r="Z206" s="228">
        <v>0.7</v>
      </c>
      <c r="AA206" s="228">
        <v>2.5</v>
      </c>
      <c r="AB206" s="229">
        <v>3.0000000000000001E-3</v>
      </c>
      <c r="AC206" s="228">
        <v>-1.9</v>
      </c>
      <c r="AD206" s="228">
        <v>0.7</v>
      </c>
      <c r="AE206" s="228">
        <v>-2.6</v>
      </c>
      <c r="AF206" s="229">
        <v>-1.8E-3</v>
      </c>
      <c r="AG206" s="228">
        <v>3.2</v>
      </c>
      <c r="AH206" s="228">
        <v>6.2</v>
      </c>
      <c r="AI206" s="228">
        <v>-3</v>
      </c>
      <c r="AJ206" s="229">
        <v>3.0000000000000001E-3</v>
      </c>
      <c r="AK206" s="228">
        <v>9.3000000000000007</v>
      </c>
      <c r="AL206" s="228">
        <v>13.5</v>
      </c>
      <c r="AM206" s="228">
        <v>-4.2</v>
      </c>
      <c r="AN206" s="229">
        <v>8.6999999999999994E-3</v>
      </c>
      <c r="AO206" s="231">
        <v>1071.1099999999999</v>
      </c>
      <c r="AP206" s="231">
        <v>1076.06</v>
      </c>
      <c r="AQ206" s="228">
        <v>0</v>
      </c>
      <c r="AR206" s="230">
        <v>4336750</v>
      </c>
      <c r="AS206" s="230">
        <v>9265850</v>
      </c>
      <c r="AT206" s="230">
        <v>-4929100</v>
      </c>
      <c r="AU206" s="229">
        <v>-0.53200000000000003</v>
      </c>
      <c r="AV206" s="230">
        <v>1581800</v>
      </c>
      <c r="AW206" s="230">
        <v>4491850</v>
      </c>
      <c r="AX206" s="230">
        <v>-2910050</v>
      </c>
      <c r="AY206" s="229">
        <v>-0.64790000000000003</v>
      </c>
      <c r="AZ206" s="230">
        <v>2694450</v>
      </c>
      <c r="BA206" s="230">
        <v>4744850</v>
      </c>
      <c r="BB206" s="230">
        <v>-2050400</v>
      </c>
      <c r="BC206" s="229">
        <v>-0.43209999999999998</v>
      </c>
      <c r="BD206" s="230">
        <v>60500</v>
      </c>
      <c r="BE206" s="230">
        <v>29150</v>
      </c>
      <c r="BF206" s="230">
        <v>31350</v>
      </c>
      <c r="BG206" s="229">
        <v>1.0754999999999999</v>
      </c>
      <c r="BH206" s="230">
        <v>5604500</v>
      </c>
      <c r="BI206" s="230">
        <v>9732250</v>
      </c>
      <c r="BJ206" s="230">
        <v>-4127750</v>
      </c>
      <c r="BK206" s="229">
        <v>-0.42409999999999998</v>
      </c>
      <c r="BL206" s="230">
        <v>1625800</v>
      </c>
      <c r="BM206" s="230">
        <v>2691150</v>
      </c>
      <c r="BN206" s="230">
        <v>-1065350</v>
      </c>
      <c r="BO206" s="229">
        <v>-0.39589999999999997</v>
      </c>
      <c r="BP206" s="230">
        <v>11567050</v>
      </c>
      <c r="BQ206" s="230">
        <v>21689250</v>
      </c>
      <c r="BR206" s="230">
        <v>-10122200</v>
      </c>
      <c r="BS206" s="229">
        <v>-0.4667</v>
      </c>
      <c r="BT206" s="230">
        <v>1145817</v>
      </c>
      <c r="BU206" s="230">
        <v>1233767</v>
      </c>
      <c r="BV206" s="230">
        <v>-87950</v>
      </c>
      <c r="BW206" s="229">
        <v>-7.1300000000000002E-2</v>
      </c>
      <c r="BX206" s="230">
        <v>14513400</v>
      </c>
      <c r="BY206" s="230">
        <v>15337850</v>
      </c>
      <c r="BZ206" s="230">
        <v>-824450</v>
      </c>
      <c r="CA206" s="229">
        <v>-5.3800000000000001E-2</v>
      </c>
      <c r="CB206" s="230">
        <v>493350</v>
      </c>
      <c r="CC206" s="230">
        <v>1472900</v>
      </c>
      <c r="CD206" s="230">
        <v>-979550</v>
      </c>
      <c r="CE206" s="229">
        <v>-0.66500000000000004</v>
      </c>
      <c r="CF206" s="230">
        <v>14403400</v>
      </c>
      <c r="CG206" s="230">
        <v>13785750</v>
      </c>
      <c r="CH206" s="230">
        <v>617650</v>
      </c>
      <c r="CI206" s="229">
        <v>4.48E-2</v>
      </c>
      <c r="CJ206" s="230">
        <v>110000</v>
      </c>
      <c r="CK206" s="230">
        <v>79200</v>
      </c>
      <c r="CL206" s="230">
        <v>30800</v>
      </c>
      <c r="CM206" s="229">
        <v>0.38890000000000002</v>
      </c>
      <c r="CN206" s="230">
        <v>1746800</v>
      </c>
      <c r="CO206" s="230">
        <v>6321150</v>
      </c>
      <c r="CP206" s="230">
        <v>-4574350</v>
      </c>
      <c r="CQ206" s="229">
        <v>-0.72370000000000001</v>
      </c>
      <c r="CR206" s="230">
        <v>1216050</v>
      </c>
      <c r="CS206" s="230">
        <v>4041400</v>
      </c>
      <c r="CT206" s="230">
        <v>-2825350</v>
      </c>
      <c r="CU206" s="229">
        <v>-0.69910000000000005</v>
      </c>
      <c r="CV206" s="230">
        <v>17476250</v>
      </c>
      <c r="CW206" s="230">
        <v>25700400</v>
      </c>
      <c r="CX206" s="230">
        <v>-8224150</v>
      </c>
      <c r="CY206" s="229">
        <v>-0.32</v>
      </c>
      <c r="CZ206" s="228">
        <v>22.67</v>
      </c>
      <c r="DA206" s="228">
        <v>22.44</v>
      </c>
      <c r="DB206" s="228">
        <v>0.23</v>
      </c>
      <c r="DC206" s="228">
        <v>0.23</v>
      </c>
      <c r="DD206" s="228">
        <v>28</v>
      </c>
      <c r="DE206" s="228">
        <v>28.07</v>
      </c>
      <c r="DF206" s="228">
        <v>-5.33</v>
      </c>
      <c r="DG206" s="228">
        <v>-7.0000000000000007E-2</v>
      </c>
      <c r="DH206" s="228">
        <v>22.69</v>
      </c>
      <c r="DI206" s="228">
        <v>22.12</v>
      </c>
      <c r="DJ206" s="228">
        <v>0.56999999999999995</v>
      </c>
      <c r="DK206" s="228">
        <v>0.56999999999999995</v>
      </c>
      <c r="DL206" s="228">
        <v>22.59</v>
      </c>
      <c r="DM206" s="228">
        <v>23.25</v>
      </c>
      <c r="DN206" s="228">
        <v>-0.66</v>
      </c>
      <c r="DO206" s="228">
        <v>-0.66</v>
      </c>
      <c r="DP206" s="228">
        <v>0.7</v>
      </c>
      <c r="DQ206" s="228">
        <v>0.64</v>
      </c>
      <c r="DR206" s="228">
        <v>0.06</v>
      </c>
      <c r="DS206" s="229">
        <v>9.3700000000000006E-2</v>
      </c>
      <c r="DT206" s="231">
        <v>1230</v>
      </c>
      <c r="DU206" s="228">
        <v>980</v>
      </c>
      <c r="DV206" s="228">
        <v>0.28999999999999998</v>
      </c>
      <c r="DW206" s="228">
        <v>0.28000000000000003</v>
      </c>
      <c r="DX206" s="228">
        <v>0.01</v>
      </c>
      <c r="DY206" s="229">
        <v>3.5700000000000003E-2</v>
      </c>
      <c r="DZ206" s="229">
        <v>0.96709999999999996</v>
      </c>
      <c r="EA206" s="230">
        <v>13864950</v>
      </c>
      <c r="EB206" s="229">
        <v>4.7999999999999996E-3</v>
      </c>
      <c r="EC206" s="229">
        <v>0.96709999999999996</v>
      </c>
      <c r="ED206" s="228">
        <v>4.95</v>
      </c>
      <c r="EE206" s="229">
        <v>4.5999999999999999E-3</v>
      </c>
      <c r="EF206" s="230">
        <v>582150</v>
      </c>
      <c r="EG206" s="230">
        <v>556614</v>
      </c>
      <c r="EH206" s="229">
        <v>4.5900000000000003E-2</v>
      </c>
      <c r="EI206" s="229">
        <v>0.5081</v>
      </c>
      <c r="EJ206" s="231">
        <v>62304.51</v>
      </c>
      <c r="EK206" s="231">
        <v>17361.02</v>
      </c>
      <c r="EL206" s="231">
        <v>46590.65</v>
      </c>
      <c r="EM206" s="228">
        <v>0</v>
      </c>
      <c r="EN206" s="231">
        <v>126256.18</v>
      </c>
      <c r="EO206" s="231">
        <v>236092.94</v>
      </c>
      <c r="EP206" s="231">
        <v>-109836.76</v>
      </c>
      <c r="EQ206" s="229">
        <v>-0.4652</v>
      </c>
      <c r="ER206" s="231">
        <v>19672</v>
      </c>
      <c r="ES206" s="231">
        <v>12393</v>
      </c>
      <c r="ET206" s="231">
        <v>156229</v>
      </c>
      <c r="EU206" s="231">
        <v>130936945</v>
      </c>
      <c r="EV206" s="231">
        <v>188294</v>
      </c>
      <c r="EW206" s="231">
        <v>279415</v>
      </c>
      <c r="EX206" s="231">
        <v>-91121</v>
      </c>
      <c r="EY206" s="229">
        <v>-0.3261</v>
      </c>
      <c r="EZ206" s="229">
        <v>0.13350000000000001</v>
      </c>
      <c r="FA206" s="227" t="s">
        <v>568</v>
      </c>
      <c r="FB206" s="161">
        <f t="shared" si="5"/>
        <v>0</v>
      </c>
    </row>
    <row r="207" spans="1:158" ht="17.25" thickBot="1" x14ac:dyDescent="0.3">
      <c r="A207" s="226">
        <v>45869</v>
      </c>
      <c r="B207" s="227" t="s">
        <v>221</v>
      </c>
      <c r="C207" s="227" t="s">
        <v>605</v>
      </c>
      <c r="D207" s="228">
        <v>100</v>
      </c>
      <c r="E207" s="231">
        <v>6009.5</v>
      </c>
      <c r="F207" s="231">
        <v>6068</v>
      </c>
      <c r="G207" s="228">
        <v>-58.5</v>
      </c>
      <c r="H207" s="229">
        <v>-9.5999999999999992E-3</v>
      </c>
      <c r="I207" s="231">
        <v>6093.5</v>
      </c>
      <c r="J207" s="231">
        <v>6101</v>
      </c>
      <c r="K207" s="228">
        <v>-7.5</v>
      </c>
      <c r="L207" s="229">
        <v>-1.1999999999999999E-3</v>
      </c>
      <c r="M207" s="231">
        <v>6104.5</v>
      </c>
      <c r="N207" s="231">
        <v>6103.5</v>
      </c>
      <c r="O207" s="228">
        <v>1</v>
      </c>
      <c r="P207" s="229">
        <v>2.0000000000000001E-4</v>
      </c>
      <c r="Q207" s="231">
        <v>6009.5</v>
      </c>
      <c r="R207" s="231">
        <v>6068</v>
      </c>
      <c r="S207" s="228">
        <v>-58.5</v>
      </c>
      <c r="T207" s="229">
        <v>-9.5999999999999992E-3</v>
      </c>
      <c r="U207" s="231">
        <v>5982</v>
      </c>
      <c r="V207" s="231">
        <v>6048.5</v>
      </c>
      <c r="W207" s="228">
        <v>-66.5</v>
      </c>
      <c r="X207" s="229">
        <v>-1.0999999999999999E-2</v>
      </c>
      <c r="Y207" s="228">
        <v>-84</v>
      </c>
      <c r="Z207" s="228">
        <v>2.5</v>
      </c>
      <c r="AA207" s="228">
        <v>-86.5</v>
      </c>
      <c r="AB207" s="229">
        <v>-1.38E-2</v>
      </c>
      <c r="AC207" s="228">
        <v>11</v>
      </c>
      <c r="AD207" s="228">
        <v>2.5</v>
      </c>
      <c r="AE207" s="228">
        <v>8.5</v>
      </c>
      <c r="AF207" s="229">
        <v>1.8E-3</v>
      </c>
      <c r="AG207" s="228">
        <v>-84</v>
      </c>
      <c r="AH207" s="228">
        <v>-33</v>
      </c>
      <c r="AI207" s="228">
        <v>-51</v>
      </c>
      <c r="AJ207" s="229">
        <v>-1.38E-2</v>
      </c>
      <c r="AK207" s="228">
        <v>-111.5</v>
      </c>
      <c r="AL207" s="228">
        <v>-52.5</v>
      </c>
      <c r="AM207" s="228">
        <v>-59</v>
      </c>
      <c r="AN207" s="229">
        <v>-1.83E-2</v>
      </c>
      <c r="AO207" s="231">
        <v>6061.78</v>
      </c>
      <c r="AP207" s="231">
        <v>5996.29</v>
      </c>
      <c r="AQ207" s="228">
        <v>0</v>
      </c>
      <c r="AR207" s="230">
        <v>1098300</v>
      </c>
      <c r="AS207" s="230">
        <v>1337400</v>
      </c>
      <c r="AT207" s="230">
        <v>-239100</v>
      </c>
      <c r="AU207" s="229">
        <v>-0.17879999999999999</v>
      </c>
      <c r="AV207" s="230">
        <v>532300</v>
      </c>
      <c r="AW207" s="230">
        <v>654000</v>
      </c>
      <c r="AX207" s="230">
        <v>-121700</v>
      </c>
      <c r="AY207" s="229">
        <v>-0.18609999999999999</v>
      </c>
      <c r="AZ207" s="230">
        <v>556100</v>
      </c>
      <c r="BA207" s="230">
        <v>676500</v>
      </c>
      <c r="BB207" s="230">
        <v>-120400</v>
      </c>
      <c r="BC207" s="229">
        <v>-0.17799999999999999</v>
      </c>
      <c r="BD207" s="230">
        <v>9900</v>
      </c>
      <c r="BE207" s="230">
        <v>6900</v>
      </c>
      <c r="BF207" s="230">
        <v>3000</v>
      </c>
      <c r="BG207" s="229">
        <v>0.43480000000000002</v>
      </c>
      <c r="BH207" s="230">
        <v>506400</v>
      </c>
      <c r="BI207" s="230">
        <v>639200</v>
      </c>
      <c r="BJ207" s="230">
        <v>-132800</v>
      </c>
      <c r="BK207" s="229">
        <v>-0.20780000000000001</v>
      </c>
      <c r="BL207" s="230">
        <v>381300</v>
      </c>
      <c r="BM207" s="230">
        <v>332400</v>
      </c>
      <c r="BN207" s="230">
        <v>48900</v>
      </c>
      <c r="BO207" s="229">
        <v>0.14710000000000001</v>
      </c>
      <c r="BP207" s="230">
        <v>1986000</v>
      </c>
      <c r="BQ207" s="230">
        <v>2309000</v>
      </c>
      <c r="BR207" s="230">
        <v>-323000</v>
      </c>
      <c r="BS207" s="229">
        <v>-0.1399</v>
      </c>
      <c r="BT207" s="230">
        <v>143338</v>
      </c>
      <c r="BU207" s="230">
        <v>104139</v>
      </c>
      <c r="BV207" s="230">
        <v>39199</v>
      </c>
      <c r="BW207" s="229">
        <v>0.37640000000000001</v>
      </c>
      <c r="BX207" s="230">
        <v>2032100</v>
      </c>
      <c r="BY207" s="230">
        <v>2373600</v>
      </c>
      <c r="BZ207" s="230">
        <v>-341500</v>
      </c>
      <c r="CA207" s="229">
        <v>-0.1439</v>
      </c>
      <c r="CB207" s="230">
        <v>82800</v>
      </c>
      <c r="CC207" s="230">
        <v>417100</v>
      </c>
      <c r="CD207" s="230">
        <v>-334300</v>
      </c>
      <c r="CE207" s="229">
        <v>-0.80149999999999999</v>
      </c>
      <c r="CF207" s="230">
        <v>2010700</v>
      </c>
      <c r="CG207" s="230">
        <v>1939500</v>
      </c>
      <c r="CH207" s="230">
        <v>71200</v>
      </c>
      <c r="CI207" s="229">
        <v>3.6700000000000003E-2</v>
      </c>
      <c r="CJ207" s="230">
        <v>21400</v>
      </c>
      <c r="CK207" s="230">
        <v>17000</v>
      </c>
      <c r="CL207" s="230">
        <v>4400</v>
      </c>
      <c r="CM207" s="229">
        <v>0.25879999999999997</v>
      </c>
      <c r="CN207" s="230">
        <v>165000</v>
      </c>
      <c r="CO207" s="230">
        <v>585100</v>
      </c>
      <c r="CP207" s="230">
        <v>-420100</v>
      </c>
      <c r="CQ207" s="229">
        <v>-0.71799999999999997</v>
      </c>
      <c r="CR207" s="230">
        <v>118500</v>
      </c>
      <c r="CS207" s="230">
        <v>477400</v>
      </c>
      <c r="CT207" s="230">
        <v>-358900</v>
      </c>
      <c r="CU207" s="229">
        <v>-0.75180000000000002</v>
      </c>
      <c r="CV207" s="230">
        <v>2315600</v>
      </c>
      <c r="CW207" s="230">
        <v>3436100</v>
      </c>
      <c r="CX207" s="230">
        <v>-1120500</v>
      </c>
      <c r="CY207" s="229">
        <v>-0.3261</v>
      </c>
      <c r="CZ207" s="228">
        <v>26.53</v>
      </c>
      <c r="DA207" s="228">
        <v>25.66</v>
      </c>
      <c r="DB207" s="228">
        <v>0.87</v>
      </c>
      <c r="DC207" s="228">
        <v>0.87</v>
      </c>
      <c r="DD207" s="228">
        <v>38.33</v>
      </c>
      <c r="DE207" s="228">
        <v>38.4</v>
      </c>
      <c r="DF207" s="228">
        <v>-11.8</v>
      </c>
      <c r="DG207" s="228">
        <v>-7.0000000000000007E-2</v>
      </c>
      <c r="DH207" s="228">
        <v>27.03</v>
      </c>
      <c r="DI207" s="228">
        <v>25.67</v>
      </c>
      <c r="DJ207" s="228">
        <v>1.36</v>
      </c>
      <c r="DK207" s="228">
        <v>1.36</v>
      </c>
      <c r="DL207" s="228">
        <v>25.78</v>
      </c>
      <c r="DM207" s="228">
        <v>25.64</v>
      </c>
      <c r="DN207" s="228">
        <v>0.14000000000000001</v>
      </c>
      <c r="DO207" s="228">
        <v>0.14000000000000001</v>
      </c>
      <c r="DP207" s="228">
        <v>0.72</v>
      </c>
      <c r="DQ207" s="228">
        <v>0.82</v>
      </c>
      <c r="DR207" s="228">
        <v>-0.1</v>
      </c>
      <c r="DS207" s="229">
        <v>-0.122</v>
      </c>
      <c r="DT207" s="231">
        <v>6500</v>
      </c>
      <c r="DU207" s="231">
        <v>6000</v>
      </c>
      <c r="DV207" s="228">
        <v>0.75</v>
      </c>
      <c r="DW207" s="228">
        <v>0.52</v>
      </c>
      <c r="DX207" s="228">
        <v>0.23</v>
      </c>
      <c r="DY207" s="229">
        <v>0.44230000000000003</v>
      </c>
      <c r="DZ207" s="229">
        <v>0.96079999999999999</v>
      </c>
      <c r="EA207" s="230">
        <v>1956500</v>
      </c>
      <c r="EB207" s="229">
        <v>-1.5599999999999999E-2</v>
      </c>
      <c r="EC207" s="229">
        <v>0.96079999999999999</v>
      </c>
      <c r="ED207" s="228">
        <v>-65.489999999999995</v>
      </c>
      <c r="EE207" s="229">
        <v>-1.0800000000000001E-2</v>
      </c>
      <c r="EF207" s="230">
        <v>59056</v>
      </c>
      <c r="EG207" s="230">
        <v>23665</v>
      </c>
      <c r="EH207" s="229">
        <v>1.4955000000000001</v>
      </c>
      <c r="EI207" s="229">
        <v>0.41199999999999998</v>
      </c>
      <c r="EJ207" s="231">
        <v>32272.42</v>
      </c>
      <c r="EK207" s="231">
        <v>22820.92</v>
      </c>
      <c r="EL207" s="231">
        <v>66204.800000000003</v>
      </c>
      <c r="EM207" s="228">
        <v>0</v>
      </c>
      <c r="EN207" s="231">
        <v>121298.14</v>
      </c>
      <c r="EO207" s="231">
        <v>142020</v>
      </c>
      <c r="EP207" s="231">
        <v>-20721.86</v>
      </c>
      <c r="EQ207" s="229">
        <v>-0.1459</v>
      </c>
      <c r="ER207" s="231">
        <v>10504</v>
      </c>
      <c r="ES207" s="231">
        <v>7050</v>
      </c>
      <c r="ET207" s="231">
        <v>122113</v>
      </c>
      <c r="EU207" s="231">
        <v>6987041</v>
      </c>
      <c r="EV207" s="231">
        <v>139667</v>
      </c>
      <c r="EW207" s="231">
        <v>210145</v>
      </c>
      <c r="EX207" s="231">
        <v>-70478</v>
      </c>
      <c r="EY207" s="229">
        <v>-0.33539999999999998</v>
      </c>
      <c r="EZ207" s="229">
        <v>0.33139999999999997</v>
      </c>
      <c r="FA207" s="227" t="s">
        <v>568</v>
      </c>
      <c r="FB207" s="161">
        <f t="shared" si="5"/>
        <v>0</v>
      </c>
    </row>
    <row r="208" spans="1:158" ht="17.25" thickBot="1" x14ac:dyDescent="0.3">
      <c r="A208" s="226">
        <v>45869</v>
      </c>
      <c r="B208" s="227" t="s">
        <v>162</v>
      </c>
      <c r="C208" s="227" t="s">
        <v>292</v>
      </c>
      <c r="D208" s="228">
        <v>800</v>
      </c>
      <c r="E208" s="228">
        <v>668.4</v>
      </c>
      <c r="F208" s="228">
        <v>671.3</v>
      </c>
      <c r="G208" s="228">
        <v>-2.9</v>
      </c>
      <c r="H208" s="229">
        <v>-4.3E-3</v>
      </c>
      <c r="I208" s="228">
        <v>665.95</v>
      </c>
      <c r="J208" s="228">
        <v>668.45</v>
      </c>
      <c r="K208" s="228">
        <v>-2.5</v>
      </c>
      <c r="L208" s="229">
        <v>-3.7000000000000002E-3</v>
      </c>
      <c r="M208" s="228">
        <v>664.35</v>
      </c>
      <c r="N208" s="228">
        <v>667.85</v>
      </c>
      <c r="O208" s="228">
        <v>-3.5</v>
      </c>
      <c r="P208" s="229">
        <v>-5.1999999999999998E-3</v>
      </c>
      <c r="Q208" s="228">
        <v>668.4</v>
      </c>
      <c r="R208" s="228">
        <v>671.3</v>
      </c>
      <c r="S208" s="228">
        <v>-2.9</v>
      </c>
      <c r="T208" s="229">
        <v>-4.3E-3</v>
      </c>
      <c r="U208" s="228">
        <v>672.5</v>
      </c>
      <c r="V208" s="228">
        <v>675.35</v>
      </c>
      <c r="W208" s="228">
        <v>-2.85</v>
      </c>
      <c r="X208" s="229">
        <v>-4.1999999999999997E-3</v>
      </c>
      <c r="Y208" s="228">
        <v>2.4500000000000002</v>
      </c>
      <c r="Z208" s="228">
        <v>-0.6</v>
      </c>
      <c r="AA208" s="228">
        <v>3.05</v>
      </c>
      <c r="AB208" s="229">
        <v>3.7000000000000002E-3</v>
      </c>
      <c r="AC208" s="228">
        <v>-1.6</v>
      </c>
      <c r="AD208" s="228">
        <v>-0.6</v>
      </c>
      <c r="AE208" s="228">
        <v>-1</v>
      </c>
      <c r="AF208" s="229">
        <v>-2.3999999999999998E-3</v>
      </c>
      <c r="AG208" s="228">
        <v>2.4500000000000002</v>
      </c>
      <c r="AH208" s="228">
        <v>2.85</v>
      </c>
      <c r="AI208" s="228">
        <v>-0.4</v>
      </c>
      <c r="AJ208" s="229">
        <v>3.7000000000000002E-3</v>
      </c>
      <c r="AK208" s="228">
        <v>6.55</v>
      </c>
      <c r="AL208" s="228">
        <v>6.9</v>
      </c>
      <c r="AM208" s="228">
        <v>-0.35</v>
      </c>
      <c r="AN208" s="229">
        <v>9.7999999999999997E-3</v>
      </c>
      <c r="AO208" s="228">
        <v>666.43</v>
      </c>
      <c r="AP208" s="228">
        <v>669.1</v>
      </c>
      <c r="AQ208" s="228">
        <v>0</v>
      </c>
      <c r="AR208" s="230">
        <v>46949600</v>
      </c>
      <c r="AS208" s="230">
        <v>53896000</v>
      </c>
      <c r="AT208" s="230">
        <v>-6946400</v>
      </c>
      <c r="AU208" s="229">
        <v>-0.12889999999999999</v>
      </c>
      <c r="AV208" s="230">
        <v>17751200</v>
      </c>
      <c r="AW208" s="230">
        <v>21563200</v>
      </c>
      <c r="AX208" s="230">
        <v>-3812000</v>
      </c>
      <c r="AY208" s="229">
        <v>-0.17680000000000001</v>
      </c>
      <c r="AZ208" s="230">
        <v>27985600</v>
      </c>
      <c r="BA208" s="230">
        <v>30783200</v>
      </c>
      <c r="BB208" s="230">
        <v>-2797600</v>
      </c>
      <c r="BC208" s="229">
        <v>-9.0899999999999995E-2</v>
      </c>
      <c r="BD208" s="230">
        <v>1212800</v>
      </c>
      <c r="BE208" s="230">
        <v>1549600</v>
      </c>
      <c r="BF208" s="230">
        <v>-336800</v>
      </c>
      <c r="BG208" s="229">
        <v>-0.21729999999999999</v>
      </c>
      <c r="BH208" s="230">
        <v>58356800</v>
      </c>
      <c r="BI208" s="230">
        <v>89120000</v>
      </c>
      <c r="BJ208" s="230">
        <v>-30763200</v>
      </c>
      <c r="BK208" s="229">
        <v>-0.34520000000000001</v>
      </c>
      <c r="BL208" s="230">
        <v>40889600</v>
      </c>
      <c r="BM208" s="230">
        <v>66366400</v>
      </c>
      <c r="BN208" s="230">
        <v>-25476800</v>
      </c>
      <c r="BO208" s="229">
        <v>-0.38390000000000002</v>
      </c>
      <c r="BP208" s="230">
        <v>146196000</v>
      </c>
      <c r="BQ208" s="230">
        <v>209382400</v>
      </c>
      <c r="BR208" s="230">
        <v>-63186400</v>
      </c>
      <c r="BS208" s="229">
        <v>-0.30180000000000001</v>
      </c>
      <c r="BT208" s="230">
        <v>19565166</v>
      </c>
      <c r="BU208" s="230">
        <v>20408715</v>
      </c>
      <c r="BV208" s="230">
        <v>-843549</v>
      </c>
      <c r="BW208" s="229">
        <v>-4.1300000000000003E-2</v>
      </c>
      <c r="BX208" s="230">
        <v>77906400</v>
      </c>
      <c r="BY208" s="230">
        <v>81015200</v>
      </c>
      <c r="BZ208" s="230">
        <v>-3108800</v>
      </c>
      <c r="CA208" s="229">
        <v>-3.8399999999999997E-2</v>
      </c>
      <c r="CB208" s="230">
        <v>4037600</v>
      </c>
      <c r="CC208" s="230">
        <v>13879200</v>
      </c>
      <c r="CD208" s="230">
        <v>-9841600</v>
      </c>
      <c r="CE208" s="229">
        <v>-0.70909999999999995</v>
      </c>
      <c r="CF208" s="230">
        <v>74623200</v>
      </c>
      <c r="CG208" s="230">
        <v>64235200</v>
      </c>
      <c r="CH208" s="230">
        <v>10388000</v>
      </c>
      <c r="CI208" s="229">
        <v>0.16170000000000001</v>
      </c>
      <c r="CJ208" s="230">
        <v>3283200</v>
      </c>
      <c r="CK208" s="230">
        <v>2900800</v>
      </c>
      <c r="CL208" s="230">
        <v>382400</v>
      </c>
      <c r="CM208" s="229">
        <v>0.1318</v>
      </c>
      <c r="CN208" s="230">
        <v>21041600</v>
      </c>
      <c r="CO208" s="230">
        <v>44016000</v>
      </c>
      <c r="CP208" s="230">
        <v>-22974400</v>
      </c>
      <c r="CQ208" s="229">
        <v>-0.52200000000000002</v>
      </c>
      <c r="CR208" s="230">
        <v>18430400</v>
      </c>
      <c r="CS208" s="230">
        <v>29596000</v>
      </c>
      <c r="CT208" s="230">
        <v>-11165600</v>
      </c>
      <c r="CU208" s="229">
        <v>-0.37730000000000002</v>
      </c>
      <c r="CV208" s="230">
        <v>117378400</v>
      </c>
      <c r="CW208" s="230">
        <v>154627200</v>
      </c>
      <c r="CX208" s="230">
        <v>-37248800</v>
      </c>
      <c r="CY208" s="229">
        <v>-0.2409</v>
      </c>
      <c r="CZ208" s="228">
        <v>32.36</v>
      </c>
      <c r="DA208" s="228">
        <v>32.22</v>
      </c>
      <c r="DB208" s="228">
        <v>0.14000000000000001</v>
      </c>
      <c r="DC208" s="228">
        <v>0.14000000000000001</v>
      </c>
      <c r="DD208" s="228">
        <v>36.44</v>
      </c>
      <c r="DE208" s="228">
        <v>36.53</v>
      </c>
      <c r="DF208" s="228">
        <v>-4.08</v>
      </c>
      <c r="DG208" s="228">
        <v>-0.09</v>
      </c>
      <c r="DH208" s="228">
        <v>32.270000000000003</v>
      </c>
      <c r="DI208" s="228">
        <v>32.090000000000003</v>
      </c>
      <c r="DJ208" s="228">
        <v>0.18</v>
      </c>
      <c r="DK208" s="228">
        <v>0.18</v>
      </c>
      <c r="DL208" s="228">
        <v>32.49</v>
      </c>
      <c r="DM208" s="228">
        <v>32.4</v>
      </c>
      <c r="DN208" s="228">
        <v>0.09</v>
      </c>
      <c r="DO208" s="228">
        <v>0.09</v>
      </c>
      <c r="DP208" s="228">
        <v>0.88</v>
      </c>
      <c r="DQ208" s="228">
        <v>0.67</v>
      </c>
      <c r="DR208" s="228">
        <v>0.21</v>
      </c>
      <c r="DS208" s="229">
        <v>0.31340000000000001</v>
      </c>
      <c r="DT208" s="228">
        <v>700</v>
      </c>
      <c r="DU208" s="228">
        <v>800</v>
      </c>
      <c r="DV208" s="228">
        <v>0.7</v>
      </c>
      <c r="DW208" s="228">
        <v>0.74</v>
      </c>
      <c r="DX208" s="228">
        <v>-0.04</v>
      </c>
      <c r="DY208" s="229">
        <v>-5.4100000000000002E-2</v>
      </c>
      <c r="DZ208" s="229">
        <v>0.95069999999999999</v>
      </c>
      <c r="EA208" s="230">
        <v>67136000</v>
      </c>
      <c r="EB208" s="229">
        <v>6.1000000000000004E-3</v>
      </c>
      <c r="EC208" s="229">
        <v>0.95069999999999999</v>
      </c>
      <c r="ED208" s="228">
        <v>2.67</v>
      </c>
      <c r="EE208" s="229">
        <v>4.0000000000000001E-3</v>
      </c>
      <c r="EF208" s="230">
        <v>9060107</v>
      </c>
      <c r="EG208" s="230">
        <v>9551812</v>
      </c>
      <c r="EH208" s="229">
        <v>-5.1499999999999997E-2</v>
      </c>
      <c r="EI208" s="229">
        <v>0.46310000000000001</v>
      </c>
      <c r="EJ208" s="231">
        <v>410705.06</v>
      </c>
      <c r="EK208" s="231">
        <v>276541.42</v>
      </c>
      <c r="EL208" s="231">
        <v>313704.31</v>
      </c>
      <c r="EM208" s="228">
        <v>0</v>
      </c>
      <c r="EN208" s="231">
        <v>1000950.79</v>
      </c>
      <c r="EO208" s="231">
        <v>1436797.61</v>
      </c>
      <c r="EP208" s="231">
        <v>-435846.82</v>
      </c>
      <c r="EQ208" s="229">
        <v>-0.30330000000000001</v>
      </c>
      <c r="ER208" s="231">
        <v>150120</v>
      </c>
      <c r="ES208" s="231">
        <v>125297</v>
      </c>
      <c r="ET208" s="231">
        <v>520861</v>
      </c>
      <c r="EU208" s="231">
        <v>422796029</v>
      </c>
      <c r="EV208" s="231">
        <v>796279</v>
      </c>
      <c r="EW208" s="231">
        <v>1061790</v>
      </c>
      <c r="EX208" s="231">
        <v>-265511</v>
      </c>
      <c r="EY208" s="229">
        <v>-0.25009999999999999</v>
      </c>
      <c r="EZ208" s="229">
        <v>0.27760000000000001</v>
      </c>
      <c r="FA208" s="227" t="s">
        <v>568</v>
      </c>
      <c r="FB208" s="161">
        <f t="shared" si="5"/>
        <v>0</v>
      </c>
    </row>
    <row r="209" spans="1:158" ht="17.25" thickBot="1" x14ac:dyDescent="0.3">
      <c r="A209" s="226">
        <v>45869</v>
      </c>
      <c r="B209" s="227" t="s">
        <v>161</v>
      </c>
      <c r="C209" s="227" t="s">
        <v>293</v>
      </c>
      <c r="D209" s="228">
        <v>1450</v>
      </c>
      <c r="E209" s="228">
        <v>399.7</v>
      </c>
      <c r="F209" s="228">
        <v>403.05</v>
      </c>
      <c r="G209" s="228">
        <v>-3.35</v>
      </c>
      <c r="H209" s="229">
        <v>-8.3000000000000001E-3</v>
      </c>
      <c r="I209" s="228">
        <v>397.75</v>
      </c>
      <c r="J209" s="228">
        <v>401.35</v>
      </c>
      <c r="K209" s="228">
        <v>-3.6</v>
      </c>
      <c r="L209" s="229">
        <v>-8.9999999999999993E-3</v>
      </c>
      <c r="M209" s="228">
        <v>397.55</v>
      </c>
      <c r="N209" s="228">
        <v>401.05</v>
      </c>
      <c r="O209" s="228">
        <v>-3.5</v>
      </c>
      <c r="P209" s="229">
        <v>-8.6999999999999994E-3</v>
      </c>
      <c r="Q209" s="228">
        <v>399.7</v>
      </c>
      <c r="R209" s="228">
        <v>403.05</v>
      </c>
      <c r="S209" s="228">
        <v>-3.35</v>
      </c>
      <c r="T209" s="229">
        <v>-8.3000000000000001E-3</v>
      </c>
      <c r="U209" s="228">
        <v>401.85</v>
      </c>
      <c r="V209" s="228">
        <v>405.5</v>
      </c>
      <c r="W209" s="228">
        <v>-3.65</v>
      </c>
      <c r="X209" s="229">
        <v>-8.9999999999999993E-3</v>
      </c>
      <c r="Y209" s="228">
        <v>1.95</v>
      </c>
      <c r="Z209" s="228">
        <v>-0.3</v>
      </c>
      <c r="AA209" s="228">
        <v>2.25</v>
      </c>
      <c r="AB209" s="229">
        <v>4.8999999999999998E-3</v>
      </c>
      <c r="AC209" s="228">
        <v>-0.2</v>
      </c>
      <c r="AD209" s="228">
        <v>-0.3</v>
      </c>
      <c r="AE209" s="228">
        <v>0.1</v>
      </c>
      <c r="AF209" s="229">
        <v>-5.0000000000000001E-4</v>
      </c>
      <c r="AG209" s="228">
        <v>1.95</v>
      </c>
      <c r="AH209" s="228">
        <v>1.7</v>
      </c>
      <c r="AI209" s="228">
        <v>0.25</v>
      </c>
      <c r="AJ209" s="229">
        <v>4.8999999999999998E-3</v>
      </c>
      <c r="AK209" s="228">
        <v>4.0999999999999996</v>
      </c>
      <c r="AL209" s="228">
        <v>4.1500000000000004</v>
      </c>
      <c r="AM209" s="228">
        <v>-0.05</v>
      </c>
      <c r="AN209" s="229">
        <v>1.03E-2</v>
      </c>
      <c r="AO209" s="228">
        <v>398.18</v>
      </c>
      <c r="AP209" s="228">
        <v>400.26</v>
      </c>
      <c r="AQ209" s="228">
        <v>0</v>
      </c>
      <c r="AR209" s="230">
        <v>30957500</v>
      </c>
      <c r="AS209" s="230">
        <v>37188150</v>
      </c>
      <c r="AT209" s="230">
        <v>-6230650</v>
      </c>
      <c r="AU209" s="229">
        <v>-0.16750000000000001</v>
      </c>
      <c r="AV209" s="230">
        <v>11642050</v>
      </c>
      <c r="AW209" s="230">
        <v>17413050</v>
      </c>
      <c r="AX209" s="230">
        <v>-5771000</v>
      </c>
      <c r="AY209" s="229">
        <v>-0.33139999999999997</v>
      </c>
      <c r="AZ209" s="230">
        <v>18847100</v>
      </c>
      <c r="BA209" s="230">
        <v>19515550</v>
      </c>
      <c r="BB209" s="230">
        <v>-668450</v>
      </c>
      <c r="BC209" s="229">
        <v>-3.4299999999999997E-2</v>
      </c>
      <c r="BD209" s="230">
        <v>468350</v>
      </c>
      <c r="BE209" s="230">
        <v>259550</v>
      </c>
      <c r="BF209" s="230">
        <v>208800</v>
      </c>
      <c r="BG209" s="229">
        <v>0.80449999999999999</v>
      </c>
      <c r="BH209" s="230">
        <v>30740000</v>
      </c>
      <c r="BI209" s="230">
        <v>31673800</v>
      </c>
      <c r="BJ209" s="230">
        <v>-933800</v>
      </c>
      <c r="BK209" s="229">
        <v>-2.9499999999999998E-2</v>
      </c>
      <c r="BL209" s="230">
        <v>18319300</v>
      </c>
      <c r="BM209" s="230">
        <v>21158400</v>
      </c>
      <c r="BN209" s="230">
        <v>-2839100</v>
      </c>
      <c r="BO209" s="229">
        <v>-0.13420000000000001</v>
      </c>
      <c r="BP209" s="230">
        <v>80016800</v>
      </c>
      <c r="BQ209" s="230">
        <v>90020350</v>
      </c>
      <c r="BR209" s="230">
        <v>-10003550</v>
      </c>
      <c r="BS209" s="229">
        <v>-0.1111</v>
      </c>
      <c r="BT209" s="230">
        <v>5668480</v>
      </c>
      <c r="BU209" s="230">
        <v>5638281</v>
      </c>
      <c r="BV209" s="230">
        <v>30199</v>
      </c>
      <c r="BW209" s="229">
        <v>5.4000000000000003E-3</v>
      </c>
      <c r="BX209" s="230">
        <v>71021000</v>
      </c>
      <c r="BY209" s="230">
        <v>70786100</v>
      </c>
      <c r="BZ209" s="230">
        <v>234900</v>
      </c>
      <c r="CA209" s="229">
        <v>3.3E-3</v>
      </c>
      <c r="CB209" s="230">
        <v>2512850</v>
      </c>
      <c r="CC209" s="230">
        <v>9619300</v>
      </c>
      <c r="CD209" s="230">
        <v>-7106450</v>
      </c>
      <c r="CE209" s="229">
        <v>-0.73880000000000001</v>
      </c>
      <c r="CF209" s="230">
        <v>69528950</v>
      </c>
      <c r="CG209" s="230">
        <v>59914000</v>
      </c>
      <c r="CH209" s="230">
        <v>9614950</v>
      </c>
      <c r="CI209" s="229">
        <v>0.1605</v>
      </c>
      <c r="CJ209" s="230">
        <v>1492050</v>
      </c>
      <c r="CK209" s="230">
        <v>1252800</v>
      </c>
      <c r="CL209" s="230">
        <v>239250</v>
      </c>
      <c r="CM209" s="229">
        <v>0.191</v>
      </c>
      <c r="CN209" s="230">
        <v>15087250</v>
      </c>
      <c r="CO209" s="230">
        <v>30535550</v>
      </c>
      <c r="CP209" s="230">
        <v>-15448300</v>
      </c>
      <c r="CQ209" s="229">
        <v>-0.50590000000000002</v>
      </c>
      <c r="CR209" s="230">
        <v>15023450</v>
      </c>
      <c r="CS209" s="230">
        <v>23524800</v>
      </c>
      <c r="CT209" s="230">
        <v>-8501350</v>
      </c>
      <c r="CU209" s="229">
        <v>-0.3614</v>
      </c>
      <c r="CV209" s="230">
        <v>101131700</v>
      </c>
      <c r="CW209" s="230">
        <v>124846450</v>
      </c>
      <c r="CX209" s="230">
        <v>-23714750</v>
      </c>
      <c r="CY209" s="229">
        <v>-0.19</v>
      </c>
      <c r="CZ209" s="228">
        <v>25.87</v>
      </c>
      <c r="DA209" s="228">
        <v>25.32</v>
      </c>
      <c r="DB209" s="228">
        <v>0.55000000000000004</v>
      </c>
      <c r="DC209" s="228">
        <v>0.55000000000000004</v>
      </c>
      <c r="DD209" s="228">
        <v>36.4</v>
      </c>
      <c r="DE209" s="228">
        <v>36.479999999999997</v>
      </c>
      <c r="DF209" s="228">
        <v>-10.53</v>
      </c>
      <c r="DG209" s="228">
        <v>-0.08</v>
      </c>
      <c r="DH209" s="228">
        <v>26.16</v>
      </c>
      <c r="DI209" s="228">
        <v>25.42</v>
      </c>
      <c r="DJ209" s="228">
        <v>0.74</v>
      </c>
      <c r="DK209" s="228">
        <v>0.74</v>
      </c>
      <c r="DL209" s="228">
        <v>25.38</v>
      </c>
      <c r="DM209" s="228">
        <v>25.19</v>
      </c>
      <c r="DN209" s="228">
        <v>0.19</v>
      </c>
      <c r="DO209" s="228">
        <v>0.19</v>
      </c>
      <c r="DP209" s="228">
        <v>1</v>
      </c>
      <c r="DQ209" s="228">
        <v>0.77</v>
      </c>
      <c r="DR209" s="228">
        <v>0.23</v>
      </c>
      <c r="DS209" s="229">
        <v>0.29870000000000002</v>
      </c>
      <c r="DT209" s="228">
        <v>450</v>
      </c>
      <c r="DU209" s="228">
        <v>400</v>
      </c>
      <c r="DV209" s="228">
        <v>0.6</v>
      </c>
      <c r="DW209" s="228">
        <v>0.67</v>
      </c>
      <c r="DX209" s="228">
        <v>-7.0000000000000007E-2</v>
      </c>
      <c r="DY209" s="229">
        <v>-0.1045</v>
      </c>
      <c r="DZ209" s="229">
        <v>0.96579999999999999</v>
      </c>
      <c r="EA209" s="230">
        <v>61166800</v>
      </c>
      <c r="EB209" s="229">
        <v>5.4000000000000003E-3</v>
      </c>
      <c r="EC209" s="229">
        <v>0.96579999999999999</v>
      </c>
      <c r="ED209" s="228">
        <v>2.08</v>
      </c>
      <c r="EE209" s="229">
        <v>5.1999999999999998E-3</v>
      </c>
      <c r="EF209" s="230">
        <v>2693912</v>
      </c>
      <c r="EG209" s="230">
        <v>2725467</v>
      </c>
      <c r="EH209" s="229">
        <v>-1.1599999999999999E-2</v>
      </c>
      <c r="EI209" s="229">
        <v>0.47520000000000001</v>
      </c>
      <c r="EJ209" s="231">
        <v>128069.7</v>
      </c>
      <c r="EK209" s="231">
        <v>74307.55</v>
      </c>
      <c r="EL209" s="231">
        <v>123678.96</v>
      </c>
      <c r="EM209" s="228">
        <v>0</v>
      </c>
      <c r="EN209" s="231">
        <v>326056.21000000002</v>
      </c>
      <c r="EO209" s="231">
        <v>369638.35</v>
      </c>
      <c r="EP209" s="231">
        <v>-43582.14</v>
      </c>
      <c r="EQ209" s="229">
        <v>-0.1179</v>
      </c>
      <c r="ER209" s="231">
        <v>63367</v>
      </c>
      <c r="ES209" s="231">
        <v>60401</v>
      </c>
      <c r="ET209" s="231">
        <v>283903</v>
      </c>
      <c r="EU209" s="231">
        <v>339616396</v>
      </c>
      <c r="EV209" s="231">
        <v>407670</v>
      </c>
      <c r="EW209" s="231">
        <v>508456</v>
      </c>
      <c r="EX209" s="231">
        <v>-100786</v>
      </c>
      <c r="EY209" s="229">
        <v>-0.19819999999999999</v>
      </c>
      <c r="EZ209" s="229">
        <v>0.29780000000000001</v>
      </c>
      <c r="FA209" s="227" t="s">
        <v>567</v>
      </c>
      <c r="FB209" s="161">
        <f t="shared" si="5"/>
        <v>0</v>
      </c>
    </row>
    <row r="210" spans="1:158" ht="17.25" thickBot="1" x14ac:dyDescent="0.3">
      <c r="A210" s="226">
        <v>45869</v>
      </c>
      <c r="B210" s="227" t="s">
        <v>227</v>
      </c>
      <c r="C210" s="227" t="s">
        <v>294</v>
      </c>
      <c r="D210" s="228">
        <v>5500</v>
      </c>
      <c r="E210" s="228">
        <v>158.41999999999999</v>
      </c>
      <c r="F210" s="228">
        <v>162.33000000000001</v>
      </c>
      <c r="G210" s="228">
        <v>-3.91</v>
      </c>
      <c r="H210" s="229">
        <v>-2.41E-2</v>
      </c>
      <c r="I210" s="228">
        <v>157.94</v>
      </c>
      <c r="J210" s="228">
        <v>161.36000000000001</v>
      </c>
      <c r="K210" s="228">
        <v>-3.42</v>
      </c>
      <c r="L210" s="229">
        <v>-2.12E-2</v>
      </c>
      <c r="M210" s="228">
        <v>157.88</v>
      </c>
      <c r="N210" s="228">
        <v>161.46</v>
      </c>
      <c r="O210" s="228">
        <v>-3.58</v>
      </c>
      <c r="P210" s="229">
        <v>-2.2200000000000001E-2</v>
      </c>
      <c r="Q210" s="228">
        <v>158.41999999999999</v>
      </c>
      <c r="R210" s="228">
        <v>162.33000000000001</v>
      </c>
      <c r="S210" s="228">
        <v>-3.91</v>
      </c>
      <c r="T210" s="229">
        <v>-2.41E-2</v>
      </c>
      <c r="U210" s="228">
        <v>159.52000000000001</v>
      </c>
      <c r="V210" s="228">
        <v>163.24</v>
      </c>
      <c r="W210" s="228">
        <v>-3.72</v>
      </c>
      <c r="X210" s="229">
        <v>-2.2800000000000001E-2</v>
      </c>
      <c r="Y210" s="228">
        <v>0.48</v>
      </c>
      <c r="Z210" s="228">
        <v>0.1</v>
      </c>
      <c r="AA210" s="228">
        <v>0.38</v>
      </c>
      <c r="AB210" s="229">
        <v>3.0000000000000001E-3</v>
      </c>
      <c r="AC210" s="228">
        <v>-0.06</v>
      </c>
      <c r="AD210" s="228">
        <v>0.1</v>
      </c>
      <c r="AE210" s="228">
        <v>-0.16</v>
      </c>
      <c r="AF210" s="229">
        <v>-4.0000000000000002E-4</v>
      </c>
      <c r="AG210" s="228">
        <v>0.48</v>
      </c>
      <c r="AH210" s="228">
        <v>0.97</v>
      </c>
      <c r="AI210" s="228">
        <v>-0.49</v>
      </c>
      <c r="AJ210" s="229">
        <v>3.0000000000000001E-3</v>
      </c>
      <c r="AK210" s="228">
        <v>1.58</v>
      </c>
      <c r="AL210" s="228">
        <v>1.88</v>
      </c>
      <c r="AM210" s="228">
        <v>-0.3</v>
      </c>
      <c r="AN210" s="229">
        <v>0.01</v>
      </c>
      <c r="AO210" s="228">
        <v>160.22999999999999</v>
      </c>
      <c r="AP210" s="228">
        <v>160.74</v>
      </c>
      <c r="AQ210" s="228">
        <v>0</v>
      </c>
      <c r="AR210" s="230">
        <v>136180000</v>
      </c>
      <c r="AS210" s="230">
        <v>96068500</v>
      </c>
      <c r="AT210" s="230">
        <v>40111500</v>
      </c>
      <c r="AU210" s="229">
        <v>0.41749999999999998</v>
      </c>
      <c r="AV210" s="230">
        <v>48554000</v>
      </c>
      <c r="AW210" s="230">
        <v>46667500</v>
      </c>
      <c r="AX210" s="230">
        <v>1886500</v>
      </c>
      <c r="AY210" s="229">
        <v>4.0399999999999998E-2</v>
      </c>
      <c r="AZ210" s="230">
        <v>84964000</v>
      </c>
      <c r="BA210" s="230">
        <v>48554000</v>
      </c>
      <c r="BB210" s="230">
        <v>36410000</v>
      </c>
      <c r="BC210" s="229">
        <v>0.74990000000000001</v>
      </c>
      <c r="BD210" s="230">
        <v>2662000</v>
      </c>
      <c r="BE210" s="230">
        <v>847000</v>
      </c>
      <c r="BF210" s="230">
        <v>1815000</v>
      </c>
      <c r="BG210" s="229">
        <v>2.1429</v>
      </c>
      <c r="BH210" s="230">
        <v>311762000</v>
      </c>
      <c r="BI210" s="230">
        <v>203698000</v>
      </c>
      <c r="BJ210" s="230">
        <v>108064000</v>
      </c>
      <c r="BK210" s="229">
        <v>0.53049999999999997</v>
      </c>
      <c r="BL210" s="230">
        <v>154720500</v>
      </c>
      <c r="BM210" s="230">
        <v>83132500</v>
      </c>
      <c r="BN210" s="230">
        <v>71588000</v>
      </c>
      <c r="BO210" s="229">
        <v>0.86109999999999998</v>
      </c>
      <c r="BP210" s="230">
        <v>602662500</v>
      </c>
      <c r="BQ210" s="230">
        <v>382899000</v>
      </c>
      <c r="BR210" s="230">
        <v>219763500</v>
      </c>
      <c r="BS210" s="229">
        <v>0.57389999999999997</v>
      </c>
      <c r="BT210" s="230">
        <v>27267142</v>
      </c>
      <c r="BU210" s="230">
        <v>16885457</v>
      </c>
      <c r="BV210" s="230">
        <v>10381685</v>
      </c>
      <c r="BW210" s="229">
        <v>0.61480000000000001</v>
      </c>
      <c r="BX210" s="230">
        <v>180895000</v>
      </c>
      <c r="BY210" s="230">
        <v>195156500</v>
      </c>
      <c r="BZ210" s="230">
        <v>-14261500</v>
      </c>
      <c r="CA210" s="229">
        <v>-7.3099999999999998E-2</v>
      </c>
      <c r="CB210" s="230">
        <v>26944500</v>
      </c>
      <c r="CC210" s="230">
        <v>38401000</v>
      </c>
      <c r="CD210" s="230">
        <v>-11456500</v>
      </c>
      <c r="CE210" s="229">
        <v>-0.29830000000000001</v>
      </c>
      <c r="CF210" s="230">
        <v>175103500</v>
      </c>
      <c r="CG210" s="230">
        <v>152075000</v>
      </c>
      <c r="CH210" s="230">
        <v>23028500</v>
      </c>
      <c r="CI210" s="229">
        <v>0.15140000000000001</v>
      </c>
      <c r="CJ210" s="230">
        <v>5791500</v>
      </c>
      <c r="CK210" s="230">
        <v>4680500</v>
      </c>
      <c r="CL210" s="230">
        <v>1111000</v>
      </c>
      <c r="CM210" s="229">
        <v>0.2374</v>
      </c>
      <c r="CN210" s="230">
        <v>80910500</v>
      </c>
      <c r="CO210" s="230">
        <v>145838000</v>
      </c>
      <c r="CP210" s="230">
        <v>-64927500</v>
      </c>
      <c r="CQ210" s="229">
        <v>-0.44519999999999998</v>
      </c>
      <c r="CR210" s="230">
        <v>50143500</v>
      </c>
      <c r="CS210" s="230">
        <v>91564000</v>
      </c>
      <c r="CT210" s="230">
        <v>-41420500</v>
      </c>
      <c r="CU210" s="229">
        <v>-0.45240000000000002</v>
      </c>
      <c r="CV210" s="230">
        <v>311949000</v>
      </c>
      <c r="CW210" s="230">
        <v>432558500</v>
      </c>
      <c r="CX210" s="230">
        <v>-120609500</v>
      </c>
      <c r="CY210" s="229">
        <v>-0.27879999999999999</v>
      </c>
      <c r="CZ210" s="228">
        <v>27.49</v>
      </c>
      <c r="DA210" s="228">
        <v>28.55</v>
      </c>
      <c r="DB210" s="228">
        <v>-1.06</v>
      </c>
      <c r="DC210" s="228">
        <v>-1.06</v>
      </c>
      <c r="DD210" s="228">
        <v>35</v>
      </c>
      <c r="DE210" s="228">
        <v>34.94</v>
      </c>
      <c r="DF210" s="228">
        <v>-7.51</v>
      </c>
      <c r="DG210" s="228">
        <v>0.06</v>
      </c>
      <c r="DH210" s="228">
        <v>28.23</v>
      </c>
      <c r="DI210" s="228">
        <v>29.02</v>
      </c>
      <c r="DJ210" s="228">
        <v>-0.79</v>
      </c>
      <c r="DK210" s="228">
        <v>-0.79</v>
      </c>
      <c r="DL210" s="228">
        <v>26.01</v>
      </c>
      <c r="DM210" s="228">
        <v>27.05</v>
      </c>
      <c r="DN210" s="228">
        <v>-1.04</v>
      </c>
      <c r="DO210" s="228">
        <v>-1.04</v>
      </c>
      <c r="DP210" s="228">
        <v>0.62</v>
      </c>
      <c r="DQ210" s="228">
        <v>0.63</v>
      </c>
      <c r="DR210" s="228">
        <v>-0.01</v>
      </c>
      <c r="DS210" s="229">
        <v>-1.5900000000000001E-2</v>
      </c>
      <c r="DT210" s="228">
        <v>180</v>
      </c>
      <c r="DU210" s="228">
        <v>160</v>
      </c>
      <c r="DV210" s="228">
        <v>0.5</v>
      </c>
      <c r="DW210" s="228">
        <v>0.41</v>
      </c>
      <c r="DX210" s="228">
        <v>0.09</v>
      </c>
      <c r="DY210" s="229">
        <v>0.2195</v>
      </c>
      <c r="DZ210" s="229">
        <v>0.87039999999999995</v>
      </c>
      <c r="EA210" s="230">
        <v>156755500</v>
      </c>
      <c r="EB210" s="229">
        <v>3.3999999999999998E-3</v>
      </c>
      <c r="EC210" s="229">
        <v>0.87039999999999995</v>
      </c>
      <c r="ED210" s="228">
        <v>0.51</v>
      </c>
      <c r="EE210" s="229">
        <v>3.2000000000000002E-3</v>
      </c>
      <c r="EF210" s="230">
        <v>8829964</v>
      </c>
      <c r="EG210" s="230">
        <v>9468458</v>
      </c>
      <c r="EH210" s="229">
        <v>-6.7400000000000002E-2</v>
      </c>
      <c r="EI210" s="229">
        <v>0.32379999999999998</v>
      </c>
      <c r="EJ210" s="231">
        <v>527467.38</v>
      </c>
      <c r="EK210" s="231">
        <v>246298.98</v>
      </c>
      <c r="EL210" s="231">
        <v>218668.46</v>
      </c>
      <c r="EM210" s="228">
        <v>0</v>
      </c>
      <c r="EN210" s="231">
        <v>992434.82</v>
      </c>
      <c r="EO210" s="231">
        <v>637569.32999999996</v>
      </c>
      <c r="EP210" s="231">
        <v>354865.49</v>
      </c>
      <c r="EQ210" s="229">
        <v>0.55659999999999998</v>
      </c>
      <c r="ER210" s="231">
        <v>137392</v>
      </c>
      <c r="ES210" s="231">
        <v>76583</v>
      </c>
      <c r="ET210" s="231">
        <v>286638</v>
      </c>
      <c r="EU210" s="231">
        <v>1667987352</v>
      </c>
      <c r="EV210" s="231">
        <v>500613</v>
      </c>
      <c r="EW210" s="231">
        <v>704285</v>
      </c>
      <c r="EX210" s="231">
        <v>-203672</v>
      </c>
      <c r="EY210" s="229">
        <v>-0.28920000000000001</v>
      </c>
      <c r="EZ210" s="229">
        <v>0.187</v>
      </c>
      <c r="FA210" s="227" t="s">
        <v>568</v>
      </c>
      <c r="FB210" s="161">
        <f t="shared" si="5"/>
        <v>0</v>
      </c>
    </row>
    <row r="211" spans="1:158" ht="17.25" thickBot="1" x14ac:dyDescent="0.3">
      <c r="A211" s="226">
        <v>45869</v>
      </c>
      <c r="B211" s="227" t="s">
        <v>221</v>
      </c>
      <c r="C211" s="227" t="s">
        <v>665</v>
      </c>
      <c r="D211" s="228">
        <v>800</v>
      </c>
      <c r="E211" s="228">
        <v>706</v>
      </c>
      <c r="F211" s="228">
        <v>713.15</v>
      </c>
      <c r="G211" s="228">
        <v>-7.15</v>
      </c>
      <c r="H211" s="229">
        <v>-0.01</v>
      </c>
      <c r="I211" s="228">
        <v>702.25</v>
      </c>
      <c r="J211" s="228">
        <v>709.35</v>
      </c>
      <c r="K211" s="228">
        <v>-7.1</v>
      </c>
      <c r="L211" s="229">
        <v>-0.01</v>
      </c>
      <c r="M211" s="228">
        <v>701.75</v>
      </c>
      <c r="N211" s="228">
        <v>709.75</v>
      </c>
      <c r="O211" s="228">
        <v>-8</v>
      </c>
      <c r="P211" s="229">
        <v>-1.1299999999999999E-2</v>
      </c>
      <c r="Q211" s="228">
        <v>706</v>
      </c>
      <c r="R211" s="228">
        <v>713.15</v>
      </c>
      <c r="S211" s="228">
        <v>-7.15</v>
      </c>
      <c r="T211" s="229">
        <v>-0.01</v>
      </c>
      <c r="U211" s="228">
        <v>710.6</v>
      </c>
      <c r="V211" s="228">
        <v>717.8</v>
      </c>
      <c r="W211" s="228">
        <v>-7.2</v>
      </c>
      <c r="X211" s="229">
        <v>-0.01</v>
      </c>
      <c r="Y211" s="228">
        <v>3.75</v>
      </c>
      <c r="Z211" s="228">
        <v>0.4</v>
      </c>
      <c r="AA211" s="228">
        <v>3.35</v>
      </c>
      <c r="AB211" s="229">
        <v>5.3E-3</v>
      </c>
      <c r="AC211" s="228">
        <v>-0.5</v>
      </c>
      <c r="AD211" s="228">
        <v>0.4</v>
      </c>
      <c r="AE211" s="228">
        <v>-0.9</v>
      </c>
      <c r="AF211" s="229">
        <v>-6.9999999999999999E-4</v>
      </c>
      <c r="AG211" s="228">
        <v>3.75</v>
      </c>
      <c r="AH211" s="228">
        <v>3.8</v>
      </c>
      <c r="AI211" s="228">
        <v>-0.05</v>
      </c>
      <c r="AJ211" s="229">
        <v>5.3E-3</v>
      </c>
      <c r="AK211" s="228">
        <v>8.35</v>
      </c>
      <c r="AL211" s="228">
        <v>8.4499999999999993</v>
      </c>
      <c r="AM211" s="228">
        <v>-0.1</v>
      </c>
      <c r="AN211" s="229">
        <v>1.1900000000000001E-2</v>
      </c>
      <c r="AO211" s="228">
        <v>704.6</v>
      </c>
      <c r="AP211" s="228">
        <v>708.3</v>
      </c>
      <c r="AQ211" s="228">
        <v>0</v>
      </c>
      <c r="AR211" s="230">
        <v>8369600</v>
      </c>
      <c r="AS211" s="230">
        <v>6478400</v>
      </c>
      <c r="AT211" s="230">
        <v>1891200</v>
      </c>
      <c r="AU211" s="229">
        <v>0.29189999999999999</v>
      </c>
      <c r="AV211" s="230">
        <v>3606400</v>
      </c>
      <c r="AW211" s="230">
        <v>2920800</v>
      </c>
      <c r="AX211" s="230">
        <v>685600</v>
      </c>
      <c r="AY211" s="229">
        <v>0.23469999999999999</v>
      </c>
      <c r="AZ211" s="230">
        <v>4595200</v>
      </c>
      <c r="BA211" s="230">
        <v>3452800</v>
      </c>
      <c r="BB211" s="230">
        <v>1142400</v>
      </c>
      <c r="BC211" s="229">
        <v>0.33090000000000003</v>
      </c>
      <c r="BD211" s="230">
        <v>168000</v>
      </c>
      <c r="BE211" s="230">
        <v>104800</v>
      </c>
      <c r="BF211" s="230">
        <v>63200</v>
      </c>
      <c r="BG211" s="229">
        <v>0.60309999999999997</v>
      </c>
      <c r="BH211" s="230">
        <v>2833600</v>
      </c>
      <c r="BI211" s="230">
        <v>3143200</v>
      </c>
      <c r="BJ211" s="230">
        <v>-309600</v>
      </c>
      <c r="BK211" s="229">
        <v>-9.8500000000000004E-2</v>
      </c>
      <c r="BL211" s="230">
        <v>1705600</v>
      </c>
      <c r="BM211" s="230">
        <v>1608800</v>
      </c>
      <c r="BN211" s="230">
        <v>96800</v>
      </c>
      <c r="BO211" s="229">
        <v>6.0199999999999997E-2</v>
      </c>
      <c r="BP211" s="230">
        <v>12908800</v>
      </c>
      <c r="BQ211" s="230">
        <v>11230400</v>
      </c>
      <c r="BR211" s="230">
        <v>1678400</v>
      </c>
      <c r="BS211" s="229">
        <v>0.14949999999999999</v>
      </c>
      <c r="BT211" s="230">
        <v>773841</v>
      </c>
      <c r="BU211" s="230">
        <v>691176</v>
      </c>
      <c r="BV211" s="230">
        <v>82665</v>
      </c>
      <c r="BW211" s="229">
        <v>0.1196</v>
      </c>
      <c r="BX211" s="230">
        <v>10413600</v>
      </c>
      <c r="BY211" s="230">
        <v>10524000</v>
      </c>
      <c r="BZ211" s="230">
        <v>-110400</v>
      </c>
      <c r="CA211" s="229">
        <v>-1.0500000000000001E-2</v>
      </c>
      <c r="CB211" s="230">
        <v>518400</v>
      </c>
      <c r="CC211" s="230">
        <v>2516800</v>
      </c>
      <c r="CD211" s="230">
        <v>-1998400</v>
      </c>
      <c r="CE211" s="229">
        <v>-0.79400000000000004</v>
      </c>
      <c r="CF211" s="230">
        <v>9688000</v>
      </c>
      <c r="CG211" s="230">
        <v>7390400</v>
      </c>
      <c r="CH211" s="230">
        <v>2297600</v>
      </c>
      <c r="CI211" s="229">
        <v>0.31090000000000001</v>
      </c>
      <c r="CJ211" s="230">
        <v>725600</v>
      </c>
      <c r="CK211" s="230">
        <v>616800</v>
      </c>
      <c r="CL211" s="230">
        <v>108800</v>
      </c>
      <c r="CM211" s="229">
        <v>0.1764</v>
      </c>
      <c r="CN211" s="230">
        <v>1840000</v>
      </c>
      <c r="CO211" s="230">
        <v>5868000</v>
      </c>
      <c r="CP211" s="230">
        <v>-4028000</v>
      </c>
      <c r="CQ211" s="229">
        <v>-0.68640000000000001</v>
      </c>
      <c r="CR211" s="230">
        <v>1473600</v>
      </c>
      <c r="CS211" s="230">
        <v>3525600</v>
      </c>
      <c r="CT211" s="230">
        <v>-2052000</v>
      </c>
      <c r="CU211" s="229">
        <v>-0.58199999999999996</v>
      </c>
      <c r="CV211" s="230">
        <v>13727200</v>
      </c>
      <c r="CW211" s="230">
        <v>19917600</v>
      </c>
      <c r="CX211" s="230">
        <v>-6190400</v>
      </c>
      <c r="CY211" s="229">
        <v>-0.31080000000000002</v>
      </c>
      <c r="CZ211" s="228">
        <v>25.26</v>
      </c>
      <c r="DA211" s="228">
        <v>25.44</v>
      </c>
      <c r="DB211" s="228">
        <v>-0.18</v>
      </c>
      <c r="DC211" s="228">
        <v>-0.18</v>
      </c>
      <c r="DD211" s="228">
        <v>32.700000000000003</v>
      </c>
      <c r="DE211" s="228">
        <v>32.75</v>
      </c>
      <c r="DF211" s="228">
        <v>-7.44</v>
      </c>
      <c r="DG211" s="228">
        <v>-0.05</v>
      </c>
      <c r="DH211" s="228">
        <v>25.57</v>
      </c>
      <c r="DI211" s="228">
        <v>25.72</v>
      </c>
      <c r="DJ211" s="228">
        <v>-0.15</v>
      </c>
      <c r="DK211" s="228">
        <v>-0.15</v>
      </c>
      <c r="DL211" s="228">
        <v>24.78</v>
      </c>
      <c r="DM211" s="228">
        <v>25.02</v>
      </c>
      <c r="DN211" s="228">
        <v>-0.24</v>
      </c>
      <c r="DO211" s="228">
        <v>-0.24</v>
      </c>
      <c r="DP211" s="228">
        <v>0.8</v>
      </c>
      <c r="DQ211" s="228">
        <v>0.6</v>
      </c>
      <c r="DR211" s="228">
        <v>0.2</v>
      </c>
      <c r="DS211" s="229">
        <v>0.33329999999999999</v>
      </c>
      <c r="DT211" s="228">
        <v>800</v>
      </c>
      <c r="DU211" s="228">
        <v>700</v>
      </c>
      <c r="DV211" s="228">
        <v>0.6</v>
      </c>
      <c r="DW211" s="228">
        <v>0.51</v>
      </c>
      <c r="DX211" s="228">
        <v>0.09</v>
      </c>
      <c r="DY211" s="229">
        <v>0.17649999999999999</v>
      </c>
      <c r="DZ211" s="229">
        <v>0.9526</v>
      </c>
      <c r="EA211" s="230">
        <v>8007200</v>
      </c>
      <c r="EB211" s="229">
        <v>6.1000000000000004E-3</v>
      </c>
      <c r="EC211" s="229">
        <v>0.9526</v>
      </c>
      <c r="ED211" s="228">
        <v>3.7</v>
      </c>
      <c r="EE211" s="229">
        <v>5.3E-3</v>
      </c>
      <c r="EF211" s="230">
        <v>338179</v>
      </c>
      <c r="EG211" s="230">
        <v>324765</v>
      </c>
      <c r="EH211" s="229">
        <v>4.1300000000000003E-2</v>
      </c>
      <c r="EI211" s="229">
        <v>0.437</v>
      </c>
      <c r="EJ211" s="231">
        <v>20757.3</v>
      </c>
      <c r="EK211" s="231">
        <v>12287.82</v>
      </c>
      <c r="EL211" s="231">
        <v>59156.02</v>
      </c>
      <c r="EM211" s="228">
        <v>0</v>
      </c>
      <c r="EN211" s="231">
        <v>92201.14</v>
      </c>
      <c r="EO211" s="231">
        <v>80812.63</v>
      </c>
      <c r="EP211" s="231">
        <v>11388.51</v>
      </c>
      <c r="EQ211" s="229">
        <v>0.1409</v>
      </c>
      <c r="ER211" s="231">
        <v>13628</v>
      </c>
      <c r="ES211" s="231">
        <v>10368</v>
      </c>
      <c r="ET211" s="231">
        <v>73553</v>
      </c>
      <c r="EU211" s="231">
        <v>36328758</v>
      </c>
      <c r="EV211" s="231">
        <v>97550</v>
      </c>
      <c r="EW211" s="231">
        <v>143616</v>
      </c>
      <c r="EX211" s="231">
        <v>-46066</v>
      </c>
      <c r="EY211" s="229">
        <v>-0.32079999999999997</v>
      </c>
      <c r="EZ211" s="229">
        <v>0.37790000000000001</v>
      </c>
      <c r="FA211" s="227" t="s">
        <v>568</v>
      </c>
      <c r="FB211" s="161">
        <f t="shared" si="5"/>
        <v>0</v>
      </c>
    </row>
    <row r="212" spans="1:158" ht="17.25" thickBot="1" x14ac:dyDescent="0.3">
      <c r="A212" s="226">
        <v>45869</v>
      </c>
      <c r="B212" s="227" t="s">
        <v>221</v>
      </c>
      <c r="C212" s="227" t="s">
        <v>295</v>
      </c>
      <c r="D212" s="228">
        <v>175</v>
      </c>
      <c r="E212" s="231">
        <v>3051.9</v>
      </c>
      <c r="F212" s="231">
        <v>3071.2</v>
      </c>
      <c r="G212" s="228">
        <v>-19.3</v>
      </c>
      <c r="H212" s="229">
        <v>-6.3E-3</v>
      </c>
      <c r="I212" s="231">
        <v>3036.8</v>
      </c>
      <c r="J212" s="231">
        <v>3053.6</v>
      </c>
      <c r="K212" s="228">
        <v>-16.8</v>
      </c>
      <c r="L212" s="229">
        <v>-5.4999999999999997E-3</v>
      </c>
      <c r="M212" s="231">
        <v>3033.5</v>
      </c>
      <c r="N212" s="231">
        <v>3056.5</v>
      </c>
      <c r="O212" s="228">
        <v>-23</v>
      </c>
      <c r="P212" s="229">
        <v>-7.4999999999999997E-3</v>
      </c>
      <c r="Q212" s="231">
        <v>3051.9</v>
      </c>
      <c r="R212" s="231">
        <v>3071.2</v>
      </c>
      <c r="S212" s="228">
        <v>-19.3</v>
      </c>
      <c r="T212" s="229">
        <v>-6.3E-3</v>
      </c>
      <c r="U212" s="231">
        <v>3070.3</v>
      </c>
      <c r="V212" s="231">
        <v>3088.9</v>
      </c>
      <c r="W212" s="228">
        <v>-18.600000000000001</v>
      </c>
      <c r="X212" s="229">
        <v>-6.0000000000000001E-3</v>
      </c>
      <c r="Y212" s="228">
        <v>15.1</v>
      </c>
      <c r="Z212" s="228">
        <v>2.9</v>
      </c>
      <c r="AA212" s="228">
        <v>12.2</v>
      </c>
      <c r="AB212" s="229">
        <v>5.0000000000000001E-3</v>
      </c>
      <c r="AC212" s="228">
        <v>-3.3</v>
      </c>
      <c r="AD212" s="228">
        <v>2.9</v>
      </c>
      <c r="AE212" s="228">
        <v>-6.2</v>
      </c>
      <c r="AF212" s="229">
        <v>-1.1000000000000001E-3</v>
      </c>
      <c r="AG212" s="228">
        <v>15.1</v>
      </c>
      <c r="AH212" s="228">
        <v>17.600000000000001</v>
      </c>
      <c r="AI212" s="228">
        <v>-2.5</v>
      </c>
      <c r="AJ212" s="229">
        <v>5.0000000000000001E-3</v>
      </c>
      <c r="AK212" s="228">
        <v>33.5</v>
      </c>
      <c r="AL212" s="228">
        <v>35.299999999999997</v>
      </c>
      <c r="AM212" s="228">
        <v>-1.8</v>
      </c>
      <c r="AN212" s="229">
        <v>1.0999999999999999E-2</v>
      </c>
      <c r="AO212" s="231">
        <v>3034.08</v>
      </c>
      <c r="AP212" s="231">
        <v>3049.95</v>
      </c>
      <c r="AQ212" s="228">
        <v>0</v>
      </c>
      <c r="AR212" s="230">
        <v>13294750</v>
      </c>
      <c r="AS212" s="230">
        <v>11624025</v>
      </c>
      <c r="AT212" s="230">
        <v>1670725</v>
      </c>
      <c r="AU212" s="229">
        <v>0.14369999999999999</v>
      </c>
      <c r="AV212" s="230">
        <v>5566575</v>
      </c>
      <c r="AW212" s="230">
        <v>5299700</v>
      </c>
      <c r="AX212" s="230">
        <v>266875</v>
      </c>
      <c r="AY212" s="229">
        <v>5.04E-2</v>
      </c>
      <c r="AZ212" s="230">
        <v>7369425</v>
      </c>
      <c r="BA212" s="230">
        <v>6114150</v>
      </c>
      <c r="BB212" s="230">
        <v>1255275</v>
      </c>
      <c r="BC212" s="229">
        <v>0.20530000000000001</v>
      </c>
      <c r="BD212" s="230">
        <v>358750</v>
      </c>
      <c r="BE212" s="230">
        <v>210175</v>
      </c>
      <c r="BF212" s="230">
        <v>148575</v>
      </c>
      <c r="BG212" s="229">
        <v>0.70689999999999997</v>
      </c>
      <c r="BH212" s="230">
        <v>23356725</v>
      </c>
      <c r="BI212" s="230">
        <v>18084850</v>
      </c>
      <c r="BJ212" s="230">
        <v>5271875</v>
      </c>
      <c r="BK212" s="229">
        <v>0.29149999999999998</v>
      </c>
      <c r="BL212" s="230">
        <v>14600600</v>
      </c>
      <c r="BM212" s="230">
        <v>8812300</v>
      </c>
      <c r="BN212" s="230">
        <v>5788300</v>
      </c>
      <c r="BO212" s="229">
        <v>0.65680000000000005</v>
      </c>
      <c r="BP212" s="230">
        <v>51252075</v>
      </c>
      <c r="BQ212" s="230">
        <v>38521175</v>
      </c>
      <c r="BR212" s="230">
        <v>12730900</v>
      </c>
      <c r="BS212" s="229">
        <v>0.33050000000000002</v>
      </c>
      <c r="BT212" s="230">
        <v>3087218</v>
      </c>
      <c r="BU212" s="230">
        <v>2980533</v>
      </c>
      <c r="BV212" s="230">
        <v>106685</v>
      </c>
      <c r="BW212" s="229">
        <v>3.5799999999999998E-2</v>
      </c>
      <c r="BX212" s="230">
        <v>28867650</v>
      </c>
      <c r="BY212" s="230">
        <v>30241575</v>
      </c>
      <c r="BZ212" s="230">
        <v>-1373925</v>
      </c>
      <c r="CA212" s="229">
        <v>-4.5400000000000003E-2</v>
      </c>
      <c r="CB212" s="230">
        <v>2501450</v>
      </c>
      <c r="CC212" s="230">
        <v>5515825</v>
      </c>
      <c r="CD212" s="230">
        <v>-3014375</v>
      </c>
      <c r="CE212" s="229">
        <v>-0.54649999999999999</v>
      </c>
      <c r="CF212" s="230">
        <v>26630975</v>
      </c>
      <c r="CG212" s="230">
        <v>22704675</v>
      </c>
      <c r="CH212" s="230">
        <v>3926300</v>
      </c>
      <c r="CI212" s="229">
        <v>0.1729</v>
      </c>
      <c r="CJ212" s="230">
        <v>2236675</v>
      </c>
      <c r="CK212" s="230">
        <v>2021075</v>
      </c>
      <c r="CL212" s="230">
        <v>215600</v>
      </c>
      <c r="CM212" s="229">
        <v>0.1067</v>
      </c>
      <c r="CN212" s="230">
        <v>11860800</v>
      </c>
      <c r="CO212" s="230">
        <v>23809975</v>
      </c>
      <c r="CP212" s="230">
        <v>-11949175</v>
      </c>
      <c r="CQ212" s="229">
        <v>-0.50190000000000001</v>
      </c>
      <c r="CR212" s="230">
        <v>9025450</v>
      </c>
      <c r="CS212" s="230">
        <v>13620425</v>
      </c>
      <c r="CT212" s="230">
        <v>-4594975</v>
      </c>
      <c r="CU212" s="229">
        <v>-0.33739999999999998</v>
      </c>
      <c r="CV212" s="230">
        <v>49753900</v>
      </c>
      <c r="CW212" s="230">
        <v>67671975</v>
      </c>
      <c r="CX212" s="230">
        <v>-17918075</v>
      </c>
      <c r="CY212" s="229">
        <v>-0.26479999999999998</v>
      </c>
      <c r="CZ212" s="228">
        <v>20.11</v>
      </c>
      <c r="DA212" s="228">
        <v>20.99</v>
      </c>
      <c r="DB212" s="228">
        <v>-0.88</v>
      </c>
      <c r="DC212" s="228">
        <v>-0.88</v>
      </c>
      <c r="DD212" s="228">
        <v>24.63</v>
      </c>
      <c r="DE212" s="228">
        <v>24.68</v>
      </c>
      <c r="DF212" s="228">
        <v>-4.5199999999999996</v>
      </c>
      <c r="DG212" s="228">
        <v>-0.05</v>
      </c>
      <c r="DH212" s="228">
        <v>20.11</v>
      </c>
      <c r="DI212" s="228">
        <v>20.97</v>
      </c>
      <c r="DJ212" s="228">
        <v>-0.86</v>
      </c>
      <c r="DK212" s="228">
        <v>-0.86</v>
      </c>
      <c r="DL212" s="228">
        <v>20.100000000000001</v>
      </c>
      <c r="DM212" s="228">
        <v>21.03</v>
      </c>
      <c r="DN212" s="228">
        <v>-0.93</v>
      </c>
      <c r="DO212" s="228">
        <v>-0.93</v>
      </c>
      <c r="DP212" s="228">
        <v>0.76</v>
      </c>
      <c r="DQ212" s="228">
        <v>0.56999999999999995</v>
      </c>
      <c r="DR212" s="228">
        <v>0.19</v>
      </c>
      <c r="DS212" s="229">
        <v>0.33329999999999999</v>
      </c>
      <c r="DT212" s="231">
        <v>3200</v>
      </c>
      <c r="DU212" s="231">
        <v>3000</v>
      </c>
      <c r="DV212" s="228">
        <v>0.63</v>
      </c>
      <c r="DW212" s="228">
        <v>0.49</v>
      </c>
      <c r="DX212" s="228">
        <v>0.14000000000000001</v>
      </c>
      <c r="DY212" s="229">
        <v>0.28570000000000001</v>
      </c>
      <c r="DZ212" s="229">
        <v>0.92030000000000001</v>
      </c>
      <c r="EA212" s="230">
        <v>24725750</v>
      </c>
      <c r="EB212" s="229">
        <v>6.1000000000000004E-3</v>
      </c>
      <c r="EC212" s="229">
        <v>0.92030000000000001</v>
      </c>
      <c r="ED212" s="228">
        <v>15.87</v>
      </c>
      <c r="EE212" s="229">
        <v>5.1999999999999998E-3</v>
      </c>
      <c r="EF212" s="230">
        <v>1923486</v>
      </c>
      <c r="EG212" s="230">
        <v>2356833</v>
      </c>
      <c r="EH212" s="229">
        <v>-0.18390000000000001</v>
      </c>
      <c r="EI212" s="229">
        <v>0.623</v>
      </c>
      <c r="EJ212" s="231">
        <v>749174.83</v>
      </c>
      <c r="EK212" s="231">
        <v>460225.52</v>
      </c>
      <c r="EL212" s="231">
        <v>404648.72</v>
      </c>
      <c r="EM212" s="228">
        <v>0</v>
      </c>
      <c r="EN212" s="231">
        <v>1614049.07</v>
      </c>
      <c r="EO212" s="231">
        <v>1218025.49</v>
      </c>
      <c r="EP212" s="231">
        <v>396023.58</v>
      </c>
      <c r="EQ212" s="229">
        <v>0.3251</v>
      </c>
      <c r="ER212" s="231">
        <v>386672</v>
      </c>
      <c r="ES212" s="231">
        <v>280958</v>
      </c>
      <c r="ET212" s="231">
        <v>881423</v>
      </c>
      <c r="EU212" s="231">
        <v>204305778</v>
      </c>
      <c r="EV212" s="231">
        <v>1549054</v>
      </c>
      <c r="EW212" s="231">
        <v>2155301</v>
      </c>
      <c r="EX212" s="231">
        <v>-606247</v>
      </c>
      <c r="EY212" s="229">
        <v>-0.28129999999999999</v>
      </c>
      <c r="EZ212" s="229">
        <v>0.24349999999999999</v>
      </c>
      <c r="FA212" s="227" t="s">
        <v>568</v>
      </c>
      <c r="FB212" s="161">
        <f t="shared" si="5"/>
        <v>0</v>
      </c>
    </row>
    <row r="213" spans="1:158" ht="17.25" thickBot="1" x14ac:dyDescent="0.3">
      <c r="A213" s="226">
        <v>45869</v>
      </c>
      <c r="B213" s="227" t="s">
        <v>221</v>
      </c>
      <c r="C213" s="227" t="s">
        <v>296</v>
      </c>
      <c r="D213" s="228">
        <v>600</v>
      </c>
      <c r="E213" s="231">
        <v>1469.4</v>
      </c>
      <c r="F213" s="231">
        <v>1470.5</v>
      </c>
      <c r="G213" s="228">
        <v>-1.1000000000000001</v>
      </c>
      <c r="H213" s="229">
        <v>-6.9999999999999999E-4</v>
      </c>
      <c r="I213" s="231">
        <v>1463.7</v>
      </c>
      <c r="J213" s="231">
        <v>1463.2</v>
      </c>
      <c r="K213" s="228">
        <v>0.5</v>
      </c>
      <c r="L213" s="229">
        <v>2.9999999999999997E-4</v>
      </c>
      <c r="M213" s="231">
        <v>1462.8</v>
      </c>
      <c r="N213" s="231">
        <v>1463.9</v>
      </c>
      <c r="O213" s="228">
        <v>-1.1000000000000001</v>
      </c>
      <c r="P213" s="229">
        <v>-8.0000000000000004E-4</v>
      </c>
      <c r="Q213" s="231">
        <v>1469.4</v>
      </c>
      <c r="R213" s="231">
        <v>1470.5</v>
      </c>
      <c r="S213" s="228">
        <v>-1.1000000000000001</v>
      </c>
      <c r="T213" s="229">
        <v>-6.9999999999999999E-4</v>
      </c>
      <c r="U213" s="231">
        <v>1478.4</v>
      </c>
      <c r="V213" s="231">
        <v>1479.6</v>
      </c>
      <c r="W213" s="228">
        <v>-1.2</v>
      </c>
      <c r="X213" s="229">
        <v>-8.0000000000000004E-4</v>
      </c>
      <c r="Y213" s="228">
        <v>5.7</v>
      </c>
      <c r="Z213" s="228">
        <v>0.7</v>
      </c>
      <c r="AA213" s="228">
        <v>5</v>
      </c>
      <c r="AB213" s="229">
        <v>3.8999999999999998E-3</v>
      </c>
      <c r="AC213" s="228">
        <v>-0.9</v>
      </c>
      <c r="AD213" s="228">
        <v>0.7</v>
      </c>
      <c r="AE213" s="228">
        <v>-1.6</v>
      </c>
      <c r="AF213" s="229">
        <v>-5.9999999999999995E-4</v>
      </c>
      <c r="AG213" s="228">
        <v>5.7</v>
      </c>
      <c r="AH213" s="228">
        <v>7.3</v>
      </c>
      <c r="AI213" s="228">
        <v>-1.6</v>
      </c>
      <c r="AJ213" s="229">
        <v>3.8999999999999998E-3</v>
      </c>
      <c r="AK213" s="228">
        <v>14.7</v>
      </c>
      <c r="AL213" s="228">
        <v>16.399999999999999</v>
      </c>
      <c r="AM213" s="228">
        <v>-1.7</v>
      </c>
      <c r="AN213" s="229">
        <v>0.01</v>
      </c>
      <c r="AO213" s="231">
        <v>1461.03</v>
      </c>
      <c r="AP213" s="231">
        <v>1468.69</v>
      </c>
      <c r="AQ213" s="228">
        <v>0</v>
      </c>
      <c r="AR213" s="230">
        <v>8004000</v>
      </c>
      <c r="AS213" s="230">
        <v>10092000</v>
      </c>
      <c r="AT213" s="230">
        <v>-2088000</v>
      </c>
      <c r="AU213" s="229">
        <v>-0.2069</v>
      </c>
      <c r="AV213" s="230">
        <v>3481800</v>
      </c>
      <c r="AW213" s="230">
        <v>4949400</v>
      </c>
      <c r="AX213" s="230">
        <v>-1467600</v>
      </c>
      <c r="AY213" s="229">
        <v>-0.29649999999999999</v>
      </c>
      <c r="AZ213" s="230">
        <v>4455600</v>
      </c>
      <c r="BA213" s="230">
        <v>5079000</v>
      </c>
      <c r="BB213" s="230">
        <v>-623400</v>
      </c>
      <c r="BC213" s="229">
        <v>-0.1227</v>
      </c>
      <c r="BD213" s="230">
        <v>66600</v>
      </c>
      <c r="BE213" s="230">
        <v>63600</v>
      </c>
      <c r="BF213" s="230">
        <v>3000</v>
      </c>
      <c r="BG213" s="229">
        <v>4.7199999999999999E-2</v>
      </c>
      <c r="BH213" s="230">
        <v>7271400</v>
      </c>
      <c r="BI213" s="230">
        <v>8169600</v>
      </c>
      <c r="BJ213" s="230">
        <v>-898200</v>
      </c>
      <c r="BK213" s="229">
        <v>-0.1099</v>
      </c>
      <c r="BL213" s="230">
        <v>3601200</v>
      </c>
      <c r="BM213" s="230">
        <v>3107400</v>
      </c>
      <c r="BN213" s="230">
        <v>493800</v>
      </c>
      <c r="BO213" s="229">
        <v>0.15890000000000001</v>
      </c>
      <c r="BP213" s="230">
        <v>18876600</v>
      </c>
      <c r="BQ213" s="230">
        <v>21369000</v>
      </c>
      <c r="BR213" s="230">
        <v>-2492400</v>
      </c>
      <c r="BS213" s="229">
        <v>-0.1166</v>
      </c>
      <c r="BT213" s="230">
        <v>1403526</v>
      </c>
      <c r="BU213" s="230">
        <v>1339041</v>
      </c>
      <c r="BV213" s="230">
        <v>64485</v>
      </c>
      <c r="BW213" s="229">
        <v>4.82E-2</v>
      </c>
      <c r="BX213" s="230">
        <v>16567800</v>
      </c>
      <c r="BY213" s="230">
        <v>18790200</v>
      </c>
      <c r="BZ213" s="230">
        <v>-2222400</v>
      </c>
      <c r="CA213" s="229">
        <v>-0.1183</v>
      </c>
      <c r="CB213" s="230">
        <v>1974600</v>
      </c>
      <c r="CC213" s="230">
        <v>4183800</v>
      </c>
      <c r="CD213" s="230">
        <v>-2209200</v>
      </c>
      <c r="CE213" s="229">
        <v>-0.52800000000000002</v>
      </c>
      <c r="CF213" s="230">
        <v>15948000</v>
      </c>
      <c r="CG213" s="230">
        <v>14022000</v>
      </c>
      <c r="CH213" s="230">
        <v>1926000</v>
      </c>
      <c r="CI213" s="229">
        <v>0.13739999999999999</v>
      </c>
      <c r="CJ213" s="230">
        <v>619800</v>
      </c>
      <c r="CK213" s="230">
        <v>584400</v>
      </c>
      <c r="CL213" s="230">
        <v>35400</v>
      </c>
      <c r="CM213" s="229">
        <v>6.0600000000000001E-2</v>
      </c>
      <c r="CN213" s="230">
        <v>4192200</v>
      </c>
      <c r="CO213" s="230">
        <v>12474000</v>
      </c>
      <c r="CP213" s="230">
        <v>-8281800</v>
      </c>
      <c r="CQ213" s="229">
        <v>-0.66390000000000005</v>
      </c>
      <c r="CR213" s="230">
        <v>2659200</v>
      </c>
      <c r="CS213" s="230">
        <v>6013200</v>
      </c>
      <c r="CT213" s="230">
        <v>-3354000</v>
      </c>
      <c r="CU213" s="229">
        <v>-0.55779999999999996</v>
      </c>
      <c r="CV213" s="230">
        <v>23419200</v>
      </c>
      <c r="CW213" s="230">
        <v>37277400</v>
      </c>
      <c r="CX213" s="230">
        <v>-13858200</v>
      </c>
      <c r="CY213" s="229">
        <v>-0.37180000000000002</v>
      </c>
      <c r="CZ213" s="228">
        <v>23.09</v>
      </c>
      <c r="DA213" s="228">
        <v>23.63</v>
      </c>
      <c r="DB213" s="228">
        <v>-0.54</v>
      </c>
      <c r="DC213" s="228">
        <v>-0.54</v>
      </c>
      <c r="DD213" s="228">
        <v>31.19</v>
      </c>
      <c r="DE213" s="228">
        <v>31.27</v>
      </c>
      <c r="DF213" s="228">
        <v>-8.1</v>
      </c>
      <c r="DG213" s="228">
        <v>-0.08</v>
      </c>
      <c r="DH213" s="228">
        <v>23.39</v>
      </c>
      <c r="DI213" s="228">
        <v>23.78</v>
      </c>
      <c r="DJ213" s="228">
        <v>-0.39</v>
      </c>
      <c r="DK213" s="228">
        <v>-0.39</v>
      </c>
      <c r="DL213" s="228">
        <v>22.45</v>
      </c>
      <c r="DM213" s="228">
        <v>23.38</v>
      </c>
      <c r="DN213" s="228">
        <v>-0.93</v>
      </c>
      <c r="DO213" s="228">
        <v>-0.93</v>
      </c>
      <c r="DP213" s="228">
        <v>0.63</v>
      </c>
      <c r="DQ213" s="228">
        <v>0.48</v>
      </c>
      <c r="DR213" s="228">
        <v>0.15</v>
      </c>
      <c r="DS213" s="229">
        <v>0.3125</v>
      </c>
      <c r="DT213" s="231">
        <v>1600</v>
      </c>
      <c r="DU213" s="231">
        <v>1390</v>
      </c>
      <c r="DV213" s="228">
        <v>0.5</v>
      </c>
      <c r="DW213" s="228">
        <v>0.38</v>
      </c>
      <c r="DX213" s="228">
        <v>0.12</v>
      </c>
      <c r="DY213" s="229">
        <v>0.31580000000000003</v>
      </c>
      <c r="DZ213" s="229">
        <v>0.89349999999999996</v>
      </c>
      <c r="EA213" s="230">
        <v>14606400</v>
      </c>
      <c r="EB213" s="229">
        <v>4.4999999999999997E-3</v>
      </c>
      <c r="EC213" s="229">
        <v>0.89349999999999996</v>
      </c>
      <c r="ED213" s="228">
        <v>7.66</v>
      </c>
      <c r="EE213" s="229">
        <v>5.1999999999999998E-3</v>
      </c>
      <c r="EF213" s="230">
        <v>865269</v>
      </c>
      <c r="EG213" s="230">
        <v>850266</v>
      </c>
      <c r="EH213" s="229">
        <v>1.7600000000000001E-2</v>
      </c>
      <c r="EI213" s="229">
        <v>0.61650000000000005</v>
      </c>
      <c r="EJ213" s="231">
        <v>112808.13</v>
      </c>
      <c r="EK213" s="231">
        <v>54571.26</v>
      </c>
      <c r="EL213" s="231">
        <v>117292.9</v>
      </c>
      <c r="EM213" s="228">
        <v>0</v>
      </c>
      <c r="EN213" s="231">
        <v>284672.28999999998</v>
      </c>
      <c r="EO213" s="231">
        <v>321199.7</v>
      </c>
      <c r="EP213" s="231">
        <v>-36527.410000000003</v>
      </c>
      <c r="EQ213" s="229">
        <v>-0.1137</v>
      </c>
      <c r="ER213" s="231">
        <v>65724</v>
      </c>
      <c r="ES213" s="231">
        <v>39166</v>
      </c>
      <c r="ET213" s="231">
        <v>243503</v>
      </c>
      <c r="EU213" s="231">
        <v>127258876</v>
      </c>
      <c r="EV213" s="231">
        <v>348393</v>
      </c>
      <c r="EW213" s="231">
        <v>567868</v>
      </c>
      <c r="EX213" s="231">
        <v>-219475</v>
      </c>
      <c r="EY213" s="229">
        <v>-0.38650000000000001</v>
      </c>
      <c r="EZ213" s="229">
        <v>0.184</v>
      </c>
      <c r="FA213" s="227" t="s">
        <v>568</v>
      </c>
      <c r="FB213" s="161">
        <f t="shared" si="5"/>
        <v>0</v>
      </c>
    </row>
    <row r="214" spans="1:158" ht="17.25" thickBot="1" x14ac:dyDescent="0.3">
      <c r="A214" s="226">
        <v>45869</v>
      </c>
      <c r="B214" s="227" t="s">
        <v>184</v>
      </c>
      <c r="C214" s="227" t="s">
        <v>596</v>
      </c>
      <c r="D214" s="228">
        <v>200</v>
      </c>
      <c r="E214" s="231">
        <v>2852.7</v>
      </c>
      <c r="F214" s="231">
        <v>2869.9</v>
      </c>
      <c r="G214" s="228">
        <v>-17.2</v>
      </c>
      <c r="H214" s="229">
        <v>-6.0000000000000001E-3</v>
      </c>
      <c r="I214" s="231">
        <v>2840.7</v>
      </c>
      <c r="J214" s="231">
        <v>2855.4</v>
      </c>
      <c r="K214" s="228">
        <v>-14.7</v>
      </c>
      <c r="L214" s="229">
        <v>-5.1000000000000004E-3</v>
      </c>
      <c r="M214" s="231">
        <v>2835.2</v>
      </c>
      <c r="N214" s="231">
        <v>2854.8</v>
      </c>
      <c r="O214" s="228">
        <v>-19.600000000000001</v>
      </c>
      <c r="P214" s="229">
        <v>-6.8999999999999999E-3</v>
      </c>
      <c r="Q214" s="231">
        <v>2852.7</v>
      </c>
      <c r="R214" s="231">
        <v>2869.9</v>
      </c>
      <c r="S214" s="228">
        <v>-17.2</v>
      </c>
      <c r="T214" s="229">
        <v>-6.0000000000000001E-3</v>
      </c>
      <c r="U214" s="231">
        <v>2848.3</v>
      </c>
      <c r="V214" s="231">
        <v>2889.5</v>
      </c>
      <c r="W214" s="228">
        <v>-41.2</v>
      </c>
      <c r="X214" s="229">
        <v>-1.43E-2</v>
      </c>
      <c r="Y214" s="228">
        <v>12</v>
      </c>
      <c r="Z214" s="228">
        <v>-0.6</v>
      </c>
      <c r="AA214" s="228">
        <v>12.6</v>
      </c>
      <c r="AB214" s="229">
        <v>4.1999999999999997E-3</v>
      </c>
      <c r="AC214" s="228">
        <v>-5.5</v>
      </c>
      <c r="AD214" s="228">
        <v>-0.6</v>
      </c>
      <c r="AE214" s="228">
        <v>-4.9000000000000004</v>
      </c>
      <c r="AF214" s="229">
        <v>-1.9E-3</v>
      </c>
      <c r="AG214" s="228">
        <v>12</v>
      </c>
      <c r="AH214" s="228">
        <v>14.5</v>
      </c>
      <c r="AI214" s="228">
        <v>-2.5</v>
      </c>
      <c r="AJ214" s="229">
        <v>4.1999999999999997E-3</v>
      </c>
      <c r="AK214" s="228">
        <v>7.6</v>
      </c>
      <c r="AL214" s="228">
        <v>34.1</v>
      </c>
      <c r="AM214" s="228">
        <v>-26.5</v>
      </c>
      <c r="AN214" s="229">
        <v>2.7000000000000001E-3</v>
      </c>
      <c r="AO214" s="231">
        <v>2826.76</v>
      </c>
      <c r="AP214" s="231">
        <v>2842.77</v>
      </c>
      <c r="AQ214" s="228">
        <v>0</v>
      </c>
      <c r="AR214" s="230">
        <v>668000</v>
      </c>
      <c r="AS214" s="230">
        <v>1315800</v>
      </c>
      <c r="AT214" s="230">
        <v>-647800</v>
      </c>
      <c r="AU214" s="229">
        <v>-0.49230000000000002</v>
      </c>
      <c r="AV214" s="230">
        <v>262400</v>
      </c>
      <c r="AW214" s="230">
        <v>596600</v>
      </c>
      <c r="AX214" s="230">
        <v>-334200</v>
      </c>
      <c r="AY214" s="229">
        <v>-0.56020000000000003</v>
      </c>
      <c r="AZ214" s="230">
        <v>399000</v>
      </c>
      <c r="BA214" s="230">
        <v>714200</v>
      </c>
      <c r="BB214" s="230">
        <v>-315200</v>
      </c>
      <c r="BC214" s="229">
        <v>-0.44130000000000003</v>
      </c>
      <c r="BD214" s="230">
        <v>6600</v>
      </c>
      <c r="BE214" s="230">
        <v>5000</v>
      </c>
      <c r="BF214" s="230">
        <v>1600</v>
      </c>
      <c r="BG214" s="229">
        <v>0.32</v>
      </c>
      <c r="BH214" s="230">
        <v>1141400</v>
      </c>
      <c r="BI214" s="230">
        <v>2072000</v>
      </c>
      <c r="BJ214" s="230">
        <v>-930600</v>
      </c>
      <c r="BK214" s="229">
        <v>-0.4491</v>
      </c>
      <c r="BL214" s="230">
        <v>160600</v>
      </c>
      <c r="BM214" s="230">
        <v>227800</v>
      </c>
      <c r="BN214" s="230">
        <v>-67200</v>
      </c>
      <c r="BO214" s="229">
        <v>-0.29499999999999998</v>
      </c>
      <c r="BP214" s="230">
        <v>1970000</v>
      </c>
      <c r="BQ214" s="230">
        <v>3615600</v>
      </c>
      <c r="BR214" s="230">
        <v>-1645600</v>
      </c>
      <c r="BS214" s="229">
        <v>-0.4551</v>
      </c>
      <c r="BT214" s="230">
        <v>293857</v>
      </c>
      <c r="BU214" s="230">
        <v>734221</v>
      </c>
      <c r="BV214" s="230">
        <v>-440364</v>
      </c>
      <c r="BW214" s="229">
        <v>-0.5998</v>
      </c>
      <c r="BX214" s="230">
        <v>1718200</v>
      </c>
      <c r="BY214" s="230">
        <v>1849800</v>
      </c>
      <c r="BZ214" s="230">
        <v>-131600</v>
      </c>
      <c r="CA214" s="229">
        <v>-7.1099999999999997E-2</v>
      </c>
      <c r="CB214" s="230">
        <v>148200</v>
      </c>
      <c r="CC214" s="230">
        <v>243600</v>
      </c>
      <c r="CD214" s="230">
        <v>-95400</v>
      </c>
      <c r="CE214" s="229">
        <v>-0.3916</v>
      </c>
      <c r="CF214" s="230">
        <v>1706600</v>
      </c>
      <c r="CG214" s="230">
        <v>1596200</v>
      </c>
      <c r="CH214" s="230">
        <v>110400</v>
      </c>
      <c r="CI214" s="229">
        <v>6.9199999999999998E-2</v>
      </c>
      <c r="CJ214" s="230">
        <v>11600</v>
      </c>
      <c r="CK214" s="230">
        <v>10000</v>
      </c>
      <c r="CL214" s="230">
        <v>1600</v>
      </c>
      <c r="CM214" s="229">
        <v>0.16</v>
      </c>
      <c r="CN214" s="230">
        <v>126000</v>
      </c>
      <c r="CO214" s="230">
        <v>606000</v>
      </c>
      <c r="CP214" s="230">
        <v>-480000</v>
      </c>
      <c r="CQ214" s="229">
        <v>-0.79210000000000003</v>
      </c>
      <c r="CR214" s="230">
        <v>110600</v>
      </c>
      <c r="CS214" s="230">
        <v>324000</v>
      </c>
      <c r="CT214" s="230">
        <v>-213400</v>
      </c>
      <c r="CU214" s="229">
        <v>-0.65859999999999996</v>
      </c>
      <c r="CV214" s="230">
        <v>1954800</v>
      </c>
      <c r="CW214" s="230">
        <v>2779800</v>
      </c>
      <c r="CX214" s="230">
        <v>-825000</v>
      </c>
      <c r="CY214" s="229">
        <v>-0.29680000000000001</v>
      </c>
      <c r="CZ214" s="228">
        <v>34.229999999999997</v>
      </c>
      <c r="DA214" s="228">
        <v>35.78</v>
      </c>
      <c r="DB214" s="228">
        <v>-1.55</v>
      </c>
      <c r="DC214" s="228">
        <v>-1.55</v>
      </c>
      <c r="DD214" s="228">
        <v>44.39</v>
      </c>
      <c r="DE214" s="228">
        <v>44.49</v>
      </c>
      <c r="DF214" s="228">
        <v>-10.16</v>
      </c>
      <c r="DG214" s="228">
        <v>-0.1</v>
      </c>
      <c r="DH214" s="228">
        <v>34.35</v>
      </c>
      <c r="DI214" s="228">
        <v>35.869999999999997</v>
      </c>
      <c r="DJ214" s="228">
        <v>-1.52</v>
      </c>
      <c r="DK214" s="228">
        <v>-1.52</v>
      </c>
      <c r="DL214" s="228">
        <v>34.090000000000003</v>
      </c>
      <c r="DM214" s="228">
        <v>35.31</v>
      </c>
      <c r="DN214" s="228">
        <v>-1.22</v>
      </c>
      <c r="DO214" s="228">
        <v>-1.22</v>
      </c>
      <c r="DP214" s="228">
        <v>0.88</v>
      </c>
      <c r="DQ214" s="228">
        <v>0.53</v>
      </c>
      <c r="DR214" s="228">
        <v>0.35</v>
      </c>
      <c r="DS214" s="229">
        <v>0.66039999999999999</v>
      </c>
      <c r="DT214" s="231">
        <v>3000</v>
      </c>
      <c r="DU214" s="231">
        <v>3000</v>
      </c>
      <c r="DV214" s="228">
        <v>0.14000000000000001</v>
      </c>
      <c r="DW214" s="228">
        <v>0.11</v>
      </c>
      <c r="DX214" s="228">
        <v>0.03</v>
      </c>
      <c r="DY214" s="229">
        <v>0.2727</v>
      </c>
      <c r="DZ214" s="229">
        <v>0.92059999999999997</v>
      </c>
      <c r="EA214" s="230">
        <v>1606200</v>
      </c>
      <c r="EB214" s="229">
        <v>6.1999999999999998E-3</v>
      </c>
      <c r="EC214" s="229">
        <v>0.92059999999999997</v>
      </c>
      <c r="ED214" s="228">
        <v>16.010000000000002</v>
      </c>
      <c r="EE214" s="229">
        <v>5.7000000000000002E-3</v>
      </c>
      <c r="EF214" s="230">
        <v>160870</v>
      </c>
      <c r="EG214" s="230">
        <v>577501</v>
      </c>
      <c r="EH214" s="229">
        <v>-0.72140000000000004</v>
      </c>
      <c r="EI214" s="229">
        <v>0.5474</v>
      </c>
      <c r="EJ214" s="231">
        <v>34105.089999999997</v>
      </c>
      <c r="EK214" s="231">
        <v>4777.6400000000003</v>
      </c>
      <c r="EL214" s="231">
        <v>18948.419999999998</v>
      </c>
      <c r="EM214" s="228">
        <v>0</v>
      </c>
      <c r="EN214" s="231">
        <v>57831.15</v>
      </c>
      <c r="EO214" s="231">
        <v>107634.47</v>
      </c>
      <c r="EP214" s="231">
        <v>-49803.32</v>
      </c>
      <c r="EQ214" s="229">
        <v>-0.4627</v>
      </c>
      <c r="ER214" s="231">
        <v>3792</v>
      </c>
      <c r="ES214" s="231">
        <v>3131</v>
      </c>
      <c r="ET214" s="231">
        <v>49015</v>
      </c>
      <c r="EU214" s="231">
        <v>21630854</v>
      </c>
      <c r="EV214" s="231">
        <v>55937</v>
      </c>
      <c r="EW214" s="231">
        <v>81195</v>
      </c>
      <c r="EX214" s="231">
        <v>-25258</v>
      </c>
      <c r="EY214" s="229">
        <v>-0.31109999999999999</v>
      </c>
      <c r="EZ214" s="229">
        <v>9.0399999999999994E-2</v>
      </c>
      <c r="FA214" s="227" t="s">
        <v>568</v>
      </c>
      <c r="FB214" s="161">
        <f t="shared" si="5"/>
        <v>0</v>
      </c>
    </row>
    <row r="215" spans="1:158" ht="17.25" thickBot="1" x14ac:dyDescent="0.3">
      <c r="A215" s="226">
        <v>45869</v>
      </c>
      <c r="B215" s="227" t="s">
        <v>184</v>
      </c>
      <c r="C215" s="227" t="s">
        <v>664</v>
      </c>
      <c r="D215" s="228">
        <v>725</v>
      </c>
      <c r="E215" s="228">
        <v>864.7</v>
      </c>
      <c r="F215" s="228">
        <v>873.65</v>
      </c>
      <c r="G215" s="228">
        <v>-8.9499999999999993</v>
      </c>
      <c r="H215" s="229">
        <v>-1.0200000000000001E-2</v>
      </c>
      <c r="I215" s="228">
        <v>860.15</v>
      </c>
      <c r="J215" s="228">
        <v>869.95</v>
      </c>
      <c r="K215" s="228">
        <v>-9.8000000000000007</v>
      </c>
      <c r="L215" s="229">
        <v>-1.1299999999999999E-2</v>
      </c>
      <c r="M215" s="228">
        <v>860.95</v>
      </c>
      <c r="N215" s="228">
        <v>871.2</v>
      </c>
      <c r="O215" s="228">
        <v>-10.25</v>
      </c>
      <c r="P215" s="229">
        <v>-1.18E-2</v>
      </c>
      <c r="Q215" s="228">
        <v>864.7</v>
      </c>
      <c r="R215" s="228">
        <v>873.65</v>
      </c>
      <c r="S215" s="228">
        <v>-8.9499999999999993</v>
      </c>
      <c r="T215" s="229">
        <v>-1.0200000000000001E-2</v>
      </c>
      <c r="U215" s="228">
        <v>868.55</v>
      </c>
      <c r="V215" s="228">
        <v>876.35</v>
      </c>
      <c r="W215" s="228">
        <v>-7.8</v>
      </c>
      <c r="X215" s="229">
        <v>-8.8999999999999999E-3</v>
      </c>
      <c r="Y215" s="228">
        <v>4.55</v>
      </c>
      <c r="Z215" s="228">
        <v>1.25</v>
      </c>
      <c r="AA215" s="228">
        <v>3.3</v>
      </c>
      <c r="AB215" s="229">
        <v>5.3E-3</v>
      </c>
      <c r="AC215" s="228">
        <v>0.8</v>
      </c>
      <c r="AD215" s="228">
        <v>1.25</v>
      </c>
      <c r="AE215" s="228">
        <v>-0.45</v>
      </c>
      <c r="AF215" s="229">
        <v>8.9999999999999998E-4</v>
      </c>
      <c r="AG215" s="228">
        <v>4.55</v>
      </c>
      <c r="AH215" s="228">
        <v>3.7</v>
      </c>
      <c r="AI215" s="228">
        <v>0.85</v>
      </c>
      <c r="AJ215" s="229">
        <v>5.3E-3</v>
      </c>
      <c r="AK215" s="228">
        <v>8.4</v>
      </c>
      <c r="AL215" s="228">
        <v>6.4</v>
      </c>
      <c r="AM215" s="228">
        <v>2</v>
      </c>
      <c r="AN215" s="229">
        <v>9.7999999999999997E-3</v>
      </c>
      <c r="AO215" s="228">
        <v>864.22</v>
      </c>
      <c r="AP215" s="228">
        <v>868.54</v>
      </c>
      <c r="AQ215" s="228">
        <v>0</v>
      </c>
      <c r="AR215" s="230">
        <v>4536325</v>
      </c>
      <c r="AS215" s="230">
        <v>5275100</v>
      </c>
      <c r="AT215" s="230">
        <v>-738775</v>
      </c>
      <c r="AU215" s="229">
        <v>-0.14000000000000001</v>
      </c>
      <c r="AV215" s="230">
        <v>2159050</v>
      </c>
      <c r="AW215" s="230">
        <v>2516475</v>
      </c>
      <c r="AX215" s="230">
        <v>-357425</v>
      </c>
      <c r="AY215" s="229">
        <v>-0.14199999999999999</v>
      </c>
      <c r="AZ215" s="230">
        <v>2346100</v>
      </c>
      <c r="BA215" s="230">
        <v>2712225</v>
      </c>
      <c r="BB215" s="230">
        <v>-366125</v>
      </c>
      <c r="BC215" s="229">
        <v>-0.13500000000000001</v>
      </c>
      <c r="BD215" s="230">
        <v>31175</v>
      </c>
      <c r="BE215" s="230">
        <v>46400</v>
      </c>
      <c r="BF215" s="230">
        <v>-15225</v>
      </c>
      <c r="BG215" s="229">
        <v>-0.3281</v>
      </c>
      <c r="BH215" s="230">
        <v>2348275</v>
      </c>
      <c r="BI215" s="230">
        <v>4651600</v>
      </c>
      <c r="BJ215" s="230">
        <v>-2303325</v>
      </c>
      <c r="BK215" s="229">
        <v>-0.49519999999999997</v>
      </c>
      <c r="BL215" s="230">
        <v>2378725</v>
      </c>
      <c r="BM215" s="230">
        <v>1005575</v>
      </c>
      <c r="BN215" s="230">
        <v>1373150</v>
      </c>
      <c r="BO215" s="229">
        <v>1.3654999999999999</v>
      </c>
      <c r="BP215" s="230">
        <v>9263325</v>
      </c>
      <c r="BQ215" s="230">
        <v>10932275</v>
      </c>
      <c r="BR215" s="230">
        <v>-1668950</v>
      </c>
      <c r="BS215" s="229">
        <v>-0.1527</v>
      </c>
      <c r="BT215" s="230">
        <v>1033715</v>
      </c>
      <c r="BU215" s="230">
        <v>856032</v>
      </c>
      <c r="BV215" s="230">
        <v>177683</v>
      </c>
      <c r="BW215" s="229">
        <v>0.20760000000000001</v>
      </c>
      <c r="BX215" s="230">
        <v>6900550</v>
      </c>
      <c r="BY215" s="230">
        <v>7399350</v>
      </c>
      <c r="BZ215" s="230">
        <v>-498800</v>
      </c>
      <c r="CA215" s="229">
        <v>-6.7400000000000002E-2</v>
      </c>
      <c r="CB215" s="230">
        <v>445875</v>
      </c>
      <c r="CC215" s="230">
        <v>1690700</v>
      </c>
      <c r="CD215" s="230">
        <v>-1244825</v>
      </c>
      <c r="CE215" s="229">
        <v>-0.73629999999999995</v>
      </c>
      <c r="CF215" s="230">
        <v>6763525</v>
      </c>
      <c r="CG215" s="230">
        <v>5578875</v>
      </c>
      <c r="CH215" s="230">
        <v>1184650</v>
      </c>
      <c r="CI215" s="229">
        <v>0.21229999999999999</v>
      </c>
      <c r="CJ215" s="230">
        <v>137025</v>
      </c>
      <c r="CK215" s="230">
        <v>129775</v>
      </c>
      <c r="CL215" s="230">
        <v>7250</v>
      </c>
      <c r="CM215" s="229">
        <v>5.5899999999999998E-2</v>
      </c>
      <c r="CN215" s="230">
        <v>640900</v>
      </c>
      <c r="CO215" s="230">
        <v>2844900</v>
      </c>
      <c r="CP215" s="230">
        <v>-2204000</v>
      </c>
      <c r="CQ215" s="229">
        <v>-0.77470000000000006</v>
      </c>
      <c r="CR215" s="230">
        <v>850425</v>
      </c>
      <c r="CS215" s="230">
        <v>1908200</v>
      </c>
      <c r="CT215" s="230">
        <v>-1057775</v>
      </c>
      <c r="CU215" s="229">
        <v>-0.55430000000000001</v>
      </c>
      <c r="CV215" s="230">
        <v>8391875</v>
      </c>
      <c r="CW215" s="230">
        <v>12152450</v>
      </c>
      <c r="CX215" s="230">
        <v>-3760575</v>
      </c>
      <c r="CY215" s="229">
        <v>-0.30940000000000001</v>
      </c>
      <c r="CZ215" s="228">
        <v>40.51</v>
      </c>
      <c r="DA215" s="228">
        <v>44.28</v>
      </c>
      <c r="DB215" s="228">
        <v>-3.77</v>
      </c>
      <c r="DC215" s="228">
        <v>-3.77</v>
      </c>
      <c r="DD215" s="228">
        <v>59.65</v>
      </c>
      <c r="DE215" s="228">
        <v>59.78</v>
      </c>
      <c r="DF215" s="228">
        <v>-19.14</v>
      </c>
      <c r="DG215" s="228">
        <v>-0.13</v>
      </c>
      <c r="DH215" s="228">
        <v>40.82</v>
      </c>
      <c r="DI215" s="228">
        <v>44.16</v>
      </c>
      <c r="DJ215" s="228">
        <v>-3.34</v>
      </c>
      <c r="DK215" s="228">
        <v>-3.34</v>
      </c>
      <c r="DL215" s="228">
        <v>40.01</v>
      </c>
      <c r="DM215" s="228">
        <v>45.02</v>
      </c>
      <c r="DN215" s="228">
        <v>-5.01</v>
      </c>
      <c r="DO215" s="228">
        <v>-5.01</v>
      </c>
      <c r="DP215" s="228">
        <v>1.33</v>
      </c>
      <c r="DQ215" s="228">
        <v>0.67</v>
      </c>
      <c r="DR215" s="228">
        <v>0.66</v>
      </c>
      <c r="DS215" s="229">
        <v>0.98509999999999998</v>
      </c>
      <c r="DT215" s="228">
        <v>960</v>
      </c>
      <c r="DU215" s="228">
        <v>860</v>
      </c>
      <c r="DV215" s="228">
        <v>1.01</v>
      </c>
      <c r="DW215" s="228">
        <v>0.22</v>
      </c>
      <c r="DX215" s="228">
        <v>0.79</v>
      </c>
      <c r="DY215" s="229">
        <v>3.5909</v>
      </c>
      <c r="DZ215" s="229">
        <v>0.93930000000000002</v>
      </c>
      <c r="EA215" s="230">
        <v>5708650</v>
      </c>
      <c r="EB215" s="229">
        <v>4.4000000000000003E-3</v>
      </c>
      <c r="EC215" s="229">
        <v>0.93930000000000002</v>
      </c>
      <c r="ED215" s="228">
        <v>4.32</v>
      </c>
      <c r="EE215" s="229">
        <v>5.0000000000000001E-3</v>
      </c>
      <c r="EF215" s="230">
        <v>249887</v>
      </c>
      <c r="EG215" s="230">
        <v>188265</v>
      </c>
      <c r="EH215" s="229">
        <v>0.32729999999999998</v>
      </c>
      <c r="EI215" s="229">
        <v>0.2417</v>
      </c>
      <c r="EJ215" s="231">
        <v>22388.45</v>
      </c>
      <c r="EK215" s="231">
        <v>21080.86</v>
      </c>
      <c r="EL215" s="231">
        <v>39307.4</v>
      </c>
      <c r="EM215" s="228">
        <v>0</v>
      </c>
      <c r="EN215" s="231">
        <v>82776.710000000006</v>
      </c>
      <c r="EO215" s="231">
        <v>99696.4</v>
      </c>
      <c r="EP215" s="231">
        <v>-16919.689999999999</v>
      </c>
      <c r="EQ215" s="229">
        <v>-0.16969999999999999</v>
      </c>
      <c r="ER215" s="231">
        <v>5944</v>
      </c>
      <c r="ES215" s="231">
        <v>7293</v>
      </c>
      <c r="ET215" s="231">
        <v>59674</v>
      </c>
      <c r="EU215" s="231">
        <v>16037381</v>
      </c>
      <c r="EV215" s="231">
        <v>72911</v>
      </c>
      <c r="EW215" s="231">
        <v>108540</v>
      </c>
      <c r="EX215" s="231">
        <v>-35629</v>
      </c>
      <c r="EY215" s="229">
        <v>-0.32829999999999998</v>
      </c>
      <c r="EZ215" s="229">
        <v>0.52329999999999999</v>
      </c>
      <c r="FA215" s="227" t="s">
        <v>568</v>
      </c>
      <c r="FB215" s="161">
        <f t="shared" si="5"/>
        <v>0</v>
      </c>
    </row>
    <row r="216" spans="1:158" ht="17.25" thickBot="1" x14ac:dyDescent="0.3">
      <c r="A216" s="226">
        <v>45869</v>
      </c>
      <c r="B216" s="227" t="s">
        <v>168</v>
      </c>
      <c r="C216" s="227" t="s">
        <v>297</v>
      </c>
      <c r="D216" s="228">
        <v>175</v>
      </c>
      <c r="E216" s="231">
        <v>3359.1</v>
      </c>
      <c r="F216" s="231">
        <v>3396.5</v>
      </c>
      <c r="G216" s="228">
        <v>-37.4</v>
      </c>
      <c r="H216" s="229">
        <v>-1.0999999999999999E-2</v>
      </c>
      <c r="I216" s="231">
        <v>3347.3</v>
      </c>
      <c r="J216" s="231">
        <v>3376.5</v>
      </c>
      <c r="K216" s="228">
        <v>-29.2</v>
      </c>
      <c r="L216" s="229">
        <v>-8.6E-3</v>
      </c>
      <c r="M216" s="231">
        <v>3341.8</v>
      </c>
      <c r="N216" s="231">
        <v>3377.4</v>
      </c>
      <c r="O216" s="228">
        <v>-35.6</v>
      </c>
      <c r="P216" s="229">
        <v>-1.0500000000000001E-2</v>
      </c>
      <c r="Q216" s="231">
        <v>3359.1</v>
      </c>
      <c r="R216" s="231">
        <v>3396.5</v>
      </c>
      <c r="S216" s="228">
        <v>-37.4</v>
      </c>
      <c r="T216" s="229">
        <v>-1.0999999999999999E-2</v>
      </c>
      <c r="U216" s="231">
        <v>3378.8</v>
      </c>
      <c r="V216" s="231">
        <v>3416</v>
      </c>
      <c r="W216" s="228">
        <v>-37.200000000000003</v>
      </c>
      <c r="X216" s="229">
        <v>-1.09E-2</v>
      </c>
      <c r="Y216" s="228">
        <v>11.8</v>
      </c>
      <c r="Z216" s="228">
        <v>0.9</v>
      </c>
      <c r="AA216" s="228">
        <v>10.9</v>
      </c>
      <c r="AB216" s="229">
        <v>3.5000000000000001E-3</v>
      </c>
      <c r="AC216" s="228">
        <v>-5.5</v>
      </c>
      <c r="AD216" s="228">
        <v>0.9</v>
      </c>
      <c r="AE216" s="228">
        <v>-6.4</v>
      </c>
      <c r="AF216" s="229">
        <v>-1.6000000000000001E-3</v>
      </c>
      <c r="AG216" s="228">
        <v>11.8</v>
      </c>
      <c r="AH216" s="228">
        <v>20</v>
      </c>
      <c r="AI216" s="228">
        <v>-8.1999999999999993</v>
      </c>
      <c r="AJ216" s="229">
        <v>3.5000000000000001E-3</v>
      </c>
      <c r="AK216" s="228">
        <v>31.5</v>
      </c>
      <c r="AL216" s="228">
        <v>39.5</v>
      </c>
      <c r="AM216" s="228">
        <v>-8</v>
      </c>
      <c r="AN216" s="229">
        <v>9.4000000000000004E-3</v>
      </c>
      <c r="AO216" s="231">
        <v>3346.7</v>
      </c>
      <c r="AP216" s="231">
        <v>3361.89</v>
      </c>
      <c r="AQ216" s="228">
        <v>0</v>
      </c>
      <c r="AR216" s="230">
        <v>5004475</v>
      </c>
      <c r="AS216" s="230">
        <v>7065450</v>
      </c>
      <c r="AT216" s="230">
        <v>-2060975</v>
      </c>
      <c r="AU216" s="229">
        <v>-0.29170000000000001</v>
      </c>
      <c r="AV216" s="230">
        <v>2297925</v>
      </c>
      <c r="AW216" s="230">
        <v>3447500</v>
      </c>
      <c r="AX216" s="230">
        <v>-1149575</v>
      </c>
      <c r="AY216" s="229">
        <v>-0.33350000000000002</v>
      </c>
      <c r="AZ216" s="230">
        <v>2685550</v>
      </c>
      <c r="BA216" s="230">
        <v>3593100</v>
      </c>
      <c r="BB216" s="230">
        <v>-907550</v>
      </c>
      <c r="BC216" s="229">
        <v>-0.25259999999999999</v>
      </c>
      <c r="BD216" s="230">
        <v>21000</v>
      </c>
      <c r="BE216" s="230">
        <v>24850</v>
      </c>
      <c r="BF216" s="230">
        <v>-3850</v>
      </c>
      <c r="BG216" s="229">
        <v>-0.15490000000000001</v>
      </c>
      <c r="BH216" s="230">
        <v>3564750</v>
      </c>
      <c r="BI216" s="230">
        <v>3070725</v>
      </c>
      <c r="BJ216" s="230">
        <v>494025</v>
      </c>
      <c r="BK216" s="229">
        <v>0.16089999999999999</v>
      </c>
      <c r="BL216" s="230">
        <v>2597000</v>
      </c>
      <c r="BM216" s="230">
        <v>1602650</v>
      </c>
      <c r="BN216" s="230">
        <v>994350</v>
      </c>
      <c r="BO216" s="229">
        <v>0.62039999999999995</v>
      </c>
      <c r="BP216" s="230">
        <v>11166225</v>
      </c>
      <c r="BQ216" s="230">
        <v>11738825</v>
      </c>
      <c r="BR216" s="230">
        <v>-572600</v>
      </c>
      <c r="BS216" s="229">
        <v>-4.8800000000000003E-2</v>
      </c>
      <c r="BT216" s="230">
        <v>569832</v>
      </c>
      <c r="BU216" s="230">
        <v>466106</v>
      </c>
      <c r="BV216" s="230">
        <v>103726</v>
      </c>
      <c r="BW216" s="229">
        <v>0.2225</v>
      </c>
      <c r="BX216" s="230">
        <v>9788975</v>
      </c>
      <c r="BY216" s="230">
        <v>10399025</v>
      </c>
      <c r="BZ216" s="230">
        <v>-610050</v>
      </c>
      <c r="CA216" s="229">
        <v>-5.8700000000000002E-2</v>
      </c>
      <c r="CB216" s="230">
        <v>503825</v>
      </c>
      <c r="CC216" s="230">
        <v>1556450</v>
      </c>
      <c r="CD216" s="230">
        <v>-1052625</v>
      </c>
      <c r="CE216" s="229">
        <v>-0.67630000000000001</v>
      </c>
      <c r="CF216" s="230">
        <v>9529625</v>
      </c>
      <c r="CG216" s="230">
        <v>8592500</v>
      </c>
      <c r="CH216" s="230">
        <v>937125</v>
      </c>
      <c r="CI216" s="229">
        <v>0.1091</v>
      </c>
      <c r="CJ216" s="230">
        <v>259350</v>
      </c>
      <c r="CK216" s="230">
        <v>250075</v>
      </c>
      <c r="CL216" s="230">
        <v>9275</v>
      </c>
      <c r="CM216" s="229">
        <v>3.7100000000000001E-2</v>
      </c>
      <c r="CN216" s="230">
        <v>1240050</v>
      </c>
      <c r="CO216" s="230">
        <v>4699800</v>
      </c>
      <c r="CP216" s="230">
        <v>-3459750</v>
      </c>
      <c r="CQ216" s="229">
        <v>-0.73609999999999998</v>
      </c>
      <c r="CR216" s="230">
        <v>1246875</v>
      </c>
      <c r="CS216" s="230">
        <v>2585275</v>
      </c>
      <c r="CT216" s="230">
        <v>-1338400</v>
      </c>
      <c r="CU216" s="229">
        <v>-0.51770000000000005</v>
      </c>
      <c r="CV216" s="230">
        <v>12275900</v>
      </c>
      <c r="CW216" s="230">
        <v>17684100</v>
      </c>
      <c r="CX216" s="230">
        <v>-5408200</v>
      </c>
      <c r="CY216" s="229">
        <v>-0.30580000000000002</v>
      </c>
      <c r="CZ216" s="228">
        <v>23.85</v>
      </c>
      <c r="DA216" s="228">
        <v>24.18</v>
      </c>
      <c r="DB216" s="228">
        <v>-0.33</v>
      </c>
      <c r="DC216" s="228">
        <v>-0.33</v>
      </c>
      <c r="DD216" s="228">
        <v>27.25</v>
      </c>
      <c r="DE216" s="228">
        <v>27.29</v>
      </c>
      <c r="DF216" s="228">
        <v>-3.4</v>
      </c>
      <c r="DG216" s="228">
        <v>-0.04</v>
      </c>
      <c r="DH216" s="228">
        <v>23.93</v>
      </c>
      <c r="DI216" s="228">
        <v>23.95</v>
      </c>
      <c r="DJ216" s="228">
        <v>-0.02</v>
      </c>
      <c r="DK216" s="228">
        <v>-0.02</v>
      </c>
      <c r="DL216" s="228">
        <v>23.76</v>
      </c>
      <c r="DM216" s="228">
        <v>24.48</v>
      </c>
      <c r="DN216" s="228">
        <v>-0.72</v>
      </c>
      <c r="DO216" s="228">
        <v>-0.72</v>
      </c>
      <c r="DP216" s="228">
        <v>1.01</v>
      </c>
      <c r="DQ216" s="228">
        <v>0.55000000000000004</v>
      </c>
      <c r="DR216" s="228">
        <v>0.46</v>
      </c>
      <c r="DS216" s="229">
        <v>0.83640000000000003</v>
      </c>
      <c r="DT216" s="231">
        <v>4000</v>
      </c>
      <c r="DU216" s="231">
        <v>3500</v>
      </c>
      <c r="DV216" s="228">
        <v>0.73</v>
      </c>
      <c r="DW216" s="228">
        <v>0.52</v>
      </c>
      <c r="DX216" s="228">
        <v>0.21</v>
      </c>
      <c r="DY216" s="229">
        <v>0.40379999999999999</v>
      </c>
      <c r="DZ216" s="229">
        <v>0.95109999999999995</v>
      </c>
      <c r="EA216" s="230">
        <v>8842575</v>
      </c>
      <c r="EB216" s="229">
        <v>5.1999999999999998E-3</v>
      </c>
      <c r="EC216" s="229">
        <v>0.95109999999999995</v>
      </c>
      <c r="ED216" s="228">
        <v>15.19</v>
      </c>
      <c r="EE216" s="229">
        <v>4.4999999999999997E-3</v>
      </c>
      <c r="EF216" s="230">
        <v>299192</v>
      </c>
      <c r="EG216" s="230">
        <v>238592</v>
      </c>
      <c r="EH216" s="229">
        <v>0.254</v>
      </c>
      <c r="EI216" s="229">
        <v>0.52510000000000001</v>
      </c>
      <c r="EJ216" s="231">
        <v>125318.96</v>
      </c>
      <c r="EK216" s="231">
        <v>89231.31</v>
      </c>
      <c r="EL216" s="231">
        <v>167899.87</v>
      </c>
      <c r="EM216" s="228">
        <v>0</v>
      </c>
      <c r="EN216" s="231">
        <v>382450.14</v>
      </c>
      <c r="EO216" s="231">
        <v>400926.92</v>
      </c>
      <c r="EP216" s="231">
        <v>-18476.78</v>
      </c>
      <c r="EQ216" s="229">
        <v>-4.6100000000000002E-2</v>
      </c>
      <c r="ER216" s="231">
        <v>44193</v>
      </c>
      <c r="ES216" s="231">
        <v>41817</v>
      </c>
      <c r="ET216" s="231">
        <v>328873</v>
      </c>
      <c r="EU216" s="231">
        <v>83488668</v>
      </c>
      <c r="EV216" s="231">
        <v>414883</v>
      </c>
      <c r="EW216" s="231">
        <v>612554</v>
      </c>
      <c r="EX216" s="231">
        <v>-197671</v>
      </c>
      <c r="EY216" s="229">
        <v>-0.32269999999999999</v>
      </c>
      <c r="EZ216" s="229">
        <v>0.14699999999999999</v>
      </c>
      <c r="FA216" s="227" t="s">
        <v>568</v>
      </c>
      <c r="FB216" s="161">
        <f t="shared" si="5"/>
        <v>0</v>
      </c>
    </row>
    <row r="217" spans="1:158" ht="17.25" thickBot="1" x14ac:dyDescent="0.3">
      <c r="A217" s="226">
        <v>45869</v>
      </c>
      <c r="B217" s="227" t="s">
        <v>170</v>
      </c>
      <c r="C217" s="227" t="s">
        <v>298</v>
      </c>
      <c r="D217" s="228">
        <v>250</v>
      </c>
      <c r="E217" s="231">
        <v>3754.4</v>
      </c>
      <c r="F217" s="231">
        <v>3754.6</v>
      </c>
      <c r="G217" s="228">
        <v>-0.2</v>
      </c>
      <c r="H217" s="229">
        <v>-1E-4</v>
      </c>
      <c r="I217" s="231">
        <v>3741.9</v>
      </c>
      <c r="J217" s="231">
        <v>3730.6</v>
      </c>
      <c r="K217" s="228">
        <v>11.3</v>
      </c>
      <c r="L217" s="229">
        <v>3.0000000000000001E-3</v>
      </c>
      <c r="M217" s="231">
        <v>3748.1</v>
      </c>
      <c r="N217" s="231">
        <v>3734.6</v>
      </c>
      <c r="O217" s="228">
        <v>13.5</v>
      </c>
      <c r="P217" s="229">
        <v>3.5999999999999999E-3</v>
      </c>
      <c r="Q217" s="231">
        <v>3754.4</v>
      </c>
      <c r="R217" s="231">
        <v>3754.6</v>
      </c>
      <c r="S217" s="228">
        <v>-0.2</v>
      </c>
      <c r="T217" s="229">
        <v>-1E-4</v>
      </c>
      <c r="U217" s="231">
        <v>3762.1</v>
      </c>
      <c r="V217" s="231">
        <v>3767</v>
      </c>
      <c r="W217" s="228">
        <v>-4.9000000000000004</v>
      </c>
      <c r="X217" s="229">
        <v>-1.2999999999999999E-3</v>
      </c>
      <c r="Y217" s="228">
        <v>12.5</v>
      </c>
      <c r="Z217" s="228">
        <v>4</v>
      </c>
      <c r="AA217" s="228">
        <v>8.5</v>
      </c>
      <c r="AB217" s="229">
        <v>3.3E-3</v>
      </c>
      <c r="AC217" s="228">
        <v>6.2</v>
      </c>
      <c r="AD217" s="228">
        <v>4</v>
      </c>
      <c r="AE217" s="228">
        <v>2.2000000000000002</v>
      </c>
      <c r="AF217" s="229">
        <v>1.6999999999999999E-3</v>
      </c>
      <c r="AG217" s="228">
        <v>12.5</v>
      </c>
      <c r="AH217" s="228">
        <v>24</v>
      </c>
      <c r="AI217" s="228">
        <v>-11.5</v>
      </c>
      <c r="AJ217" s="229">
        <v>3.3E-3</v>
      </c>
      <c r="AK217" s="228">
        <v>20.2</v>
      </c>
      <c r="AL217" s="228">
        <v>36.4</v>
      </c>
      <c r="AM217" s="228">
        <v>-16.2</v>
      </c>
      <c r="AN217" s="229">
        <v>5.4000000000000003E-3</v>
      </c>
      <c r="AO217" s="231">
        <v>3716.66</v>
      </c>
      <c r="AP217" s="231">
        <v>3737.57</v>
      </c>
      <c r="AQ217" s="228">
        <v>0</v>
      </c>
      <c r="AR217" s="230">
        <v>1283500</v>
      </c>
      <c r="AS217" s="230">
        <v>2053000</v>
      </c>
      <c r="AT217" s="230">
        <v>-769500</v>
      </c>
      <c r="AU217" s="229">
        <v>-0.37480000000000002</v>
      </c>
      <c r="AV217" s="230">
        <v>524750</v>
      </c>
      <c r="AW217" s="230">
        <v>954000</v>
      </c>
      <c r="AX217" s="230">
        <v>-429250</v>
      </c>
      <c r="AY217" s="229">
        <v>-0.44990000000000002</v>
      </c>
      <c r="AZ217" s="230">
        <v>754500</v>
      </c>
      <c r="BA217" s="230">
        <v>1096250</v>
      </c>
      <c r="BB217" s="230">
        <v>-341750</v>
      </c>
      <c r="BC217" s="229">
        <v>-0.31169999999999998</v>
      </c>
      <c r="BD217" s="230">
        <v>4250</v>
      </c>
      <c r="BE217" s="230">
        <v>2750</v>
      </c>
      <c r="BF217" s="230">
        <v>1500</v>
      </c>
      <c r="BG217" s="229">
        <v>0.54549999999999998</v>
      </c>
      <c r="BH217" s="230">
        <v>1373750</v>
      </c>
      <c r="BI217" s="230">
        <v>1758750</v>
      </c>
      <c r="BJ217" s="230">
        <v>-385000</v>
      </c>
      <c r="BK217" s="229">
        <v>-0.21890000000000001</v>
      </c>
      <c r="BL217" s="230">
        <v>1016750</v>
      </c>
      <c r="BM217" s="230">
        <v>1252250</v>
      </c>
      <c r="BN217" s="230">
        <v>-235500</v>
      </c>
      <c r="BO217" s="229">
        <v>-0.18809999999999999</v>
      </c>
      <c r="BP217" s="230">
        <v>3674000</v>
      </c>
      <c r="BQ217" s="230">
        <v>5064000</v>
      </c>
      <c r="BR217" s="230">
        <v>-1390000</v>
      </c>
      <c r="BS217" s="229">
        <v>-0.27450000000000002</v>
      </c>
      <c r="BT217" s="230">
        <v>273111</v>
      </c>
      <c r="BU217" s="230">
        <v>453458</v>
      </c>
      <c r="BV217" s="230">
        <v>-180347</v>
      </c>
      <c r="BW217" s="229">
        <v>-0.3977</v>
      </c>
      <c r="BX217" s="230">
        <v>2315250</v>
      </c>
      <c r="BY217" s="230">
        <v>2679000</v>
      </c>
      <c r="BZ217" s="230">
        <v>-363750</v>
      </c>
      <c r="CA217" s="229">
        <v>-0.1358</v>
      </c>
      <c r="CB217" s="230">
        <v>409750</v>
      </c>
      <c r="CC217" s="230">
        <v>524250</v>
      </c>
      <c r="CD217" s="230">
        <v>-114500</v>
      </c>
      <c r="CE217" s="229">
        <v>-0.21840000000000001</v>
      </c>
      <c r="CF217" s="230">
        <v>2291750</v>
      </c>
      <c r="CG217" s="230">
        <v>2132000</v>
      </c>
      <c r="CH217" s="230">
        <v>159750</v>
      </c>
      <c r="CI217" s="229">
        <v>7.4899999999999994E-2</v>
      </c>
      <c r="CJ217" s="230">
        <v>23500</v>
      </c>
      <c r="CK217" s="230">
        <v>22750</v>
      </c>
      <c r="CL217" s="228">
        <v>750</v>
      </c>
      <c r="CM217" s="229">
        <v>3.3000000000000002E-2</v>
      </c>
      <c r="CN217" s="230">
        <v>395500</v>
      </c>
      <c r="CO217" s="230">
        <v>1418500</v>
      </c>
      <c r="CP217" s="230">
        <v>-1023000</v>
      </c>
      <c r="CQ217" s="229">
        <v>-0.72119999999999995</v>
      </c>
      <c r="CR217" s="230">
        <v>227000</v>
      </c>
      <c r="CS217" s="230">
        <v>1058750</v>
      </c>
      <c r="CT217" s="230">
        <v>-831750</v>
      </c>
      <c r="CU217" s="229">
        <v>-0.78559999999999997</v>
      </c>
      <c r="CV217" s="230">
        <v>2937750</v>
      </c>
      <c r="CW217" s="230">
        <v>5156250</v>
      </c>
      <c r="CX217" s="230">
        <v>-2218500</v>
      </c>
      <c r="CY217" s="229">
        <v>-0.43030000000000002</v>
      </c>
      <c r="CZ217" s="228">
        <v>23.23</v>
      </c>
      <c r="DA217" s="228">
        <v>26.91</v>
      </c>
      <c r="DB217" s="228">
        <v>-3.68</v>
      </c>
      <c r="DC217" s="228">
        <v>-3.68</v>
      </c>
      <c r="DD217" s="228">
        <v>27.68</v>
      </c>
      <c r="DE217" s="228">
        <v>27.75</v>
      </c>
      <c r="DF217" s="228">
        <v>-4.45</v>
      </c>
      <c r="DG217" s="228">
        <v>-7.0000000000000007E-2</v>
      </c>
      <c r="DH217" s="228">
        <v>22.33</v>
      </c>
      <c r="DI217" s="228">
        <v>26.71</v>
      </c>
      <c r="DJ217" s="228">
        <v>-4.38</v>
      </c>
      <c r="DK217" s="228">
        <v>-4.38</v>
      </c>
      <c r="DL217" s="228">
        <v>25.11</v>
      </c>
      <c r="DM217" s="228">
        <v>27.49</v>
      </c>
      <c r="DN217" s="228">
        <v>-2.38</v>
      </c>
      <c r="DO217" s="228">
        <v>-2.38</v>
      </c>
      <c r="DP217" s="228">
        <v>0.56999999999999995</v>
      </c>
      <c r="DQ217" s="228">
        <v>0.75</v>
      </c>
      <c r="DR217" s="228">
        <v>-0.18</v>
      </c>
      <c r="DS217" s="229">
        <v>-0.24</v>
      </c>
      <c r="DT217" s="231">
        <v>3350</v>
      </c>
      <c r="DU217" s="231">
        <v>3400</v>
      </c>
      <c r="DV217" s="228">
        <v>0.74</v>
      </c>
      <c r="DW217" s="228">
        <v>0.71</v>
      </c>
      <c r="DX217" s="228">
        <v>0.03</v>
      </c>
      <c r="DY217" s="229">
        <v>4.2299999999999997E-2</v>
      </c>
      <c r="DZ217" s="229">
        <v>0.84960000000000002</v>
      </c>
      <c r="EA217" s="230">
        <v>2154750</v>
      </c>
      <c r="EB217" s="229">
        <v>1.6999999999999999E-3</v>
      </c>
      <c r="EC217" s="229">
        <v>0.84960000000000002</v>
      </c>
      <c r="ED217" s="228">
        <v>20.91</v>
      </c>
      <c r="EE217" s="229">
        <v>5.5999999999999999E-3</v>
      </c>
      <c r="EF217" s="230">
        <v>137596</v>
      </c>
      <c r="EG217" s="230">
        <v>246403</v>
      </c>
      <c r="EH217" s="229">
        <v>-0.44159999999999999</v>
      </c>
      <c r="EI217" s="229">
        <v>0.50380000000000003</v>
      </c>
      <c r="EJ217" s="231">
        <v>53086.74</v>
      </c>
      <c r="EK217" s="231">
        <v>36403.14</v>
      </c>
      <c r="EL217" s="231">
        <v>47862.58</v>
      </c>
      <c r="EM217" s="228">
        <v>0</v>
      </c>
      <c r="EN217" s="231">
        <v>137352.46</v>
      </c>
      <c r="EO217" s="231">
        <v>190633.92</v>
      </c>
      <c r="EP217" s="231">
        <v>-53281.46</v>
      </c>
      <c r="EQ217" s="229">
        <v>-0.27950000000000003</v>
      </c>
      <c r="ER217" s="231">
        <v>15000</v>
      </c>
      <c r="ES217" s="231">
        <v>8097</v>
      </c>
      <c r="ET217" s="231">
        <v>86926</v>
      </c>
      <c r="EU217" s="231">
        <v>21452008</v>
      </c>
      <c r="EV217" s="231">
        <v>110023</v>
      </c>
      <c r="EW217" s="231">
        <v>188491</v>
      </c>
      <c r="EX217" s="231">
        <v>-78468</v>
      </c>
      <c r="EY217" s="229">
        <v>-0.4163</v>
      </c>
      <c r="EZ217" s="229">
        <v>0.13689999999999999</v>
      </c>
      <c r="FA217" s="227" t="s">
        <v>568</v>
      </c>
      <c r="FB217" s="161">
        <f t="shared" si="5"/>
        <v>0</v>
      </c>
    </row>
    <row r="218" spans="1:158" ht="17.25" thickBot="1" x14ac:dyDescent="0.3">
      <c r="A218" s="226">
        <v>45869</v>
      </c>
      <c r="B218" s="227" t="s">
        <v>161</v>
      </c>
      <c r="C218" s="227" t="s">
        <v>299</v>
      </c>
      <c r="D218" s="228">
        <v>375</v>
      </c>
      <c r="E218" s="231">
        <v>1317.8</v>
      </c>
      <c r="F218" s="231">
        <v>1344.5</v>
      </c>
      <c r="G218" s="228">
        <v>-26.7</v>
      </c>
      <c r="H218" s="229">
        <v>-1.9900000000000001E-2</v>
      </c>
      <c r="I218" s="231">
        <v>1310</v>
      </c>
      <c r="J218" s="231">
        <v>1336.5</v>
      </c>
      <c r="K218" s="228">
        <v>-26.5</v>
      </c>
      <c r="L218" s="229">
        <v>-1.9800000000000002E-2</v>
      </c>
      <c r="M218" s="231">
        <v>1310.5</v>
      </c>
      <c r="N218" s="231">
        <v>1337.4</v>
      </c>
      <c r="O218" s="228">
        <v>-26.9</v>
      </c>
      <c r="P218" s="229">
        <v>-2.01E-2</v>
      </c>
      <c r="Q218" s="231">
        <v>1317.8</v>
      </c>
      <c r="R218" s="231">
        <v>1344.5</v>
      </c>
      <c r="S218" s="228">
        <v>-26.7</v>
      </c>
      <c r="T218" s="229">
        <v>-1.9900000000000001E-2</v>
      </c>
      <c r="U218" s="231">
        <v>1325.7</v>
      </c>
      <c r="V218" s="231">
        <v>1353</v>
      </c>
      <c r="W218" s="228">
        <v>-27.3</v>
      </c>
      <c r="X218" s="229">
        <v>-2.0199999999999999E-2</v>
      </c>
      <c r="Y218" s="228">
        <v>7.8</v>
      </c>
      <c r="Z218" s="228">
        <v>0.9</v>
      </c>
      <c r="AA218" s="228">
        <v>6.9</v>
      </c>
      <c r="AB218" s="229">
        <v>6.0000000000000001E-3</v>
      </c>
      <c r="AC218" s="228">
        <v>0.5</v>
      </c>
      <c r="AD218" s="228">
        <v>0.9</v>
      </c>
      <c r="AE218" s="228">
        <v>-0.4</v>
      </c>
      <c r="AF218" s="229">
        <v>4.0000000000000002E-4</v>
      </c>
      <c r="AG218" s="228">
        <v>7.8</v>
      </c>
      <c r="AH218" s="228">
        <v>8</v>
      </c>
      <c r="AI218" s="228">
        <v>-0.2</v>
      </c>
      <c r="AJ218" s="229">
        <v>6.0000000000000001E-3</v>
      </c>
      <c r="AK218" s="228">
        <v>15.7</v>
      </c>
      <c r="AL218" s="228">
        <v>16.5</v>
      </c>
      <c r="AM218" s="228">
        <v>-0.8</v>
      </c>
      <c r="AN218" s="229">
        <v>1.2E-2</v>
      </c>
      <c r="AO218" s="231">
        <v>1317.21</v>
      </c>
      <c r="AP218" s="231">
        <v>1324.45</v>
      </c>
      <c r="AQ218" s="228">
        <v>0</v>
      </c>
      <c r="AR218" s="230">
        <v>1347375</v>
      </c>
      <c r="AS218" s="230">
        <v>2001375</v>
      </c>
      <c r="AT218" s="230">
        <v>-654000</v>
      </c>
      <c r="AU218" s="229">
        <v>-0.32679999999999998</v>
      </c>
      <c r="AV218" s="230">
        <v>574875</v>
      </c>
      <c r="AW218" s="230">
        <v>939750</v>
      </c>
      <c r="AX218" s="230">
        <v>-364875</v>
      </c>
      <c r="AY218" s="229">
        <v>-0.38829999999999998</v>
      </c>
      <c r="AZ218" s="230">
        <v>756375</v>
      </c>
      <c r="BA218" s="230">
        <v>1054875</v>
      </c>
      <c r="BB218" s="230">
        <v>-298500</v>
      </c>
      <c r="BC218" s="229">
        <v>-0.28299999999999997</v>
      </c>
      <c r="BD218" s="230">
        <v>16125</v>
      </c>
      <c r="BE218" s="230">
        <v>6750</v>
      </c>
      <c r="BF218" s="230">
        <v>9375</v>
      </c>
      <c r="BG218" s="229">
        <v>1.3889</v>
      </c>
      <c r="BH218" s="230">
        <v>1332375</v>
      </c>
      <c r="BI218" s="230">
        <v>2583750</v>
      </c>
      <c r="BJ218" s="230">
        <v>-1251375</v>
      </c>
      <c r="BK218" s="229">
        <v>-0.48430000000000001</v>
      </c>
      <c r="BL218" s="230">
        <v>388125</v>
      </c>
      <c r="BM218" s="230">
        <v>857250</v>
      </c>
      <c r="BN218" s="230">
        <v>-469125</v>
      </c>
      <c r="BO218" s="229">
        <v>-0.54720000000000002</v>
      </c>
      <c r="BP218" s="230">
        <v>3067875</v>
      </c>
      <c r="BQ218" s="230">
        <v>5442375</v>
      </c>
      <c r="BR218" s="230">
        <v>-2374500</v>
      </c>
      <c r="BS218" s="229">
        <v>-0.43630000000000002</v>
      </c>
      <c r="BT218" s="230">
        <v>363972</v>
      </c>
      <c r="BU218" s="230">
        <v>460236</v>
      </c>
      <c r="BV218" s="230">
        <v>-96264</v>
      </c>
      <c r="BW218" s="229">
        <v>-0.2092</v>
      </c>
      <c r="BX218" s="230">
        <v>2514000</v>
      </c>
      <c r="BY218" s="230">
        <v>2665125</v>
      </c>
      <c r="BZ218" s="230">
        <v>-151125</v>
      </c>
      <c r="CA218" s="229">
        <v>-5.67E-2</v>
      </c>
      <c r="CB218" s="230">
        <v>148875</v>
      </c>
      <c r="CC218" s="230">
        <v>364500</v>
      </c>
      <c r="CD218" s="230">
        <v>-215625</v>
      </c>
      <c r="CE218" s="229">
        <v>-0.59160000000000001</v>
      </c>
      <c r="CF218" s="230">
        <v>2486250</v>
      </c>
      <c r="CG218" s="230">
        <v>2284500</v>
      </c>
      <c r="CH218" s="230">
        <v>201750</v>
      </c>
      <c r="CI218" s="229">
        <v>8.8300000000000003E-2</v>
      </c>
      <c r="CJ218" s="230">
        <v>27750</v>
      </c>
      <c r="CK218" s="230">
        <v>16125</v>
      </c>
      <c r="CL218" s="230">
        <v>11625</v>
      </c>
      <c r="CM218" s="229">
        <v>0.72089999999999999</v>
      </c>
      <c r="CN218" s="230">
        <v>277875</v>
      </c>
      <c r="CO218" s="230">
        <v>968250</v>
      </c>
      <c r="CP218" s="230">
        <v>-690375</v>
      </c>
      <c r="CQ218" s="229">
        <v>-0.71299999999999997</v>
      </c>
      <c r="CR218" s="230">
        <v>204000</v>
      </c>
      <c r="CS218" s="230">
        <v>532500</v>
      </c>
      <c r="CT218" s="230">
        <v>-328500</v>
      </c>
      <c r="CU218" s="229">
        <v>-0.6169</v>
      </c>
      <c r="CV218" s="230">
        <v>2995875</v>
      </c>
      <c r="CW218" s="230">
        <v>4165875</v>
      </c>
      <c r="CX218" s="230">
        <v>-1170000</v>
      </c>
      <c r="CY218" s="229">
        <v>-0.28089999999999998</v>
      </c>
      <c r="CZ218" s="228">
        <v>39.18</v>
      </c>
      <c r="DA218" s="228">
        <v>37.659999999999997</v>
      </c>
      <c r="DB218" s="228">
        <v>1.52</v>
      </c>
      <c r="DC218" s="228">
        <v>1.52</v>
      </c>
      <c r="DD218" s="228">
        <v>45.47</v>
      </c>
      <c r="DE218" s="228">
        <v>45.5</v>
      </c>
      <c r="DF218" s="228">
        <v>-6.29</v>
      </c>
      <c r="DG218" s="228">
        <v>-0.03</v>
      </c>
      <c r="DH218" s="228">
        <v>39.64</v>
      </c>
      <c r="DI218" s="228">
        <v>37.78</v>
      </c>
      <c r="DJ218" s="228">
        <v>1.86</v>
      </c>
      <c r="DK218" s="228">
        <v>1.86</v>
      </c>
      <c r="DL218" s="228">
        <v>36.340000000000003</v>
      </c>
      <c r="DM218" s="228">
        <v>36.82</v>
      </c>
      <c r="DN218" s="228">
        <v>-0.48</v>
      </c>
      <c r="DO218" s="228">
        <v>-0.48</v>
      </c>
      <c r="DP218" s="228">
        <v>0.73</v>
      </c>
      <c r="DQ218" s="228">
        <v>0.55000000000000004</v>
      </c>
      <c r="DR218" s="228">
        <v>0.18</v>
      </c>
      <c r="DS218" s="229">
        <v>0.32729999999999998</v>
      </c>
      <c r="DT218" s="231">
        <v>1500</v>
      </c>
      <c r="DU218" s="231">
        <v>1300</v>
      </c>
      <c r="DV218" s="228">
        <v>0.28999999999999998</v>
      </c>
      <c r="DW218" s="228">
        <v>0.33</v>
      </c>
      <c r="DX218" s="228">
        <v>-0.04</v>
      </c>
      <c r="DY218" s="229">
        <v>-0.1212</v>
      </c>
      <c r="DZ218" s="229">
        <v>0.94410000000000005</v>
      </c>
      <c r="EA218" s="230">
        <v>2300625</v>
      </c>
      <c r="EB218" s="229">
        <v>5.5999999999999999E-3</v>
      </c>
      <c r="EC218" s="229">
        <v>0.94410000000000005</v>
      </c>
      <c r="ED218" s="228">
        <v>7.24</v>
      </c>
      <c r="EE218" s="229">
        <v>5.4999999999999997E-3</v>
      </c>
      <c r="EF218" s="230">
        <v>210965</v>
      </c>
      <c r="EG218" s="230">
        <v>105539</v>
      </c>
      <c r="EH218" s="229">
        <v>0.99890000000000001</v>
      </c>
      <c r="EI218" s="229">
        <v>0.5796</v>
      </c>
      <c r="EJ218" s="231">
        <v>19329.84</v>
      </c>
      <c r="EK218" s="231">
        <v>5264.17</v>
      </c>
      <c r="EL218" s="231">
        <v>17804.75</v>
      </c>
      <c r="EM218" s="228">
        <v>0</v>
      </c>
      <c r="EN218" s="231">
        <v>42398.76</v>
      </c>
      <c r="EO218" s="231">
        <v>75270.789999999994</v>
      </c>
      <c r="EP218" s="231">
        <v>-32872.03</v>
      </c>
      <c r="EQ218" s="229">
        <v>-0.43669999999999998</v>
      </c>
      <c r="ER218" s="231">
        <v>3931</v>
      </c>
      <c r="ES218" s="231">
        <v>2711</v>
      </c>
      <c r="ET218" s="231">
        <v>33132</v>
      </c>
      <c r="EU218" s="231">
        <v>49292045</v>
      </c>
      <c r="EV218" s="231">
        <v>39774</v>
      </c>
      <c r="EW218" s="231">
        <v>56933</v>
      </c>
      <c r="EX218" s="231">
        <v>-17159</v>
      </c>
      <c r="EY218" s="229">
        <v>-0.3014</v>
      </c>
      <c r="EZ218" s="229">
        <v>6.08E-2</v>
      </c>
      <c r="FA218" s="227" t="s">
        <v>568</v>
      </c>
      <c r="FB218" s="161">
        <f t="shared" si="5"/>
        <v>0</v>
      </c>
    </row>
    <row r="219" spans="1:158" ht="17.25" thickBot="1" x14ac:dyDescent="0.3">
      <c r="A219" s="226">
        <v>45869</v>
      </c>
      <c r="B219" s="227" t="s">
        <v>197</v>
      </c>
      <c r="C219" s="227" t="s">
        <v>482</v>
      </c>
      <c r="D219" s="228">
        <v>100</v>
      </c>
      <c r="E219" s="231">
        <v>5040.5</v>
      </c>
      <c r="F219" s="231">
        <v>5065.5</v>
      </c>
      <c r="G219" s="228">
        <v>-25</v>
      </c>
      <c r="H219" s="229">
        <v>-4.8999999999999998E-3</v>
      </c>
      <c r="I219" s="231">
        <v>5018</v>
      </c>
      <c r="J219" s="231">
        <v>5043.5</v>
      </c>
      <c r="K219" s="228">
        <v>-25.5</v>
      </c>
      <c r="L219" s="229">
        <v>-5.1000000000000004E-3</v>
      </c>
      <c r="M219" s="231">
        <v>5018</v>
      </c>
      <c r="N219" s="231">
        <v>5041</v>
      </c>
      <c r="O219" s="228">
        <v>-23</v>
      </c>
      <c r="P219" s="229">
        <v>-4.5999999999999999E-3</v>
      </c>
      <c r="Q219" s="231">
        <v>5040.5</v>
      </c>
      <c r="R219" s="231">
        <v>5065.5</v>
      </c>
      <c r="S219" s="228">
        <v>-25</v>
      </c>
      <c r="T219" s="229">
        <v>-4.8999999999999998E-3</v>
      </c>
      <c r="U219" s="231">
        <v>5070.5</v>
      </c>
      <c r="V219" s="231">
        <v>5095.5</v>
      </c>
      <c r="W219" s="228">
        <v>-25</v>
      </c>
      <c r="X219" s="229">
        <v>-4.8999999999999998E-3</v>
      </c>
      <c r="Y219" s="228">
        <v>22.5</v>
      </c>
      <c r="Z219" s="228">
        <v>-2.5</v>
      </c>
      <c r="AA219" s="228">
        <v>25</v>
      </c>
      <c r="AB219" s="229">
        <v>4.4999999999999997E-3</v>
      </c>
      <c r="AC219" s="228">
        <v>0</v>
      </c>
      <c r="AD219" s="228">
        <v>-2.5</v>
      </c>
      <c r="AE219" s="228">
        <v>2.5</v>
      </c>
      <c r="AF219" s="229">
        <v>0</v>
      </c>
      <c r="AG219" s="228">
        <v>22.5</v>
      </c>
      <c r="AH219" s="228">
        <v>22</v>
      </c>
      <c r="AI219" s="228">
        <v>0.5</v>
      </c>
      <c r="AJ219" s="229">
        <v>4.4999999999999997E-3</v>
      </c>
      <c r="AK219" s="228">
        <v>52.5</v>
      </c>
      <c r="AL219" s="228">
        <v>52</v>
      </c>
      <c r="AM219" s="228">
        <v>0.5</v>
      </c>
      <c r="AN219" s="229">
        <v>1.0500000000000001E-2</v>
      </c>
      <c r="AO219" s="231">
        <v>5030.26</v>
      </c>
      <c r="AP219" s="231">
        <v>5052.99</v>
      </c>
      <c r="AQ219" s="228">
        <v>0</v>
      </c>
      <c r="AR219" s="230">
        <v>2946200</v>
      </c>
      <c r="AS219" s="230">
        <v>3734600</v>
      </c>
      <c r="AT219" s="230">
        <v>-788400</v>
      </c>
      <c r="AU219" s="229">
        <v>-0.21110000000000001</v>
      </c>
      <c r="AV219" s="230">
        <v>1339800</v>
      </c>
      <c r="AW219" s="230">
        <v>1848600</v>
      </c>
      <c r="AX219" s="230">
        <v>-508800</v>
      </c>
      <c r="AY219" s="229">
        <v>-0.2752</v>
      </c>
      <c r="AZ219" s="230">
        <v>1561800</v>
      </c>
      <c r="BA219" s="230">
        <v>1835700</v>
      </c>
      <c r="BB219" s="230">
        <v>-273900</v>
      </c>
      <c r="BC219" s="229">
        <v>-0.1492</v>
      </c>
      <c r="BD219" s="230">
        <v>44600</v>
      </c>
      <c r="BE219" s="230">
        <v>50300</v>
      </c>
      <c r="BF219" s="230">
        <v>-5700</v>
      </c>
      <c r="BG219" s="229">
        <v>-0.1133</v>
      </c>
      <c r="BH219" s="230">
        <v>5485900</v>
      </c>
      <c r="BI219" s="230">
        <v>7071800</v>
      </c>
      <c r="BJ219" s="230">
        <v>-1585900</v>
      </c>
      <c r="BK219" s="229">
        <v>-0.2243</v>
      </c>
      <c r="BL219" s="230">
        <v>2297400</v>
      </c>
      <c r="BM219" s="230">
        <v>2717900</v>
      </c>
      <c r="BN219" s="230">
        <v>-420500</v>
      </c>
      <c r="BO219" s="229">
        <v>-0.1547</v>
      </c>
      <c r="BP219" s="230">
        <v>10729500</v>
      </c>
      <c r="BQ219" s="230">
        <v>13524300</v>
      </c>
      <c r="BR219" s="230">
        <v>-2794800</v>
      </c>
      <c r="BS219" s="229">
        <v>-0.20669999999999999</v>
      </c>
      <c r="BT219" s="230">
        <v>789068</v>
      </c>
      <c r="BU219" s="230">
        <v>659756</v>
      </c>
      <c r="BV219" s="230">
        <v>129312</v>
      </c>
      <c r="BW219" s="229">
        <v>0.19600000000000001</v>
      </c>
      <c r="BX219" s="230">
        <v>7104100</v>
      </c>
      <c r="BY219" s="230">
        <v>8164500</v>
      </c>
      <c r="BZ219" s="230">
        <v>-1060400</v>
      </c>
      <c r="CA219" s="229">
        <v>-0.12989999999999999</v>
      </c>
      <c r="CB219" s="230">
        <v>889100</v>
      </c>
      <c r="CC219" s="230">
        <v>1872800</v>
      </c>
      <c r="CD219" s="230">
        <v>-983700</v>
      </c>
      <c r="CE219" s="229">
        <v>-0.52529999999999999</v>
      </c>
      <c r="CF219" s="230">
        <v>6902500</v>
      </c>
      <c r="CG219" s="230">
        <v>6108700</v>
      </c>
      <c r="CH219" s="230">
        <v>793800</v>
      </c>
      <c r="CI219" s="229">
        <v>0.12989999999999999</v>
      </c>
      <c r="CJ219" s="230">
        <v>201600</v>
      </c>
      <c r="CK219" s="230">
        <v>183000</v>
      </c>
      <c r="CL219" s="230">
        <v>18600</v>
      </c>
      <c r="CM219" s="229">
        <v>0.1016</v>
      </c>
      <c r="CN219" s="230">
        <v>1675700</v>
      </c>
      <c r="CO219" s="230">
        <v>6346800</v>
      </c>
      <c r="CP219" s="230">
        <v>-4671100</v>
      </c>
      <c r="CQ219" s="229">
        <v>-0.73599999999999999</v>
      </c>
      <c r="CR219" s="230">
        <v>1300000</v>
      </c>
      <c r="CS219" s="230">
        <v>3054500</v>
      </c>
      <c r="CT219" s="230">
        <v>-1754500</v>
      </c>
      <c r="CU219" s="229">
        <v>-0.57440000000000002</v>
      </c>
      <c r="CV219" s="230">
        <v>10079800</v>
      </c>
      <c r="CW219" s="230">
        <v>17565800</v>
      </c>
      <c r="CX219" s="230">
        <v>-7486000</v>
      </c>
      <c r="CY219" s="229">
        <v>-0.42620000000000002</v>
      </c>
      <c r="CZ219" s="228">
        <v>36.83</v>
      </c>
      <c r="DA219" s="228">
        <v>37.21</v>
      </c>
      <c r="DB219" s="228">
        <v>-0.38</v>
      </c>
      <c r="DC219" s="228">
        <v>-0.38</v>
      </c>
      <c r="DD219" s="228">
        <v>48.84</v>
      </c>
      <c r="DE219" s="228">
        <v>48.96</v>
      </c>
      <c r="DF219" s="228">
        <v>-12.01</v>
      </c>
      <c r="DG219" s="228">
        <v>-0.12</v>
      </c>
      <c r="DH219" s="228">
        <v>37.020000000000003</v>
      </c>
      <c r="DI219" s="228">
        <v>37.119999999999997</v>
      </c>
      <c r="DJ219" s="228">
        <v>-0.1</v>
      </c>
      <c r="DK219" s="228">
        <v>-0.1</v>
      </c>
      <c r="DL219" s="228">
        <v>36.46</v>
      </c>
      <c r="DM219" s="228">
        <v>37.44</v>
      </c>
      <c r="DN219" s="228">
        <v>-0.98</v>
      </c>
      <c r="DO219" s="228">
        <v>-0.98</v>
      </c>
      <c r="DP219" s="228">
        <v>0.78</v>
      </c>
      <c r="DQ219" s="228">
        <v>0.48</v>
      </c>
      <c r="DR219" s="228">
        <v>0.3</v>
      </c>
      <c r="DS219" s="229">
        <v>0.625</v>
      </c>
      <c r="DT219" s="231">
        <v>6000</v>
      </c>
      <c r="DU219" s="231">
        <v>5000</v>
      </c>
      <c r="DV219" s="228">
        <v>0.42</v>
      </c>
      <c r="DW219" s="228">
        <v>0.38</v>
      </c>
      <c r="DX219" s="228">
        <v>0.04</v>
      </c>
      <c r="DY219" s="229">
        <v>0.1053</v>
      </c>
      <c r="DZ219" s="229">
        <v>0.88880000000000003</v>
      </c>
      <c r="EA219" s="230">
        <v>6291700</v>
      </c>
      <c r="EB219" s="229">
        <v>4.4999999999999997E-3</v>
      </c>
      <c r="EC219" s="229">
        <v>0.88880000000000003</v>
      </c>
      <c r="ED219" s="228">
        <v>22.73</v>
      </c>
      <c r="EE219" s="229">
        <v>4.4999999999999997E-3</v>
      </c>
      <c r="EF219" s="230">
        <v>438301</v>
      </c>
      <c r="EG219" s="230">
        <v>357548</v>
      </c>
      <c r="EH219" s="229">
        <v>0.22589999999999999</v>
      </c>
      <c r="EI219" s="229">
        <v>0.55549999999999999</v>
      </c>
      <c r="EJ219" s="231">
        <v>304398.78000000003</v>
      </c>
      <c r="EK219" s="231">
        <v>118845.62</v>
      </c>
      <c r="EL219" s="231">
        <v>148579.51999999999</v>
      </c>
      <c r="EM219" s="228">
        <v>0</v>
      </c>
      <c r="EN219" s="231">
        <v>571823.92000000004</v>
      </c>
      <c r="EO219" s="231">
        <v>710918.23</v>
      </c>
      <c r="EP219" s="231">
        <v>-139094.31</v>
      </c>
      <c r="EQ219" s="229">
        <v>-0.19570000000000001</v>
      </c>
      <c r="ER219" s="231">
        <v>92400</v>
      </c>
      <c r="ES219" s="231">
        <v>67032</v>
      </c>
      <c r="ET219" s="231">
        <v>358143</v>
      </c>
      <c r="EU219" s="231">
        <v>44787316</v>
      </c>
      <c r="EV219" s="231">
        <v>517575</v>
      </c>
      <c r="EW219" s="231">
        <v>943867</v>
      </c>
      <c r="EX219" s="231">
        <v>-426292</v>
      </c>
      <c r="EY219" s="229">
        <v>-0.4516</v>
      </c>
      <c r="EZ219" s="229">
        <v>0.22509999999999999</v>
      </c>
      <c r="FA219" s="227" t="s">
        <v>568</v>
      </c>
      <c r="FB219" s="161">
        <f t="shared" si="5"/>
        <v>0</v>
      </c>
    </row>
    <row r="220" spans="1:158" ht="17.25" thickBot="1" x14ac:dyDescent="0.3">
      <c r="A220" s="226">
        <v>45869</v>
      </c>
      <c r="B220" s="227" t="s">
        <v>162</v>
      </c>
      <c r="C220" s="227" t="s">
        <v>300</v>
      </c>
      <c r="D220" s="228">
        <v>350</v>
      </c>
      <c r="E220" s="231">
        <v>2806.1</v>
      </c>
      <c r="F220" s="231">
        <v>2803.2</v>
      </c>
      <c r="G220" s="228">
        <v>2.9</v>
      </c>
      <c r="H220" s="229">
        <v>1E-3</v>
      </c>
      <c r="I220" s="231">
        <v>2801.8</v>
      </c>
      <c r="J220" s="231">
        <v>2793.6</v>
      </c>
      <c r="K220" s="228">
        <v>8.1999999999999993</v>
      </c>
      <c r="L220" s="229">
        <v>2.8999999999999998E-3</v>
      </c>
      <c r="M220" s="231">
        <v>2799.9</v>
      </c>
      <c r="N220" s="231">
        <v>2793</v>
      </c>
      <c r="O220" s="228">
        <v>6.9</v>
      </c>
      <c r="P220" s="229">
        <v>2.5000000000000001E-3</v>
      </c>
      <c r="Q220" s="231">
        <v>2806.1</v>
      </c>
      <c r="R220" s="231">
        <v>2803.2</v>
      </c>
      <c r="S220" s="228">
        <v>2.9</v>
      </c>
      <c r="T220" s="229">
        <v>1E-3</v>
      </c>
      <c r="U220" s="231">
        <v>2810.5</v>
      </c>
      <c r="V220" s="231">
        <v>2802.5</v>
      </c>
      <c r="W220" s="228">
        <v>8</v>
      </c>
      <c r="X220" s="229">
        <v>2.8999999999999998E-3</v>
      </c>
      <c r="Y220" s="228">
        <v>4.3</v>
      </c>
      <c r="Z220" s="228">
        <v>-0.6</v>
      </c>
      <c r="AA220" s="228">
        <v>4.9000000000000004</v>
      </c>
      <c r="AB220" s="229">
        <v>1.5E-3</v>
      </c>
      <c r="AC220" s="228">
        <v>-1.9</v>
      </c>
      <c r="AD220" s="228">
        <v>-0.6</v>
      </c>
      <c r="AE220" s="228">
        <v>-1.3</v>
      </c>
      <c r="AF220" s="229">
        <v>-6.9999999999999999E-4</v>
      </c>
      <c r="AG220" s="228">
        <v>4.3</v>
      </c>
      <c r="AH220" s="228">
        <v>9.6</v>
      </c>
      <c r="AI220" s="228">
        <v>-5.3</v>
      </c>
      <c r="AJ220" s="229">
        <v>1.5E-3</v>
      </c>
      <c r="AK220" s="228">
        <v>8.6999999999999993</v>
      </c>
      <c r="AL220" s="228">
        <v>8.9</v>
      </c>
      <c r="AM220" s="228">
        <v>-0.2</v>
      </c>
      <c r="AN220" s="229">
        <v>3.0999999999999999E-3</v>
      </c>
      <c r="AO220" s="231">
        <v>2799.06</v>
      </c>
      <c r="AP220" s="231">
        <v>2809.38</v>
      </c>
      <c r="AQ220" s="228">
        <v>0</v>
      </c>
      <c r="AR220" s="230">
        <v>7078050</v>
      </c>
      <c r="AS220" s="230">
        <v>5804050</v>
      </c>
      <c r="AT220" s="230">
        <v>1274000</v>
      </c>
      <c r="AU220" s="229">
        <v>0.2195</v>
      </c>
      <c r="AV220" s="230">
        <v>2473450</v>
      </c>
      <c r="AW220" s="230">
        <v>2469600</v>
      </c>
      <c r="AX220" s="230">
        <v>3850</v>
      </c>
      <c r="AY220" s="229">
        <v>1.6000000000000001E-3</v>
      </c>
      <c r="AZ220" s="230">
        <v>4540900</v>
      </c>
      <c r="BA220" s="230">
        <v>3311350</v>
      </c>
      <c r="BB220" s="230">
        <v>1229550</v>
      </c>
      <c r="BC220" s="229">
        <v>0.37130000000000002</v>
      </c>
      <c r="BD220" s="230">
        <v>63700</v>
      </c>
      <c r="BE220" s="230">
        <v>23100</v>
      </c>
      <c r="BF220" s="230">
        <v>40600</v>
      </c>
      <c r="BG220" s="229">
        <v>1.7576000000000001</v>
      </c>
      <c r="BH220" s="230">
        <v>10706850</v>
      </c>
      <c r="BI220" s="230">
        <v>2755200</v>
      </c>
      <c r="BJ220" s="230">
        <v>7951650</v>
      </c>
      <c r="BK220" s="229">
        <v>2.8860999999999999</v>
      </c>
      <c r="BL220" s="230">
        <v>5062400</v>
      </c>
      <c r="BM220" s="230">
        <v>1429050</v>
      </c>
      <c r="BN220" s="230">
        <v>3633350</v>
      </c>
      <c r="BO220" s="229">
        <v>2.5425</v>
      </c>
      <c r="BP220" s="230">
        <v>22847300</v>
      </c>
      <c r="BQ220" s="230">
        <v>9988300</v>
      </c>
      <c r="BR220" s="230">
        <v>12859000</v>
      </c>
      <c r="BS220" s="229">
        <v>1.2874000000000001</v>
      </c>
      <c r="BT220" s="230">
        <v>1319999</v>
      </c>
      <c r="BU220" s="230">
        <v>704576</v>
      </c>
      <c r="BV220" s="230">
        <v>615423</v>
      </c>
      <c r="BW220" s="229">
        <v>0.87350000000000005</v>
      </c>
      <c r="BX220" s="230">
        <v>7429800</v>
      </c>
      <c r="BY220" s="230">
        <v>9273600</v>
      </c>
      <c r="BZ220" s="230">
        <v>-1843800</v>
      </c>
      <c r="CA220" s="229">
        <v>-0.1988</v>
      </c>
      <c r="CB220" s="230">
        <v>1470000</v>
      </c>
      <c r="CC220" s="230">
        <v>2800000</v>
      </c>
      <c r="CD220" s="230">
        <v>-1330000</v>
      </c>
      <c r="CE220" s="229">
        <v>-0.47499999999999998</v>
      </c>
      <c r="CF220" s="230">
        <v>7374150</v>
      </c>
      <c r="CG220" s="230">
        <v>6440350</v>
      </c>
      <c r="CH220" s="230">
        <v>933800</v>
      </c>
      <c r="CI220" s="229">
        <v>0.14499999999999999</v>
      </c>
      <c r="CJ220" s="230">
        <v>55650</v>
      </c>
      <c r="CK220" s="230">
        <v>33250</v>
      </c>
      <c r="CL220" s="230">
        <v>22400</v>
      </c>
      <c r="CM220" s="229">
        <v>0.67369999999999997</v>
      </c>
      <c r="CN220" s="230">
        <v>1903650</v>
      </c>
      <c r="CO220" s="230">
        <v>2380000</v>
      </c>
      <c r="CP220" s="230">
        <v>-476350</v>
      </c>
      <c r="CQ220" s="229">
        <v>-0.2001</v>
      </c>
      <c r="CR220" s="230">
        <v>783300</v>
      </c>
      <c r="CS220" s="230">
        <v>1583750</v>
      </c>
      <c r="CT220" s="230">
        <v>-800450</v>
      </c>
      <c r="CU220" s="229">
        <v>-0.50539999999999996</v>
      </c>
      <c r="CV220" s="230">
        <v>10116750</v>
      </c>
      <c r="CW220" s="230">
        <v>13237350</v>
      </c>
      <c r="CX220" s="230">
        <v>-3120600</v>
      </c>
      <c r="CY220" s="229">
        <v>-0.23569999999999999</v>
      </c>
      <c r="CZ220" s="228">
        <v>27.19</v>
      </c>
      <c r="DA220" s="228">
        <v>28.63</v>
      </c>
      <c r="DB220" s="228">
        <v>-1.44</v>
      </c>
      <c r="DC220" s="228">
        <v>-1.44</v>
      </c>
      <c r="DD220" s="228">
        <v>32.19</v>
      </c>
      <c r="DE220" s="228">
        <v>32.270000000000003</v>
      </c>
      <c r="DF220" s="228">
        <v>-5</v>
      </c>
      <c r="DG220" s="228">
        <v>-0.08</v>
      </c>
      <c r="DH220" s="228">
        <v>27.06</v>
      </c>
      <c r="DI220" s="228">
        <v>28.28</v>
      </c>
      <c r="DJ220" s="228">
        <v>-1.22</v>
      </c>
      <c r="DK220" s="228">
        <v>-1.22</v>
      </c>
      <c r="DL220" s="228">
        <v>27.66</v>
      </c>
      <c r="DM220" s="228">
        <v>29.31</v>
      </c>
      <c r="DN220" s="228">
        <v>-1.65</v>
      </c>
      <c r="DO220" s="228">
        <v>-1.65</v>
      </c>
      <c r="DP220" s="228">
        <v>0.41</v>
      </c>
      <c r="DQ220" s="228">
        <v>0.67</v>
      </c>
      <c r="DR220" s="228">
        <v>-0.26</v>
      </c>
      <c r="DS220" s="229">
        <v>-0.3881</v>
      </c>
      <c r="DT220" s="231">
        <v>2900</v>
      </c>
      <c r="DU220" s="231">
        <v>2800</v>
      </c>
      <c r="DV220" s="228">
        <v>0.47</v>
      </c>
      <c r="DW220" s="228">
        <v>0.52</v>
      </c>
      <c r="DX220" s="228">
        <v>-0.05</v>
      </c>
      <c r="DY220" s="229">
        <v>-9.6199999999999994E-2</v>
      </c>
      <c r="DZ220" s="229">
        <v>0.83479999999999999</v>
      </c>
      <c r="EA220" s="230">
        <v>6473600</v>
      </c>
      <c r="EB220" s="229">
        <v>2.2000000000000001E-3</v>
      </c>
      <c r="EC220" s="229">
        <v>0.83479999999999999</v>
      </c>
      <c r="ED220" s="228">
        <v>10.32</v>
      </c>
      <c r="EE220" s="229">
        <v>3.7000000000000002E-3</v>
      </c>
      <c r="EF220" s="230">
        <v>424659</v>
      </c>
      <c r="EG220" s="230">
        <v>409494</v>
      </c>
      <c r="EH220" s="229">
        <v>3.6999999999999998E-2</v>
      </c>
      <c r="EI220" s="229">
        <v>0.32169999999999999</v>
      </c>
      <c r="EJ220" s="231">
        <v>315523.7</v>
      </c>
      <c r="EK220" s="231">
        <v>139611.57999999999</v>
      </c>
      <c r="EL220" s="231">
        <v>198597.66</v>
      </c>
      <c r="EM220" s="228">
        <v>0</v>
      </c>
      <c r="EN220" s="231">
        <v>653732.93999999994</v>
      </c>
      <c r="EO220" s="231">
        <v>281931.53000000003</v>
      </c>
      <c r="EP220" s="231">
        <v>371801.41</v>
      </c>
      <c r="EQ220" s="229">
        <v>1.3188</v>
      </c>
      <c r="ER220" s="231">
        <v>55595</v>
      </c>
      <c r="ES220" s="231">
        <v>21434</v>
      </c>
      <c r="ET220" s="231">
        <v>208490</v>
      </c>
      <c r="EU220" s="231">
        <v>47184665</v>
      </c>
      <c r="EV220" s="231">
        <v>285519</v>
      </c>
      <c r="EW220" s="231">
        <v>373447</v>
      </c>
      <c r="EX220" s="231">
        <v>-87928</v>
      </c>
      <c r="EY220" s="229">
        <v>-0.2354</v>
      </c>
      <c r="EZ220" s="229">
        <v>0.21440000000000001</v>
      </c>
      <c r="FA220" s="227" t="s">
        <v>556</v>
      </c>
      <c r="FB220" s="161">
        <f t="shared" si="5"/>
        <v>0</v>
      </c>
    </row>
    <row r="221" spans="1:158" ht="17.25" thickBot="1" x14ac:dyDescent="0.3">
      <c r="A221" s="226">
        <v>45869</v>
      </c>
      <c r="B221" s="227" t="s">
        <v>157</v>
      </c>
      <c r="C221" s="227" t="s">
        <v>302</v>
      </c>
      <c r="D221" s="228">
        <v>50</v>
      </c>
      <c r="E221" s="231">
        <v>12320</v>
      </c>
      <c r="F221" s="231">
        <v>12332</v>
      </c>
      <c r="G221" s="228">
        <v>-12</v>
      </c>
      <c r="H221" s="229">
        <v>-1E-3</v>
      </c>
      <c r="I221" s="231">
        <v>12249</v>
      </c>
      <c r="J221" s="231">
        <v>12268</v>
      </c>
      <c r="K221" s="228">
        <v>-19</v>
      </c>
      <c r="L221" s="229">
        <v>-1.5E-3</v>
      </c>
      <c r="M221" s="231">
        <v>12283</v>
      </c>
      <c r="N221" s="231">
        <v>12268</v>
      </c>
      <c r="O221" s="228">
        <v>15</v>
      </c>
      <c r="P221" s="229">
        <v>1.1999999999999999E-3</v>
      </c>
      <c r="Q221" s="231">
        <v>12320</v>
      </c>
      <c r="R221" s="231">
        <v>12332</v>
      </c>
      <c r="S221" s="228">
        <v>-12</v>
      </c>
      <c r="T221" s="229">
        <v>-1E-3</v>
      </c>
      <c r="U221" s="231">
        <v>12382</v>
      </c>
      <c r="V221" s="231">
        <v>12388</v>
      </c>
      <c r="W221" s="228">
        <v>-6</v>
      </c>
      <c r="X221" s="229">
        <v>-5.0000000000000001E-4</v>
      </c>
      <c r="Y221" s="228">
        <v>71</v>
      </c>
      <c r="Z221" s="228">
        <v>0</v>
      </c>
      <c r="AA221" s="228">
        <v>71</v>
      </c>
      <c r="AB221" s="229">
        <v>5.7999999999999996E-3</v>
      </c>
      <c r="AC221" s="228">
        <v>34</v>
      </c>
      <c r="AD221" s="228">
        <v>0</v>
      </c>
      <c r="AE221" s="228">
        <v>34</v>
      </c>
      <c r="AF221" s="229">
        <v>2.8E-3</v>
      </c>
      <c r="AG221" s="228">
        <v>71</v>
      </c>
      <c r="AH221" s="228">
        <v>64</v>
      </c>
      <c r="AI221" s="228">
        <v>7</v>
      </c>
      <c r="AJ221" s="229">
        <v>5.7999999999999996E-3</v>
      </c>
      <c r="AK221" s="228">
        <v>133</v>
      </c>
      <c r="AL221" s="228">
        <v>120</v>
      </c>
      <c r="AM221" s="228">
        <v>13</v>
      </c>
      <c r="AN221" s="229">
        <v>1.09E-2</v>
      </c>
      <c r="AO221" s="231">
        <v>12269.87</v>
      </c>
      <c r="AP221" s="231">
        <v>12326.2</v>
      </c>
      <c r="AQ221" s="228">
        <v>0</v>
      </c>
      <c r="AR221" s="230">
        <v>501450</v>
      </c>
      <c r="AS221" s="230">
        <v>734350</v>
      </c>
      <c r="AT221" s="230">
        <v>-232900</v>
      </c>
      <c r="AU221" s="229">
        <v>-0.31719999999999998</v>
      </c>
      <c r="AV221" s="230">
        <v>211050</v>
      </c>
      <c r="AW221" s="230">
        <v>367000</v>
      </c>
      <c r="AX221" s="230">
        <v>-155950</v>
      </c>
      <c r="AY221" s="229">
        <v>-0.4249</v>
      </c>
      <c r="AZ221" s="230">
        <v>286100</v>
      </c>
      <c r="BA221" s="230">
        <v>363450</v>
      </c>
      <c r="BB221" s="230">
        <v>-77350</v>
      </c>
      <c r="BC221" s="229">
        <v>-0.21279999999999999</v>
      </c>
      <c r="BD221" s="230">
        <v>4300</v>
      </c>
      <c r="BE221" s="230">
        <v>3900</v>
      </c>
      <c r="BF221" s="228">
        <v>400</v>
      </c>
      <c r="BG221" s="229">
        <v>0.1026</v>
      </c>
      <c r="BH221" s="230">
        <v>981950</v>
      </c>
      <c r="BI221" s="230">
        <v>1848900</v>
      </c>
      <c r="BJ221" s="230">
        <v>-866950</v>
      </c>
      <c r="BK221" s="229">
        <v>-0.46889999999999998</v>
      </c>
      <c r="BL221" s="230">
        <v>418100</v>
      </c>
      <c r="BM221" s="230">
        <v>510600</v>
      </c>
      <c r="BN221" s="230">
        <v>-92500</v>
      </c>
      <c r="BO221" s="229">
        <v>-0.1812</v>
      </c>
      <c r="BP221" s="230">
        <v>1901500</v>
      </c>
      <c r="BQ221" s="230">
        <v>3093850</v>
      </c>
      <c r="BR221" s="230">
        <v>-1192350</v>
      </c>
      <c r="BS221" s="229">
        <v>-0.38540000000000002</v>
      </c>
      <c r="BT221" s="230">
        <v>153925</v>
      </c>
      <c r="BU221" s="230">
        <v>209738</v>
      </c>
      <c r="BV221" s="230">
        <v>-55813</v>
      </c>
      <c r="BW221" s="229">
        <v>-0.2661</v>
      </c>
      <c r="BX221" s="230">
        <v>2518000</v>
      </c>
      <c r="BY221" s="230">
        <v>2567350</v>
      </c>
      <c r="BZ221" s="230">
        <v>-49350</v>
      </c>
      <c r="CA221" s="229">
        <v>-1.9199999999999998E-2</v>
      </c>
      <c r="CB221" s="230">
        <v>46650</v>
      </c>
      <c r="CC221" s="230">
        <v>146800</v>
      </c>
      <c r="CD221" s="230">
        <v>-100150</v>
      </c>
      <c r="CE221" s="229">
        <v>-0.68220000000000003</v>
      </c>
      <c r="CF221" s="230">
        <v>2509000</v>
      </c>
      <c r="CG221" s="230">
        <v>2412850</v>
      </c>
      <c r="CH221" s="230">
        <v>96150</v>
      </c>
      <c r="CI221" s="229">
        <v>3.9800000000000002E-2</v>
      </c>
      <c r="CJ221" s="230">
        <v>9000</v>
      </c>
      <c r="CK221" s="230">
        <v>7700</v>
      </c>
      <c r="CL221" s="230">
        <v>1300</v>
      </c>
      <c r="CM221" s="229">
        <v>0.16880000000000001</v>
      </c>
      <c r="CN221" s="230">
        <v>254450</v>
      </c>
      <c r="CO221" s="230">
        <v>1225200</v>
      </c>
      <c r="CP221" s="230">
        <v>-970750</v>
      </c>
      <c r="CQ221" s="229">
        <v>-0.7923</v>
      </c>
      <c r="CR221" s="230">
        <v>133050</v>
      </c>
      <c r="CS221" s="230">
        <v>561050</v>
      </c>
      <c r="CT221" s="230">
        <v>-428000</v>
      </c>
      <c r="CU221" s="229">
        <v>-0.76290000000000002</v>
      </c>
      <c r="CV221" s="230">
        <v>2905500</v>
      </c>
      <c r="CW221" s="230">
        <v>4353600</v>
      </c>
      <c r="CX221" s="230">
        <v>-1448100</v>
      </c>
      <c r="CY221" s="229">
        <v>-0.33260000000000001</v>
      </c>
      <c r="CZ221" s="228">
        <v>20.54</v>
      </c>
      <c r="DA221" s="228">
        <v>20.52</v>
      </c>
      <c r="DB221" s="228">
        <v>0.02</v>
      </c>
      <c r="DC221" s="228">
        <v>0.02</v>
      </c>
      <c r="DD221" s="228">
        <v>26.62</v>
      </c>
      <c r="DE221" s="228">
        <v>26.68</v>
      </c>
      <c r="DF221" s="228">
        <v>-6.08</v>
      </c>
      <c r="DG221" s="228">
        <v>-0.06</v>
      </c>
      <c r="DH221" s="228">
        <v>20.350000000000001</v>
      </c>
      <c r="DI221" s="228">
        <v>20.57</v>
      </c>
      <c r="DJ221" s="228">
        <v>-0.22</v>
      </c>
      <c r="DK221" s="228">
        <v>-0.22</v>
      </c>
      <c r="DL221" s="228">
        <v>20.86</v>
      </c>
      <c r="DM221" s="228">
        <v>20.41</v>
      </c>
      <c r="DN221" s="228">
        <v>0.45</v>
      </c>
      <c r="DO221" s="228">
        <v>0.45</v>
      </c>
      <c r="DP221" s="228">
        <v>0.52</v>
      </c>
      <c r="DQ221" s="228">
        <v>0.46</v>
      </c>
      <c r="DR221" s="228">
        <v>0.06</v>
      </c>
      <c r="DS221" s="229">
        <v>0.13039999999999999</v>
      </c>
      <c r="DT221" s="231">
        <v>13800</v>
      </c>
      <c r="DU221" s="231">
        <v>11000</v>
      </c>
      <c r="DV221" s="228">
        <v>0.43</v>
      </c>
      <c r="DW221" s="228">
        <v>0.28000000000000003</v>
      </c>
      <c r="DX221" s="228">
        <v>0.15</v>
      </c>
      <c r="DY221" s="229">
        <v>0.53569999999999995</v>
      </c>
      <c r="DZ221" s="229">
        <v>0.98180000000000001</v>
      </c>
      <c r="EA221" s="230">
        <v>2420550</v>
      </c>
      <c r="EB221" s="229">
        <v>3.0000000000000001E-3</v>
      </c>
      <c r="EC221" s="229">
        <v>0.98180000000000001</v>
      </c>
      <c r="ED221" s="228">
        <v>56.33</v>
      </c>
      <c r="EE221" s="229">
        <v>4.5999999999999999E-3</v>
      </c>
      <c r="EF221" s="230">
        <v>79587</v>
      </c>
      <c r="EG221" s="230">
        <v>133142</v>
      </c>
      <c r="EH221" s="229">
        <v>-0.4022</v>
      </c>
      <c r="EI221" s="229">
        <v>0.5171</v>
      </c>
      <c r="EJ221" s="231">
        <v>124599.94</v>
      </c>
      <c r="EK221" s="231">
        <v>50376.74</v>
      </c>
      <c r="EL221" s="231">
        <v>61692.86</v>
      </c>
      <c r="EM221" s="228">
        <v>0</v>
      </c>
      <c r="EN221" s="231">
        <v>236669.54</v>
      </c>
      <c r="EO221" s="231">
        <v>386123.7</v>
      </c>
      <c r="EP221" s="231">
        <v>-149454.16</v>
      </c>
      <c r="EQ221" s="229">
        <v>-0.3871</v>
      </c>
      <c r="ER221" s="231">
        <v>32560</v>
      </c>
      <c r="ES221" s="231">
        <v>15776</v>
      </c>
      <c r="ET221" s="231">
        <v>310223</v>
      </c>
      <c r="EU221" s="231">
        <v>23922935</v>
      </c>
      <c r="EV221" s="231">
        <v>358560</v>
      </c>
      <c r="EW221" s="231">
        <v>539230</v>
      </c>
      <c r="EX221" s="231">
        <v>-180670</v>
      </c>
      <c r="EY221" s="229">
        <v>-0.33510000000000001</v>
      </c>
      <c r="EZ221" s="229">
        <v>0.1215</v>
      </c>
      <c r="FA221" s="227" t="s">
        <v>568</v>
      </c>
      <c r="FB221" s="161">
        <f t="shared" si="5"/>
        <v>0</v>
      </c>
    </row>
    <row r="222" spans="1:158" ht="17.25" thickBot="1" x14ac:dyDescent="0.3">
      <c r="A222" s="226">
        <v>45869</v>
      </c>
      <c r="B222" s="227" t="s">
        <v>172</v>
      </c>
      <c r="C222" s="227" t="s">
        <v>594</v>
      </c>
      <c r="D222" s="228">
        <v>4425</v>
      </c>
      <c r="E222" s="228">
        <v>131.63</v>
      </c>
      <c r="F222" s="228">
        <v>131.54</v>
      </c>
      <c r="G222" s="228">
        <v>0.09</v>
      </c>
      <c r="H222" s="229">
        <v>6.9999999999999999E-4</v>
      </c>
      <c r="I222" s="228">
        <v>130.96</v>
      </c>
      <c r="J222" s="228">
        <v>130.76</v>
      </c>
      <c r="K222" s="228">
        <v>0.2</v>
      </c>
      <c r="L222" s="229">
        <v>1.5E-3</v>
      </c>
      <c r="M222" s="228">
        <v>130.85</v>
      </c>
      <c r="N222" s="228">
        <v>131.13</v>
      </c>
      <c r="O222" s="228">
        <v>-0.28000000000000003</v>
      </c>
      <c r="P222" s="229">
        <v>-2.0999999999999999E-3</v>
      </c>
      <c r="Q222" s="228">
        <v>131.63</v>
      </c>
      <c r="R222" s="228">
        <v>131.54</v>
      </c>
      <c r="S222" s="228">
        <v>0.09</v>
      </c>
      <c r="T222" s="229">
        <v>6.9999999999999999E-4</v>
      </c>
      <c r="U222" s="228">
        <v>132.18</v>
      </c>
      <c r="V222" s="228">
        <v>132</v>
      </c>
      <c r="W222" s="228">
        <v>0.18</v>
      </c>
      <c r="X222" s="229">
        <v>1.4E-3</v>
      </c>
      <c r="Y222" s="228">
        <v>0.67</v>
      </c>
      <c r="Z222" s="228">
        <v>0.37</v>
      </c>
      <c r="AA222" s="228">
        <v>0.3</v>
      </c>
      <c r="AB222" s="229">
        <v>5.1000000000000004E-3</v>
      </c>
      <c r="AC222" s="228">
        <v>-0.11</v>
      </c>
      <c r="AD222" s="228">
        <v>0.37</v>
      </c>
      <c r="AE222" s="228">
        <v>-0.48</v>
      </c>
      <c r="AF222" s="229">
        <v>-8.0000000000000004E-4</v>
      </c>
      <c r="AG222" s="228">
        <v>0.67</v>
      </c>
      <c r="AH222" s="228">
        <v>0.78</v>
      </c>
      <c r="AI222" s="228">
        <v>-0.11</v>
      </c>
      <c r="AJ222" s="229">
        <v>5.1000000000000004E-3</v>
      </c>
      <c r="AK222" s="228">
        <v>1.22</v>
      </c>
      <c r="AL222" s="228">
        <v>1.24</v>
      </c>
      <c r="AM222" s="228">
        <v>-0.02</v>
      </c>
      <c r="AN222" s="229">
        <v>9.2999999999999992E-3</v>
      </c>
      <c r="AO222" s="228">
        <v>130.83000000000001</v>
      </c>
      <c r="AP222" s="228">
        <v>131.52000000000001</v>
      </c>
      <c r="AQ222" s="228">
        <v>0</v>
      </c>
      <c r="AR222" s="230">
        <v>56701950</v>
      </c>
      <c r="AS222" s="230">
        <v>56095725</v>
      </c>
      <c r="AT222" s="230">
        <v>606225</v>
      </c>
      <c r="AU222" s="229">
        <v>1.0800000000000001E-2</v>
      </c>
      <c r="AV222" s="230">
        <v>21023175</v>
      </c>
      <c r="AW222" s="230">
        <v>25965900</v>
      </c>
      <c r="AX222" s="230">
        <v>-4942725</v>
      </c>
      <c r="AY222" s="229">
        <v>-0.19040000000000001</v>
      </c>
      <c r="AZ222" s="230">
        <v>35001750</v>
      </c>
      <c r="BA222" s="230">
        <v>29497050</v>
      </c>
      <c r="BB222" s="230">
        <v>5504700</v>
      </c>
      <c r="BC222" s="229">
        <v>0.18659999999999999</v>
      </c>
      <c r="BD222" s="230">
        <v>677025</v>
      </c>
      <c r="BE222" s="230">
        <v>632775</v>
      </c>
      <c r="BF222" s="230">
        <v>44250</v>
      </c>
      <c r="BG222" s="229">
        <v>6.9900000000000004E-2</v>
      </c>
      <c r="BH222" s="230">
        <v>24620700</v>
      </c>
      <c r="BI222" s="230">
        <v>16146825</v>
      </c>
      <c r="BJ222" s="230">
        <v>8473875</v>
      </c>
      <c r="BK222" s="229">
        <v>0.52480000000000004</v>
      </c>
      <c r="BL222" s="230">
        <v>20368275</v>
      </c>
      <c r="BM222" s="230">
        <v>8102175</v>
      </c>
      <c r="BN222" s="230">
        <v>12266100</v>
      </c>
      <c r="BO222" s="229">
        <v>1.5139</v>
      </c>
      <c r="BP222" s="230">
        <v>101690925</v>
      </c>
      <c r="BQ222" s="230">
        <v>80344725</v>
      </c>
      <c r="BR222" s="230">
        <v>21346200</v>
      </c>
      <c r="BS222" s="229">
        <v>0.26569999999999999</v>
      </c>
      <c r="BT222" s="230">
        <v>13591705</v>
      </c>
      <c r="BU222" s="230">
        <v>11198548</v>
      </c>
      <c r="BV222" s="230">
        <v>2393157</v>
      </c>
      <c r="BW222" s="229">
        <v>0.2137</v>
      </c>
      <c r="BX222" s="230">
        <v>77813625</v>
      </c>
      <c r="BY222" s="230">
        <v>91407225</v>
      </c>
      <c r="BZ222" s="230">
        <v>-13593600</v>
      </c>
      <c r="CA222" s="229">
        <v>-0.1487</v>
      </c>
      <c r="CB222" s="230">
        <v>18169050</v>
      </c>
      <c r="CC222" s="230">
        <v>20461200</v>
      </c>
      <c r="CD222" s="230">
        <v>-2292150</v>
      </c>
      <c r="CE222" s="229">
        <v>-0.112</v>
      </c>
      <c r="CF222" s="230">
        <v>75862200</v>
      </c>
      <c r="CG222" s="230">
        <v>69414975</v>
      </c>
      <c r="CH222" s="230">
        <v>6447225</v>
      </c>
      <c r="CI222" s="229">
        <v>9.2899999999999996E-2</v>
      </c>
      <c r="CJ222" s="230">
        <v>1951425</v>
      </c>
      <c r="CK222" s="230">
        <v>1531050</v>
      </c>
      <c r="CL222" s="230">
        <v>420375</v>
      </c>
      <c r="CM222" s="229">
        <v>0.27460000000000001</v>
      </c>
      <c r="CN222" s="230">
        <v>19089450</v>
      </c>
      <c r="CO222" s="230">
        <v>47073150</v>
      </c>
      <c r="CP222" s="230">
        <v>-27983700</v>
      </c>
      <c r="CQ222" s="229">
        <v>-0.59450000000000003</v>
      </c>
      <c r="CR222" s="230">
        <v>14244075</v>
      </c>
      <c r="CS222" s="230">
        <v>24142800</v>
      </c>
      <c r="CT222" s="230">
        <v>-9898725</v>
      </c>
      <c r="CU222" s="229">
        <v>-0.41</v>
      </c>
      <c r="CV222" s="230">
        <v>111147150</v>
      </c>
      <c r="CW222" s="230">
        <v>162623175</v>
      </c>
      <c r="CX222" s="230">
        <v>-51476025</v>
      </c>
      <c r="CY222" s="229">
        <v>-0.3165</v>
      </c>
      <c r="CZ222" s="228">
        <v>27.07</v>
      </c>
      <c r="DA222" s="228">
        <v>27.24</v>
      </c>
      <c r="DB222" s="228">
        <v>-0.17</v>
      </c>
      <c r="DC222" s="228">
        <v>-0.17</v>
      </c>
      <c r="DD222" s="228">
        <v>45.82</v>
      </c>
      <c r="DE222" s="228">
        <v>45.93</v>
      </c>
      <c r="DF222" s="228">
        <v>-18.75</v>
      </c>
      <c r="DG222" s="228">
        <v>-0.11</v>
      </c>
      <c r="DH222" s="228">
        <v>27.67</v>
      </c>
      <c r="DI222" s="228">
        <v>27.83</v>
      </c>
      <c r="DJ222" s="228">
        <v>-0.16</v>
      </c>
      <c r="DK222" s="228">
        <v>-0.16</v>
      </c>
      <c r="DL222" s="228">
        <v>26.26</v>
      </c>
      <c r="DM222" s="228">
        <v>26.08</v>
      </c>
      <c r="DN222" s="228">
        <v>0.18</v>
      </c>
      <c r="DO222" s="228">
        <v>0.18</v>
      </c>
      <c r="DP222" s="228">
        <v>0.75</v>
      </c>
      <c r="DQ222" s="228">
        <v>0.51</v>
      </c>
      <c r="DR222" s="228">
        <v>0.24</v>
      </c>
      <c r="DS222" s="229">
        <v>0.47060000000000002</v>
      </c>
      <c r="DT222" s="228">
        <v>155.25</v>
      </c>
      <c r="DU222" s="228">
        <v>135.25</v>
      </c>
      <c r="DV222" s="228">
        <v>0.83</v>
      </c>
      <c r="DW222" s="228">
        <v>0.5</v>
      </c>
      <c r="DX222" s="228">
        <v>0.33</v>
      </c>
      <c r="DY222" s="229">
        <v>0.66</v>
      </c>
      <c r="DZ222" s="229">
        <v>0.81069999999999998</v>
      </c>
      <c r="EA222" s="230">
        <v>70946025</v>
      </c>
      <c r="EB222" s="229">
        <v>6.0000000000000001E-3</v>
      </c>
      <c r="EC222" s="229">
        <v>0.81069999999999998</v>
      </c>
      <c r="ED222" s="228">
        <v>0.69</v>
      </c>
      <c r="EE222" s="229">
        <v>5.3E-3</v>
      </c>
      <c r="EF222" s="230">
        <v>5620874</v>
      </c>
      <c r="EG222" s="230">
        <v>6160107</v>
      </c>
      <c r="EH222" s="229">
        <v>-8.7499999999999994E-2</v>
      </c>
      <c r="EI222" s="229">
        <v>0.41360000000000002</v>
      </c>
      <c r="EJ222" s="231">
        <v>33923.93</v>
      </c>
      <c r="EK222" s="231">
        <v>27437.21</v>
      </c>
      <c r="EL222" s="231">
        <v>74431.73</v>
      </c>
      <c r="EM222" s="228">
        <v>0</v>
      </c>
      <c r="EN222" s="231">
        <v>135792.87</v>
      </c>
      <c r="EO222" s="231">
        <v>107781.38</v>
      </c>
      <c r="EP222" s="231">
        <v>28011.49</v>
      </c>
      <c r="EQ222" s="229">
        <v>0.25990000000000002</v>
      </c>
      <c r="ER222" s="231">
        <v>26500</v>
      </c>
      <c r="ES222" s="231">
        <v>19053</v>
      </c>
      <c r="ET222" s="231">
        <v>102437</v>
      </c>
      <c r="EU222" s="231">
        <v>385388951</v>
      </c>
      <c r="EV222" s="231">
        <v>147989</v>
      </c>
      <c r="EW222" s="231">
        <v>221397</v>
      </c>
      <c r="EX222" s="231">
        <v>-73408</v>
      </c>
      <c r="EY222" s="229">
        <v>-0.33160000000000001</v>
      </c>
      <c r="EZ222" s="229">
        <v>0.28839999999999999</v>
      </c>
      <c r="FA222" s="227" t="s">
        <v>556</v>
      </c>
      <c r="FB222" s="161">
        <f t="shared" si="5"/>
        <v>0</v>
      </c>
    </row>
    <row r="223" spans="1:158" ht="17.25" thickBot="1" x14ac:dyDescent="0.3">
      <c r="A223" s="226">
        <v>45869</v>
      </c>
      <c r="B223" s="227" t="s">
        <v>168</v>
      </c>
      <c r="C223" s="227" t="s">
        <v>569</v>
      </c>
      <c r="D223" s="228">
        <v>400</v>
      </c>
      <c r="E223" s="231">
        <v>1338</v>
      </c>
      <c r="F223" s="231">
        <v>1314.7</v>
      </c>
      <c r="G223" s="228">
        <v>23.3</v>
      </c>
      <c r="H223" s="229">
        <v>1.77E-2</v>
      </c>
      <c r="I223" s="231">
        <v>1340.2</v>
      </c>
      <c r="J223" s="231">
        <v>1315.8</v>
      </c>
      <c r="K223" s="228">
        <v>24.4</v>
      </c>
      <c r="L223" s="229">
        <v>1.8499999999999999E-2</v>
      </c>
      <c r="M223" s="231">
        <v>1337.9</v>
      </c>
      <c r="N223" s="231">
        <v>1315.7</v>
      </c>
      <c r="O223" s="228">
        <v>22.2</v>
      </c>
      <c r="P223" s="229">
        <v>1.6899999999999998E-2</v>
      </c>
      <c r="Q223" s="231">
        <v>1338</v>
      </c>
      <c r="R223" s="231">
        <v>1314.7</v>
      </c>
      <c r="S223" s="228">
        <v>23.3</v>
      </c>
      <c r="T223" s="229">
        <v>1.77E-2</v>
      </c>
      <c r="U223" s="231">
        <v>1346</v>
      </c>
      <c r="V223" s="231">
        <v>1322.7</v>
      </c>
      <c r="W223" s="228">
        <v>23.3</v>
      </c>
      <c r="X223" s="229">
        <v>1.7600000000000001E-2</v>
      </c>
      <c r="Y223" s="228">
        <v>-2.2000000000000002</v>
      </c>
      <c r="Z223" s="228">
        <v>-0.1</v>
      </c>
      <c r="AA223" s="228">
        <v>-2.1</v>
      </c>
      <c r="AB223" s="229">
        <v>-1.6000000000000001E-3</v>
      </c>
      <c r="AC223" s="228">
        <v>-2.2999999999999998</v>
      </c>
      <c r="AD223" s="228">
        <v>-0.1</v>
      </c>
      <c r="AE223" s="228">
        <v>-2.2000000000000002</v>
      </c>
      <c r="AF223" s="229">
        <v>-1.6999999999999999E-3</v>
      </c>
      <c r="AG223" s="228">
        <v>-2.2000000000000002</v>
      </c>
      <c r="AH223" s="228">
        <v>-1.1000000000000001</v>
      </c>
      <c r="AI223" s="228">
        <v>-1.1000000000000001</v>
      </c>
      <c r="AJ223" s="229">
        <v>-1.6000000000000001E-3</v>
      </c>
      <c r="AK223" s="228">
        <v>5.8</v>
      </c>
      <c r="AL223" s="228">
        <v>6.9</v>
      </c>
      <c r="AM223" s="228">
        <v>-1.1000000000000001</v>
      </c>
      <c r="AN223" s="229">
        <v>4.3E-3</v>
      </c>
      <c r="AO223" s="231">
        <v>1332.53</v>
      </c>
      <c r="AP223" s="231">
        <v>1331.35</v>
      </c>
      <c r="AQ223" s="228">
        <v>0</v>
      </c>
      <c r="AR223" s="230">
        <v>8157600</v>
      </c>
      <c r="AS223" s="230">
        <v>6352800</v>
      </c>
      <c r="AT223" s="230">
        <v>1804800</v>
      </c>
      <c r="AU223" s="229">
        <v>0.28410000000000002</v>
      </c>
      <c r="AV223" s="230">
        <v>3592000</v>
      </c>
      <c r="AW223" s="230">
        <v>3139600</v>
      </c>
      <c r="AX223" s="230">
        <v>452400</v>
      </c>
      <c r="AY223" s="229">
        <v>0.14410000000000001</v>
      </c>
      <c r="AZ223" s="230">
        <v>4456400</v>
      </c>
      <c r="BA223" s="230">
        <v>3182000</v>
      </c>
      <c r="BB223" s="230">
        <v>1274400</v>
      </c>
      <c r="BC223" s="229">
        <v>0.40050000000000002</v>
      </c>
      <c r="BD223" s="230">
        <v>109200</v>
      </c>
      <c r="BE223" s="230">
        <v>31200</v>
      </c>
      <c r="BF223" s="230">
        <v>78000</v>
      </c>
      <c r="BG223" s="229">
        <v>2.5</v>
      </c>
      <c r="BH223" s="230">
        <v>6638800</v>
      </c>
      <c r="BI223" s="230">
        <v>3050000</v>
      </c>
      <c r="BJ223" s="230">
        <v>3588800</v>
      </c>
      <c r="BK223" s="229">
        <v>1.1767000000000001</v>
      </c>
      <c r="BL223" s="230">
        <v>3606800</v>
      </c>
      <c r="BM223" s="230">
        <v>1730000</v>
      </c>
      <c r="BN223" s="230">
        <v>1876800</v>
      </c>
      <c r="BO223" s="229">
        <v>1.0849</v>
      </c>
      <c r="BP223" s="230">
        <v>18403200</v>
      </c>
      <c r="BQ223" s="230">
        <v>11132800</v>
      </c>
      <c r="BR223" s="230">
        <v>7270400</v>
      </c>
      <c r="BS223" s="229">
        <v>0.65310000000000001</v>
      </c>
      <c r="BT223" s="230">
        <v>1518382</v>
      </c>
      <c r="BU223" s="230">
        <v>557355</v>
      </c>
      <c r="BV223" s="230">
        <v>961027</v>
      </c>
      <c r="BW223" s="229">
        <v>1.7242999999999999</v>
      </c>
      <c r="BX223" s="230">
        <v>16109600</v>
      </c>
      <c r="BY223" s="230">
        <v>17386400</v>
      </c>
      <c r="BZ223" s="230">
        <v>-1276800</v>
      </c>
      <c r="CA223" s="229">
        <v>-7.3400000000000007E-2</v>
      </c>
      <c r="CB223" s="230">
        <v>872000</v>
      </c>
      <c r="CC223" s="230">
        <v>2733200</v>
      </c>
      <c r="CD223" s="230">
        <v>-1861200</v>
      </c>
      <c r="CE223" s="229">
        <v>-0.68100000000000005</v>
      </c>
      <c r="CF223" s="230">
        <v>15856400</v>
      </c>
      <c r="CG223" s="230">
        <v>14461200</v>
      </c>
      <c r="CH223" s="230">
        <v>1395200</v>
      </c>
      <c r="CI223" s="229">
        <v>9.6500000000000002E-2</v>
      </c>
      <c r="CJ223" s="230">
        <v>253200</v>
      </c>
      <c r="CK223" s="230">
        <v>192000</v>
      </c>
      <c r="CL223" s="230">
        <v>61200</v>
      </c>
      <c r="CM223" s="229">
        <v>0.31879999999999997</v>
      </c>
      <c r="CN223" s="230">
        <v>2292000</v>
      </c>
      <c r="CO223" s="230">
        <v>4919200</v>
      </c>
      <c r="CP223" s="230">
        <v>-2627200</v>
      </c>
      <c r="CQ223" s="229">
        <v>-0.53410000000000002</v>
      </c>
      <c r="CR223" s="230">
        <v>2593600</v>
      </c>
      <c r="CS223" s="230">
        <v>4349200</v>
      </c>
      <c r="CT223" s="230">
        <v>-1755600</v>
      </c>
      <c r="CU223" s="229">
        <v>-0.4037</v>
      </c>
      <c r="CV223" s="230">
        <v>20995200</v>
      </c>
      <c r="CW223" s="230">
        <v>26654800</v>
      </c>
      <c r="CX223" s="230">
        <v>-5659600</v>
      </c>
      <c r="CY223" s="229">
        <v>-0.21229999999999999</v>
      </c>
      <c r="CZ223" s="228">
        <v>24.09</v>
      </c>
      <c r="DA223" s="228">
        <v>25.08</v>
      </c>
      <c r="DB223" s="228">
        <v>-0.99</v>
      </c>
      <c r="DC223" s="228">
        <v>-0.99</v>
      </c>
      <c r="DD223" s="228">
        <v>29.93</v>
      </c>
      <c r="DE223" s="228">
        <v>29.9</v>
      </c>
      <c r="DF223" s="228">
        <v>-5.84</v>
      </c>
      <c r="DG223" s="228">
        <v>0.03</v>
      </c>
      <c r="DH223" s="228">
        <v>23.96</v>
      </c>
      <c r="DI223" s="228">
        <v>25.31</v>
      </c>
      <c r="DJ223" s="228">
        <v>-1.35</v>
      </c>
      <c r="DK223" s="228">
        <v>-1.35</v>
      </c>
      <c r="DL223" s="228">
        <v>24.35</v>
      </c>
      <c r="DM223" s="228">
        <v>24.8</v>
      </c>
      <c r="DN223" s="228">
        <v>-0.45</v>
      </c>
      <c r="DO223" s="228">
        <v>-0.45</v>
      </c>
      <c r="DP223" s="228">
        <v>1.1299999999999999</v>
      </c>
      <c r="DQ223" s="228">
        <v>0.88</v>
      </c>
      <c r="DR223" s="228">
        <v>0.25</v>
      </c>
      <c r="DS223" s="229">
        <v>0.28410000000000002</v>
      </c>
      <c r="DT223" s="231">
        <v>1400</v>
      </c>
      <c r="DU223" s="231">
        <v>1320</v>
      </c>
      <c r="DV223" s="228">
        <v>0.54</v>
      </c>
      <c r="DW223" s="228">
        <v>0.56999999999999995</v>
      </c>
      <c r="DX223" s="228">
        <v>-0.03</v>
      </c>
      <c r="DY223" s="229">
        <v>-5.2600000000000001E-2</v>
      </c>
      <c r="DZ223" s="229">
        <v>0.94869999999999999</v>
      </c>
      <c r="EA223" s="230">
        <v>14653200</v>
      </c>
      <c r="EB223" s="229">
        <v>1E-4</v>
      </c>
      <c r="EC223" s="229">
        <v>0.94869999999999999</v>
      </c>
      <c r="ED223" s="228">
        <v>-1.18</v>
      </c>
      <c r="EE223" s="229">
        <v>-8.9999999999999998E-4</v>
      </c>
      <c r="EF223" s="230">
        <v>883250</v>
      </c>
      <c r="EG223" s="230">
        <v>295639</v>
      </c>
      <c r="EH223" s="229">
        <v>1.9876</v>
      </c>
      <c r="EI223" s="229">
        <v>0.58169999999999999</v>
      </c>
      <c r="EJ223" s="231">
        <v>92569.83</v>
      </c>
      <c r="EK223" s="231">
        <v>49275.44</v>
      </c>
      <c r="EL223" s="231">
        <v>108658.26</v>
      </c>
      <c r="EM223" s="228">
        <v>0</v>
      </c>
      <c r="EN223" s="231">
        <v>250503.53</v>
      </c>
      <c r="EO223" s="231">
        <v>149808.98000000001</v>
      </c>
      <c r="EP223" s="231">
        <v>100694.55</v>
      </c>
      <c r="EQ223" s="229">
        <v>0.67220000000000002</v>
      </c>
      <c r="ER223" s="231">
        <v>31905</v>
      </c>
      <c r="ES223" s="231">
        <v>35275</v>
      </c>
      <c r="ET223" s="231">
        <v>215567</v>
      </c>
      <c r="EU223" s="231">
        <v>63025888</v>
      </c>
      <c r="EV223" s="231">
        <v>282746</v>
      </c>
      <c r="EW223" s="231">
        <v>359046</v>
      </c>
      <c r="EX223" s="231">
        <v>-76300</v>
      </c>
      <c r="EY223" s="229">
        <v>-0.21249999999999999</v>
      </c>
      <c r="EZ223" s="229">
        <v>0.33310000000000001</v>
      </c>
      <c r="FA223" s="227" t="s">
        <v>556</v>
      </c>
      <c r="FB223" s="161">
        <f t="shared" si="5"/>
        <v>0</v>
      </c>
    </row>
    <row r="224" spans="1:158" ht="17.25" thickBot="1" x14ac:dyDescent="0.3">
      <c r="A224" s="226">
        <v>45869</v>
      </c>
      <c r="B224" s="227" t="s">
        <v>162</v>
      </c>
      <c r="C224" s="227" t="s">
        <v>676</v>
      </c>
      <c r="D224" s="228">
        <v>550</v>
      </c>
      <c r="E224" s="231">
        <v>1047.7</v>
      </c>
      <c r="F224" s="231">
        <v>1076.5</v>
      </c>
      <c r="G224" s="228">
        <v>-28.8</v>
      </c>
      <c r="H224" s="229">
        <v>-2.6800000000000001E-2</v>
      </c>
      <c r="I224" s="231">
        <v>1041.4000000000001</v>
      </c>
      <c r="J224" s="231">
        <v>1069.8</v>
      </c>
      <c r="K224" s="228">
        <v>-28.4</v>
      </c>
      <c r="L224" s="229">
        <v>-2.6499999999999999E-2</v>
      </c>
      <c r="M224" s="231">
        <v>1043.3</v>
      </c>
      <c r="N224" s="231">
        <v>1071.0999999999999</v>
      </c>
      <c r="O224" s="228">
        <v>-27.8</v>
      </c>
      <c r="P224" s="229">
        <v>-2.5999999999999999E-2</v>
      </c>
      <c r="Q224" s="231">
        <v>1047.7</v>
      </c>
      <c r="R224" s="231">
        <v>1076.5</v>
      </c>
      <c r="S224" s="228">
        <v>-28.8</v>
      </c>
      <c r="T224" s="229">
        <v>-2.6800000000000001E-2</v>
      </c>
      <c r="U224" s="231">
        <v>1053.3</v>
      </c>
      <c r="V224" s="231">
        <v>1081.3</v>
      </c>
      <c r="W224" s="228">
        <v>-28</v>
      </c>
      <c r="X224" s="229">
        <v>-2.5899999999999999E-2</v>
      </c>
      <c r="Y224" s="228">
        <v>6.3</v>
      </c>
      <c r="Z224" s="228">
        <v>1.3</v>
      </c>
      <c r="AA224" s="228">
        <v>5</v>
      </c>
      <c r="AB224" s="229">
        <v>6.0000000000000001E-3</v>
      </c>
      <c r="AC224" s="228">
        <v>1.9</v>
      </c>
      <c r="AD224" s="228">
        <v>1.3</v>
      </c>
      <c r="AE224" s="228">
        <v>0.6</v>
      </c>
      <c r="AF224" s="229">
        <v>1.8E-3</v>
      </c>
      <c r="AG224" s="228">
        <v>6.3</v>
      </c>
      <c r="AH224" s="228">
        <v>6.7</v>
      </c>
      <c r="AI224" s="228">
        <v>-0.4</v>
      </c>
      <c r="AJ224" s="229">
        <v>6.0000000000000001E-3</v>
      </c>
      <c r="AK224" s="228">
        <v>11.9</v>
      </c>
      <c r="AL224" s="228">
        <v>11.5</v>
      </c>
      <c r="AM224" s="228">
        <v>0.4</v>
      </c>
      <c r="AN224" s="229">
        <v>1.14E-2</v>
      </c>
      <c r="AO224" s="231">
        <v>1050.8399999999999</v>
      </c>
      <c r="AP224" s="231">
        <v>1056.3800000000001</v>
      </c>
      <c r="AQ224" s="228">
        <v>0</v>
      </c>
      <c r="AR224" s="230">
        <v>1333750</v>
      </c>
      <c r="AS224" s="230">
        <v>2098250</v>
      </c>
      <c r="AT224" s="230">
        <v>-764500</v>
      </c>
      <c r="AU224" s="229">
        <v>-0.3644</v>
      </c>
      <c r="AV224" s="230">
        <v>490050</v>
      </c>
      <c r="AW224" s="230">
        <v>976800</v>
      </c>
      <c r="AX224" s="230">
        <v>-486750</v>
      </c>
      <c r="AY224" s="229">
        <v>-0.49830000000000002</v>
      </c>
      <c r="AZ224" s="230">
        <v>838750</v>
      </c>
      <c r="BA224" s="230">
        <v>1118150</v>
      </c>
      <c r="BB224" s="230">
        <v>-279400</v>
      </c>
      <c r="BC224" s="229">
        <v>-0.24990000000000001</v>
      </c>
      <c r="BD224" s="230">
        <v>4950</v>
      </c>
      <c r="BE224" s="230">
        <v>3300</v>
      </c>
      <c r="BF224" s="230">
        <v>1650</v>
      </c>
      <c r="BG224" s="229">
        <v>0.5</v>
      </c>
      <c r="BH224" s="230">
        <v>1294150</v>
      </c>
      <c r="BI224" s="230">
        <v>602250</v>
      </c>
      <c r="BJ224" s="230">
        <v>691900</v>
      </c>
      <c r="BK224" s="229">
        <v>1.1489</v>
      </c>
      <c r="BL224" s="230">
        <v>694100</v>
      </c>
      <c r="BM224" s="230">
        <v>711700</v>
      </c>
      <c r="BN224" s="230">
        <v>-17600</v>
      </c>
      <c r="BO224" s="229">
        <v>-2.47E-2</v>
      </c>
      <c r="BP224" s="230">
        <v>3322000</v>
      </c>
      <c r="BQ224" s="230">
        <v>3412200</v>
      </c>
      <c r="BR224" s="230">
        <v>-90200</v>
      </c>
      <c r="BS224" s="229">
        <v>-2.64E-2</v>
      </c>
      <c r="BT224" s="230">
        <v>430744</v>
      </c>
      <c r="BU224" s="230">
        <v>281214</v>
      </c>
      <c r="BV224" s="230">
        <v>149530</v>
      </c>
      <c r="BW224" s="229">
        <v>0.53169999999999995</v>
      </c>
      <c r="BX224" s="230">
        <v>1948100</v>
      </c>
      <c r="BY224" s="230">
        <v>2359500</v>
      </c>
      <c r="BZ224" s="230">
        <v>-411400</v>
      </c>
      <c r="CA224" s="229">
        <v>-0.1744</v>
      </c>
      <c r="CB224" s="230">
        <v>325050</v>
      </c>
      <c r="CC224" s="230">
        <v>558250</v>
      </c>
      <c r="CD224" s="230">
        <v>-233200</v>
      </c>
      <c r="CE224" s="229">
        <v>-0.41770000000000002</v>
      </c>
      <c r="CF224" s="230">
        <v>1931050</v>
      </c>
      <c r="CG224" s="230">
        <v>1786400</v>
      </c>
      <c r="CH224" s="230">
        <v>144650</v>
      </c>
      <c r="CI224" s="229">
        <v>8.1000000000000003E-2</v>
      </c>
      <c r="CJ224" s="230">
        <v>17050</v>
      </c>
      <c r="CK224" s="230">
        <v>14850</v>
      </c>
      <c r="CL224" s="230">
        <v>2200</v>
      </c>
      <c r="CM224" s="229">
        <v>0.14810000000000001</v>
      </c>
      <c r="CN224" s="230">
        <v>230450</v>
      </c>
      <c r="CO224" s="230">
        <v>1275450</v>
      </c>
      <c r="CP224" s="230">
        <v>-1045000</v>
      </c>
      <c r="CQ224" s="229">
        <v>-0.81930000000000003</v>
      </c>
      <c r="CR224" s="230">
        <v>299200</v>
      </c>
      <c r="CS224" s="230">
        <v>799700</v>
      </c>
      <c r="CT224" s="230">
        <v>-500500</v>
      </c>
      <c r="CU224" s="229">
        <v>-0.62590000000000001</v>
      </c>
      <c r="CV224" s="230">
        <v>2477750</v>
      </c>
      <c r="CW224" s="230">
        <v>4434650</v>
      </c>
      <c r="CX224" s="230">
        <v>-1956900</v>
      </c>
      <c r="CY224" s="229">
        <v>-0.44130000000000003</v>
      </c>
      <c r="CZ224" s="228">
        <v>39.51</v>
      </c>
      <c r="DA224" s="228">
        <v>43.52</v>
      </c>
      <c r="DB224" s="228">
        <v>-4.01</v>
      </c>
      <c r="DC224" s="228">
        <v>-4.01</v>
      </c>
      <c r="DD224" s="228">
        <v>43.19</v>
      </c>
      <c r="DE224" s="228">
        <v>43.14</v>
      </c>
      <c r="DF224" s="228">
        <v>-3.68</v>
      </c>
      <c r="DG224" s="228">
        <v>0.05</v>
      </c>
      <c r="DH224" s="228">
        <v>37.79</v>
      </c>
      <c r="DI224" s="228">
        <v>39.479999999999997</v>
      </c>
      <c r="DJ224" s="228">
        <v>-1.69</v>
      </c>
      <c r="DK224" s="228">
        <v>-1.69</v>
      </c>
      <c r="DL224" s="228">
        <v>40.65</v>
      </c>
      <c r="DM224" s="228">
        <v>44.64</v>
      </c>
      <c r="DN224" s="228">
        <v>-3.99</v>
      </c>
      <c r="DO224" s="228">
        <v>-3.99</v>
      </c>
      <c r="DP224" s="228">
        <v>1.3</v>
      </c>
      <c r="DQ224" s="228">
        <v>0.63</v>
      </c>
      <c r="DR224" s="228">
        <v>0.67</v>
      </c>
      <c r="DS224" s="229">
        <v>1.0634999999999999</v>
      </c>
      <c r="DT224" s="231">
        <v>1200</v>
      </c>
      <c r="DU224" s="231">
        <v>1000</v>
      </c>
      <c r="DV224" s="228">
        <v>0.54</v>
      </c>
      <c r="DW224" s="228">
        <v>1.18</v>
      </c>
      <c r="DX224" s="228">
        <v>-0.64</v>
      </c>
      <c r="DY224" s="229">
        <v>-0.54239999999999999</v>
      </c>
      <c r="DZ224" s="229">
        <v>0.85699999999999998</v>
      </c>
      <c r="EA224" s="230">
        <v>1801250</v>
      </c>
      <c r="EB224" s="229">
        <v>4.1999999999999997E-3</v>
      </c>
      <c r="EC224" s="229">
        <v>0.85699999999999998</v>
      </c>
      <c r="ED224" s="228">
        <v>5.54</v>
      </c>
      <c r="EE224" s="229">
        <v>5.3E-3</v>
      </c>
      <c r="EF224" s="230">
        <v>186531</v>
      </c>
      <c r="EG224" s="230">
        <v>134292</v>
      </c>
      <c r="EH224" s="229">
        <v>0.38900000000000001</v>
      </c>
      <c r="EI224" s="229">
        <v>0.433</v>
      </c>
      <c r="EJ224" s="231">
        <v>14862.5</v>
      </c>
      <c r="EK224" s="231">
        <v>7249.92</v>
      </c>
      <c r="EL224" s="231">
        <v>14062.52</v>
      </c>
      <c r="EM224" s="228">
        <v>0</v>
      </c>
      <c r="EN224" s="231">
        <v>36174.94</v>
      </c>
      <c r="EO224" s="231">
        <v>36718.86</v>
      </c>
      <c r="EP224" s="228">
        <v>-543.91999999999996</v>
      </c>
      <c r="EQ224" s="229">
        <v>-1.4800000000000001E-2</v>
      </c>
      <c r="ER224" s="231">
        <v>2642</v>
      </c>
      <c r="ES224" s="231">
        <v>3025</v>
      </c>
      <c r="ET224" s="231">
        <v>20411</v>
      </c>
      <c r="EU224" s="231">
        <v>35881800</v>
      </c>
      <c r="EV224" s="231">
        <v>26078</v>
      </c>
      <c r="EW224" s="231">
        <v>48308</v>
      </c>
      <c r="EX224" s="231">
        <v>-22230</v>
      </c>
      <c r="EY224" s="229">
        <v>-0.4602</v>
      </c>
      <c r="EZ224" s="229">
        <v>6.9099999999999995E-2</v>
      </c>
      <c r="FA224" s="227" t="s">
        <v>568</v>
      </c>
      <c r="FB224" s="161">
        <f t="shared" si="5"/>
        <v>0</v>
      </c>
    </row>
    <row r="225" spans="1:158" ht="17.25" thickBot="1" x14ac:dyDescent="0.3">
      <c r="A225" s="226">
        <v>45869</v>
      </c>
      <c r="B225" s="227" t="s">
        <v>498</v>
      </c>
      <c r="C225" s="227" t="s">
        <v>303</v>
      </c>
      <c r="D225" s="228">
        <v>1355</v>
      </c>
      <c r="E225" s="228">
        <v>707.55</v>
      </c>
      <c r="F225" s="228">
        <v>724.8</v>
      </c>
      <c r="G225" s="228">
        <v>-17.25</v>
      </c>
      <c r="H225" s="229">
        <v>-2.3800000000000002E-2</v>
      </c>
      <c r="I225" s="228">
        <v>703.8</v>
      </c>
      <c r="J225" s="228">
        <v>721.9</v>
      </c>
      <c r="K225" s="228">
        <v>-18.100000000000001</v>
      </c>
      <c r="L225" s="229">
        <v>-2.5100000000000001E-2</v>
      </c>
      <c r="M225" s="228">
        <v>703.7</v>
      </c>
      <c r="N225" s="228">
        <v>721.95</v>
      </c>
      <c r="O225" s="228">
        <v>-18.25</v>
      </c>
      <c r="P225" s="229">
        <v>-2.53E-2</v>
      </c>
      <c r="Q225" s="228">
        <v>707.55</v>
      </c>
      <c r="R225" s="228">
        <v>724.8</v>
      </c>
      <c r="S225" s="228">
        <v>-17.25</v>
      </c>
      <c r="T225" s="229">
        <v>-2.3800000000000002E-2</v>
      </c>
      <c r="U225" s="228">
        <v>705.15</v>
      </c>
      <c r="V225" s="228">
        <v>721.55</v>
      </c>
      <c r="W225" s="228">
        <v>-16.399999999999999</v>
      </c>
      <c r="X225" s="229">
        <v>-2.2700000000000001E-2</v>
      </c>
      <c r="Y225" s="228">
        <v>3.75</v>
      </c>
      <c r="Z225" s="228">
        <v>0.05</v>
      </c>
      <c r="AA225" s="228">
        <v>3.7</v>
      </c>
      <c r="AB225" s="229">
        <v>5.3E-3</v>
      </c>
      <c r="AC225" s="228">
        <v>-0.1</v>
      </c>
      <c r="AD225" s="228">
        <v>0.05</v>
      </c>
      <c r="AE225" s="228">
        <v>-0.15</v>
      </c>
      <c r="AF225" s="229">
        <v>-1E-4</v>
      </c>
      <c r="AG225" s="228">
        <v>3.75</v>
      </c>
      <c r="AH225" s="228">
        <v>2.9</v>
      </c>
      <c r="AI225" s="228">
        <v>0.85</v>
      </c>
      <c r="AJ225" s="229">
        <v>5.3E-3</v>
      </c>
      <c r="AK225" s="228">
        <v>1.35</v>
      </c>
      <c r="AL225" s="228">
        <v>-0.35</v>
      </c>
      <c r="AM225" s="228">
        <v>1.7</v>
      </c>
      <c r="AN225" s="229">
        <v>1.9E-3</v>
      </c>
      <c r="AO225" s="228">
        <v>714.62</v>
      </c>
      <c r="AP225" s="228">
        <v>716.37</v>
      </c>
      <c r="AQ225" s="228">
        <v>0</v>
      </c>
      <c r="AR225" s="230">
        <v>19501160</v>
      </c>
      <c r="AS225" s="230">
        <v>20353455</v>
      </c>
      <c r="AT225" s="230">
        <v>-852295</v>
      </c>
      <c r="AU225" s="229">
        <v>-4.19E-2</v>
      </c>
      <c r="AV225" s="230">
        <v>6516195</v>
      </c>
      <c r="AW225" s="230">
        <v>8907770</v>
      </c>
      <c r="AX225" s="230">
        <v>-2391575</v>
      </c>
      <c r="AY225" s="229">
        <v>-0.26850000000000002</v>
      </c>
      <c r="AZ225" s="230">
        <v>12478195</v>
      </c>
      <c r="BA225" s="230">
        <v>10750570</v>
      </c>
      <c r="BB225" s="230">
        <v>1727625</v>
      </c>
      <c r="BC225" s="229">
        <v>0.16070000000000001</v>
      </c>
      <c r="BD225" s="230">
        <v>506770</v>
      </c>
      <c r="BE225" s="230">
        <v>695115</v>
      </c>
      <c r="BF225" s="230">
        <v>-188345</v>
      </c>
      <c r="BG225" s="229">
        <v>-0.27100000000000002</v>
      </c>
      <c r="BH225" s="230">
        <v>18690870</v>
      </c>
      <c r="BI225" s="230">
        <v>16387370</v>
      </c>
      <c r="BJ225" s="230">
        <v>2303500</v>
      </c>
      <c r="BK225" s="229">
        <v>0.1406</v>
      </c>
      <c r="BL225" s="230">
        <v>11961940</v>
      </c>
      <c r="BM225" s="230">
        <v>9715350</v>
      </c>
      <c r="BN225" s="230">
        <v>2246590</v>
      </c>
      <c r="BO225" s="229">
        <v>0.23119999999999999</v>
      </c>
      <c r="BP225" s="230">
        <v>50153970</v>
      </c>
      <c r="BQ225" s="230">
        <v>46456175</v>
      </c>
      <c r="BR225" s="230">
        <v>3697795</v>
      </c>
      <c r="BS225" s="229">
        <v>7.9600000000000004E-2</v>
      </c>
      <c r="BT225" s="230">
        <v>2578376</v>
      </c>
      <c r="BU225" s="230">
        <v>1623437</v>
      </c>
      <c r="BV225" s="230">
        <v>954939</v>
      </c>
      <c r="BW225" s="229">
        <v>0.58819999999999995</v>
      </c>
      <c r="BX225" s="230">
        <v>33131105</v>
      </c>
      <c r="BY225" s="230">
        <v>36140560</v>
      </c>
      <c r="BZ225" s="230">
        <v>-3009455</v>
      </c>
      <c r="CA225" s="229">
        <v>-8.3299999999999999E-2</v>
      </c>
      <c r="CB225" s="230">
        <v>2990485</v>
      </c>
      <c r="CC225" s="230">
        <v>6159830</v>
      </c>
      <c r="CD225" s="230">
        <v>-3169345</v>
      </c>
      <c r="CE225" s="229">
        <v>-0.51449999999999996</v>
      </c>
      <c r="CF225" s="230">
        <v>31984775</v>
      </c>
      <c r="CG225" s="230">
        <v>29011905</v>
      </c>
      <c r="CH225" s="230">
        <v>2972870</v>
      </c>
      <c r="CI225" s="229">
        <v>0.10249999999999999</v>
      </c>
      <c r="CJ225" s="230">
        <v>1146330</v>
      </c>
      <c r="CK225" s="230">
        <v>968825</v>
      </c>
      <c r="CL225" s="230">
        <v>177505</v>
      </c>
      <c r="CM225" s="229">
        <v>0.1832</v>
      </c>
      <c r="CN225" s="230">
        <v>6516195</v>
      </c>
      <c r="CO225" s="230">
        <v>14326415</v>
      </c>
      <c r="CP225" s="230">
        <v>-7810220</v>
      </c>
      <c r="CQ225" s="229">
        <v>-0.54520000000000002</v>
      </c>
      <c r="CR225" s="230">
        <v>3751995</v>
      </c>
      <c r="CS225" s="230">
        <v>9825105</v>
      </c>
      <c r="CT225" s="230">
        <v>-6073110</v>
      </c>
      <c r="CU225" s="229">
        <v>-0.61809999999999998</v>
      </c>
      <c r="CV225" s="230">
        <v>43399295</v>
      </c>
      <c r="CW225" s="230">
        <v>60292080</v>
      </c>
      <c r="CX225" s="230">
        <v>-16892785</v>
      </c>
      <c r="CY225" s="229">
        <v>-0.2802</v>
      </c>
      <c r="CZ225" s="228">
        <v>31.76</v>
      </c>
      <c r="DA225" s="228">
        <v>31.8</v>
      </c>
      <c r="DB225" s="228">
        <v>-0.04</v>
      </c>
      <c r="DC225" s="228">
        <v>-0.04</v>
      </c>
      <c r="DD225" s="228">
        <v>34.03</v>
      </c>
      <c r="DE225" s="228">
        <v>33.96</v>
      </c>
      <c r="DF225" s="228">
        <v>-2.27</v>
      </c>
      <c r="DG225" s="228">
        <v>7.0000000000000007E-2</v>
      </c>
      <c r="DH225" s="228">
        <v>32.01</v>
      </c>
      <c r="DI225" s="228">
        <v>31.74</v>
      </c>
      <c r="DJ225" s="228">
        <v>0.27</v>
      </c>
      <c r="DK225" s="228">
        <v>0.27</v>
      </c>
      <c r="DL225" s="228">
        <v>31.31</v>
      </c>
      <c r="DM225" s="228">
        <v>31.93</v>
      </c>
      <c r="DN225" s="228">
        <v>-0.62</v>
      </c>
      <c r="DO225" s="228">
        <v>-0.62</v>
      </c>
      <c r="DP225" s="228">
        <v>0.57999999999999996</v>
      </c>
      <c r="DQ225" s="228">
        <v>0.69</v>
      </c>
      <c r="DR225" s="228">
        <v>-0.11</v>
      </c>
      <c r="DS225" s="229">
        <v>-0.15939999999999999</v>
      </c>
      <c r="DT225" s="228">
        <v>800</v>
      </c>
      <c r="DU225" s="228">
        <v>700</v>
      </c>
      <c r="DV225" s="228">
        <v>0.64</v>
      </c>
      <c r="DW225" s="228">
        <v>0.59</v>
      </c>
      <c r="DX225" s="228">
        <v>0.05</v>
      </c>
      <c r="DY225" s="229">
        <v>8.4699999999999998E-2</v>
      </c>
      <c r="DZ225" s="229">
        <v>0.91720000000000002</v>
      </c>
      <c r="EA225" s="230">
        <v>29980730</v>
      </c>
      <c r="EB225" s="229">
        <v>5.4999999999999997E-3</v>
      </c>
      <c r="EC225" s="229">
        <v>0.91720000000000002</v>
      </c>
      <c r="ED225" s="228">
        <v>1.75</v>
      </c>
      <c r="EE225" s="229">
        <v>2.3999999999999998E-3</v>
      </c>
      <c r="EF225" s="230">
        <v>1292144</v>
      </c>
      <c r="EG225" s="230">
        <v>920400</v>
      </c>
      <c r="EH225" s="229">
        <v>0.40389999999999998</v>
      </c>
      <c r="EI225" s="229">
        <v>0.50109999999999999</v>
      </c>
      <c r="EJ225" s="231">
        <v>141152.57999999999</v>
      </c>
      <c r="EK225" s="231">
        <v>85425</v>
      </c>
      <c r="EL225" s="231">
        <v>139566.10999999999</v>
      </c>
      <c r="EM225" s="228">
        <v>0</v>
      </c>
      <c r="EN225" s="231">
        <v>366143.69</v>
      </c>
      <c r="EO225" s="231">
        <v>340061.52</v>
      </c>
      <c r="EP225" s="231">
        <v>26082.17</v>
      </c>
      <c r="EQ225" s="229">
        <v>7.6700000000000004E-2</v>
      </c>
      <c r="ER225" s="231">
        <v>48839</v>
      </c>
      <c r="ES225" s="231">
        <v>25915</v>
      </c>
      <c r="ET225" s="231">
        <v>234392</v>
      </c>
      <c r="EU225" s="231">
        <v>112299677</v>
      </c>
      <c r="EV225" s="231">
        <v>309147</v>
      </c>
      <c r="EW225" s="231">
        <v>429850</v>
      </c>
      <c r="EX225" s="231">
        <v>-120703</v>
      </c>
      <c r="EY225" s="229">
        <v>-0.28079999999999999</v>
      </c>
      <c r="EZ225" s="229">
        <v>0.38650000000000001</v>
      </c>
      <c r="FA225" s="227" t="s">
        <v>568</v>
      </c>
      <c r="FB225" s="161">
        <f t="shared" si="5"/>
        <v>0</v>
      </c>
    </row>
    <row r="226" spans="1:158" ht="17.25" thickBot="1" x14ac:dyDescent="0.3">
      <c r="A226" s="226">
        <v>45869</v>
      </c>
      <c r="B226" s="227" t="s">
        <v>168</v>
      </c>
      <c r="C226" s="227" t="s">
        <v>587</v>
      </c>
      <c r="D226" s="228">
        <v>1025</v>
      </c>
      <c r="E226" s="228">
        <v>523.9</v>
      </c>
      <c r="F226" s="228">
        <v>523.65</v>
      </c>
      <c r="G226" s="228">
        <v>0.25</v>
      </c>
      <c r="H226" s="229">
        <v>5.0000000000000001E-4</v>
      </c>
      <c r="I226" s="228">
        <v>522.6</v>
      </c>
      <c r="J226" s="228">
        <v>522.1</v>
      </c>
      <c r="K226" s="228">
        <v>0.5</v>
      </c>
      <c r="L226" s="229">
        <v>1E-3</v>
      </c>
      <c r="M226" s="228">
        <v>522.75</v>
      </c>
      <c r="N226" s="228">
        <v>521.65</v>
      </c>
      <c r="O226" s="228">
        <v>1.1000000000000001</v>
      </c>
      <c r="P226" s="229">
        <v>2.0999999999999999E-3</v>
      </c>
      <c r="Q226" s="228">
        <v>523.9</v>
      </c>
      <c r="R226" s="228">
        <v>523.65</v>
      </c>
      <c r="S226" s="228">
        <v>0.25</v>
      </c>
      <c r="T226" s="229">
        <v>5.0000000000000001E-4</v>
      </c>
      <c r="U226" s="228">
        <v>526.45000000000005</v>
      </c>
      <c r="V226" s="228">
        <v>525.29999999999995</v>
      </c>
      <c r="W226" s="228">
        <v>1.1499999999999999</v>
      </c>
      <c r="X226" s="229">
        <v>2.2000000000000001E-3</v>
      </c>
      <c r="Y226" s="228">
        <v>1.3</v>
      </c>
      <c r="Z226" s="228">
        <v>-0.45</v>
      </c>
      <c r="AA226" s="228">
        <v>1.75</v>
      </c>
      <c r="AB226" s="229">
        <v>2.5000000000000001E-3</v>
      </c>
      <c r="AC226" s="228">
        <v>0.15</v>
      </c>
      <c r="AD226" s="228">
        <v>-0.45</v>
      </c>
      <c r="AE226" s="228">
        <v>0.6</v>
      </c>
      <c r="AF226" s="229">
        <v>2.9999999999999997E-4</v>
      </c>
      <c r="AG226" s="228">
        <v>1.3</v>
      </c>
      <c r="AH226" s="228">
        <v>1.55</v>
      </c>
      <c r="AI226" s="228">
        <v>-0.25</v>
      </c>
      <c r="AJ226" s="229">
        <v>2.5000000000000001E-3</v>
      </c>
      <c r="AK226" s="228">
        <v>3.85</v>
      </c>
      <c r="AL226" s="228">
        <v>3.2</v>
      </c>
      <c r="AM226" s="228">
        <v>0.65</v>
      </c>
      <c r="AN226" s="229">
        <v>7.4000000000000003E-3</v>
      </c>
      <c r="AO226" s="228">
        <v>519.73</v>
      </c>
      <c r="AP226" s="228">
        <v>521.32000000000005</v>
      </c>
      <c r="AQ226" s="228">
        <v>0</v>
      </c>
      <c r="AR226" s="230">
        <v>14904525</v>
      </c>
      <c r="AS226" s="230">
        <v>30711050</v>
      </c>
      <c r="AT226" s="230">
        <v>-15806525</v>
      </c>
      <c r="AU226" s="229">
        <v>-0.51470000000000005</v>
      </c>
      <c r="AV226" s="230">
        <v>5640575</v>
      </c>
      <c r="AW226" s="230">
        <v>13802650</v>
      </c>
      <c r="AX226" s="230">
        <v>-8162075</v>
      </c>
      <c r="AY226" s="229">
        <v>-0.59130000000000005</v>
      </c>
      <c r="AZ226" s="230">
        <v>9123525</v>
      </c>
      <c r="BA226" s="230">
        <v>16570150</v>
      </c>
      <c r="BB226" s="230">
        <v>-7446625</v>
      </c>
      <c r="BC226" s="229">
        <v>-0.44940000000000002</v>
      </c>
      <c r="BD226" s="230">
        <v>140425</v>
      </c>
      <c r="BE226" s="230">
        <v>338250</v>
      </c>
      <c r="BF226" s="230">
        <v>-197825</v>
      </c>
      <c r="BG226" s="229">
        <v>-0.58479999999999999</v>
      </c>
      <c r="BH226" s="230">
        <v>20276550</v>
      </c>
      <c r="BI226" s="230">
        <v>102725500</v>
      </c>
      <c r="BJ226" s="230">
        <v>-82448950</v>
      </c>
      <c r="BK226" s="229">
        <v>-0.80259999999999998</v>
      </c>
      <c r="BL226" s="230">
        <v>11104850</v>
      </c>
      <c r="BM226" s="230">
        <v>35312275</v>
      </c>
      <c r="BN226" s="230">
        <v>-24207425</v>
      </c>
      <c r="BO226" s="229">
        <v>-0.6855</v>
      </c>
      <c r="BP226" s="230">
        <v>46285925</v>
      </c>
      <c r="BQ226" s="230">
        <v>168748825</v>
      </c>
      <c r="BR226" s="230">
        <v>-122462900</v>
      </c>
      <c r="BS226" s="229">
        <v>-0.72570000000000001</v>
      </c>
      <c r="BT226" s="230">
        <v>6813440</v>
      </c>
      <c r="BU226" s="230">
        <v>27371996</v>
      </c>
      <c r="BV226" s="230">
        <v>-20558556</v>
      </c>
      <c r="BW226" s="229">
        <v>-0.75109999999999999</v>
      </c>
      <c r="BX226" s="230">
        <v>34938150</v>
      </c>
      <c r="BY226" s="230">
        <v>38166900</v>
      </c>
      <c r="BZ226" s="230">
        <v>-3228750</v>
      </c>
      <c r="CA226" s="229">
        <v>-8.4599999999999995E-2</v>
      </c>
      <c r="CB226" s="230">
        <v>3588525</v>
      </c>
      <c r="CC226" s="230">
        <v>5405850</v>
      </c>
      <c r="CD226" s="230">
        <v>-1817325</v>
      </c>
      <c r="CE226" s="229">
        <v>-0.3362</v>
      </c>
      <c r="CF226" s="230">
        <v>34537375</v>
      </c>
      <c r="CG226" s="230">
        <v>32385900</v>
      </c>
      <c r="CH226" s="230">
        <v>2151475</v>
      </c>
      <c r="CI226" s="229">
        <v>6.6400000000000001E-2</v>
      </c>
      <c r="CJ226" s="230">
        <v>400775</v>
      </c>
      <c r="CK226" s="230">
        <v>375150</v>
      </c>
      <c r="CL226" s="230">
        <v>25625</v>
      </c>
      <c r="CM226" s="229">
        <v>6.83E-2</v>
      </c>
      <c r="CN226" s="230">
        <v>12518325</v>
      </c>
      <c r="CO226" s="230">
        <v>21431725</v>
      </c>
      <c r="CP226" s="230">
        <v>-8913400</v>
      </c>
      <c r="CQ226" s="229">
        <v>-0.41589999999999999</v>
      </c>
      <c r="CR226" s="230">
        <v>4917950</v>
      </c>
      <c r="CS226" s="230">
        <v>12648500</v>
      </c>
      <c r="CT226" s="230">
        <v>-7730550</v>
      </c>
      <c r="CU226" s="229">
        <v>-0.61119999999999997</v>
      </c>
      <c r="CV226" s="230">
        <v>52374425</v>
      </c>
      <c r="CW226" s="230">
        <v>72247125</v>
      </c>
      <c r="CX226" s="230">
        <v>-19872700</v>
      </c>
      <c r="CY226" s="229">
        <v>-0.27510000000000001</v>
      </c>
      <c r="CZ226" s="228">
        <v>27.98</v>
      </c>
      <c r="DA226" s="228">
        <v>28.43</v>
      </c>
      <c r="DB226" s="228">
        <v>-0.45</v>
      </c>
      <c r="DC226" s="228">
        <v>-0.45</v>
      </c>
      <c r="DD226" s="228">
        <v>40.79</v>
      </c>
      <c r="DE226" s="228">
        <v>40.89</v>
      </c>
      <c r="DF226" s="228">
        <v>-12.81</v>
      </c>
      <c r="DG226" s="228">
        <v>-0.1</v>
      </c>
      <c r="DH226" s="228">
        <v>28.22</v>
      </c>
      <c r="DI226" s="228">
        <v>28.44</v>
      </c>
      <c r="DJ226" s="228">
        <v>-0.22</v>
      </c>
      <c r="DK226" s="228">
        <v>-0.22</v>
      </c>
      <c r="DL226" s="228">
        <v>27.47</v>
      </c>
      <c r="DM226" s="228">
        <v>28.38</v>
      </c>
      <c r="DN226" s="228">
        <v>-0.91</v>
      </c>
      <c r="DO226" s="228">
        <v>-0.91</v>
      </c>
      <c r="DP226" s="228">
        <v>0.39</v>
      </c>
      <c r="DQ226" s="228">
        <v>0.59</v>
      </c>
      <c r="DR226" s="228">
        <v>-0.2</v>
      </c>
      <c r="DS226" s="229">
        <v>-0.33900000000000002</v>
      </c>
      <c r="DT226" s="228">
        <v>480</v>
      </c>
      <c r="DU226" s="228">
        <v>490</v>
      </c>
      <c r="DV226" s="228">
        <v>0.55000000000000004</v>
      </c>
      <c r="DW226" s="228">
        <v>0.34</v>
      </c>
      <c r="DX226" s="228">
        <v>0.21</v>
      </c>
      <c r="DY226" s="229">
        <v>0.61760000000000004</v>
      </c>
      <c r="DZ226" s="229">
        <v>0.90690000000000004</v>
      </c>
      <c r="EA226" s="230">
        <v>32761050</v>
      </c>
      <c r="EB226" s="229">
        <v>2.2000000000000001E-3</v>
      </c>
      <c r="EC226" s="229">
        <v>0.90690000000000004</v>
      </c>
      <c r="ED226" s="228">
        <v>1.59</v>
      </c>
      <c r="EE226" s="229">
        <v>3.0999999999999999E-3</v>
      </c>
      <c r="EF226" s="230">
        <v>3613071</v>
      </c>
      <c r="EG226" s="230">
        <v>12353147</v>
      </c>
      <c r="EH226" s="229">
        <v>-0.70750000000000002</v>
      </c>
      <c r="EI226" s="229">
        <v>0.53029999999999999</v>
      </c>
      <c r="EJ226" s="231">
        <v>109657.23</v>
      </c>
      <c r="EK226" s="231">
        <v>56070.02</v>
      </c>
      <c r="EL226" s="231">
        <v>77613.850000000006</v>
      </c>
      <c r="EM226" s="228">
        <v>0</v>
      </c>
      <c r="EN226" s="231">
        <v>243341.1</v>
      </c>
      <c r="EO226" s="231">
        <v>899811.86</v>
      </c>
      <c r="EP226" s="231">
        <v>-656470.76</v>
      </c>
      <c r="EQ226" s="229">
        <v>-0.72960000000000003</v>
      </c>
      <c r="ER226" s="231">
        <v>64571</v>
      </c>
      <c r="ES226" s="231">
        <v>23843</v>
      </c>
      <c r="ET226" s="231">
        <v>183051</v>
      </c>
      <c r="EU226" s="231">
        <v>268960013</v>
      </c>
      <c r="EV226" s="231">
        <v>271465</v>
      </c>
      <c r="EW226" s="231">
        <v>370187</v>
      </c>
      <c r="EX226" s="231">
        <v>-98722</v>
      </c>
      <c r="EY226" s="229">
        <v>-0.26669999999999999</v>
      </c>
      <c r="EZ226" s="229">
        <v>0.19470000000000001</v>
      </c>
      <c r="FA226" s="227" t="s">
        <v>556</v>
      </c>
      <c r="FB226" s="161">
        <f t="shared" si="5"/>
        <v>0</v>
      </c>
    </row>
    <row r="227" spans="1:158" ht="17.25" thickBot="1" x14ac:dyDescent="0.3">
      <c r="A227" s="226">
        <v>45869</v>
      </c>
      <c r="B227" s="227" t="s">
        <v>227</v>
      </c>
      <c r="C227" s="227" t="s">
        <v>304</v>
      </c>
      <c r="D227" s="228">
        <v>1150</v>
      </c>
      <c r="E227" s="228">
        <v>426.6</v>
      </c>
      <c r="F227" s="228">
        <v>436.75</v>
      </c>
      <c r="G227" s="228">
        <v>-10.15</v>
      </c>
      <c r="H227" s="229">
        <v>-2.3199999999999998E-2</v>
      </c>
      <c r="I227" s="228">
        <v>425.65</v>
      </c>
      <c r="J227" s="228">
        <v>434.6</v>
      </c>
      <c r="K227" s="228">
        <v>-8.9499999999999993</v>
      </c>
      <c r="L227" s="229">
        <v>-2.06E-2</v>
      </c>
      <c r="M227" s="228">
        <v>424.85</v>
      </c>
      <c r="N227" s="228">
        <v>434.55</v>
      </c>
      <c r="O227" s="228">
        <v>-9.6999999999999993</v>
      </c>
      <c r="P227" s="229">
        <v>-2.23E-2</v>
      </c>
      <c r="Q227" s="228">
        <v>426.6</v>
      </c>
      <c r="R227" s="228">
        <v>436.75</v>
      </c>
      <c r="S227" s="228">
        <v>-10.15</v>
      </c>
      <c r="T227" s="229">
        <v>-2.3199999999999998E-2</v>
      </c>
      <c r="U227" s="228">
        <v>428.45</v>
      </c>
      <c r="V227" s="228">
        <v>439</v>
      </c>
      <c r="W227" s="228">
        <v>-10.55</v>
      </c>
      <c r="X227" s="229">
        <v>-2.4E-2</v>
      </c>
      <c r="Y227" s="228">
        <v>0.95</v>
      </c>
      <c r="Z227" s="228">
        <v>-0.05</v>
      </c>
      <c r="AA227" s="228">
        <v>1</v>
      </c>
      <c r="AB227" s="229">
        <v>2.2000000000000001E-3</v>
      </c>
      <c r="AC227" s="228">
        <v>-0.8</v>
      </c>
      <c r="AD227" s="228">
        <v>-0.05</v>
      </c>
      <c r="AE227" s="228">
        <v>-0.75</v>
      </c>
      <c r="AF227" s="229">
        <v>-1.9E-3</v>
      </c>
      <c r="AG227" s="228">
        <v>0.95</v>
      </c>
      <c r="AH227" s="228">
        <v>2.15</v>
      </c>
      <c r="AI227" s="228">
        <v>-1.2</v>
      </c>
      <c r="AJ227" s="229">
        <v>2.2000000000000001E-3</v>
      </c>
      <c r="AK227" s="228">
        <v>2.8</v>
      </c>
      <c r="AL227" s="228">
        <v>4.4000000000000004</v>
      </c>
      <c r="AM227" s="228">
        <v>-1.6</v>
      </c>
      <c r="AN227" s="229">
        <v>6.6E-3</v>
      </c>
      <c r="AO227" s="228">
        <v>429</v>
      </c>
      <c r="AP227" s="228">
        <v>430.85</v>
      </c>
      <c r="AQ227" s="228">
        <v>0</v>
      </c>
      <c r="AR227" s="230">
        <v>48783000</v>
      </c>
      <c r="AS227" s="230">
        <v>30823450</v>
      </c>
      <c r="AT227" s="230">
        <v>17959550</v>
      </c>
      <c r="AU227" s="229">
        <v>0.5827</v>
      </c>
      <c r="AV227" s="230">
        <v>21143900</v>
      </c>
      <c r="AW227" s="230">
        <v>15677950</v>
      </c>
      <c r="AX227" s="230">
        <v>5465950</v>
      </c>
      <c r="AY227" s="229">
        <v>0.34860000000000002</v>
      </c>
      <c r="AZ227" s="230">
        <v>27115850</v>
      </c>
      <c r="BA227" s="230">
        <v>14897100</v>
      </c>
      <c r="BB227" s="230">
        <v>12218750</v>
      </c>
      <c r="BC227" s="229">
        <v>0.82020000000000004</v>
      </c>
      <c r="BD227" s="230">
        <v>523250</v>
      </c>
      <c r="BE227" s="230">
        <v>248400</v>
      </c>
      <c r="BF227" s="230">
        <v>274850</v>
      </c>
      <c r="BG227" s="229">
        <v>1.1065</v>
      </c>
      <c r="BH227" s="230">
        <v>37082900</v>
      </c>
      <c r="BI227" s="230">
        <v>21227850</v>
      </c>
      <c r="BJ227" s="230">
        <v>15855050</v>
      </c>
      <c r="BK227" s="229">
        <v>0.74690000000000001</v>
      </c>
      <c r="BL227" s="230">
        <v>45038600</v>
      </c>
      <c r="BM227" s="230">
        <v>18402300</v>
      </c>
      <c r="BN227" s="230">
        <v>26636300</v>
      </c>
      <c r="BO227" s="229">
        <v>1.4474</v>
      </c>
      <c r="BP227" s="230">
        <v>130904500</v>
      </c>
      <c r="BQ227" s="230">
        <v>70453600</v>
      </c>
      <c r="BR227" s="230">
        <v>60450900</v>
      </c>
      <c r="BS227" s="229">
        <v>0.85799999999999998</v>
      </c>
      <c r="BT227" s="230">
        <v>8332348</v>
      </c>
      <c r="BU227" s="230">
        <v>3096642</v>
      </c>
      <c r="BV227" s="230">
        <v>5235706</v>
      </c>
      <c r="BW227" s="229">
        <v>1.6908000000000001</v>
      </c>
      <c r="BX227" s="230">
        <v>78756600</v>
      </c>
      <c r="BY227" s="230">
        <v>85543900</v>
      </c>
      <c r="BZ227" s="230">
        <v>-6787300</v>
      </c>
      <c r="CA227" s="229">
        <v>-7.9299999999999995E-2</v>
      </c>
      <c r="CB227" s="230">
        <v>5255500</v>
      </c>
      <c r="CC227" s="230">
        <v>18558700</v>
      </c>
      <c r="CD227" s="230">
        <v>-13303200</v>
      </c>
      <c r="CE227" s="229">
        <v>-0.71679999999999999</v>
      </c>
      <c r="CF227" s="230">
        <v>77597400</v>
      </c>
      <c r="CG227" s="230">
        <v>66014600</v>
      </c>
      <c r="CH227" s="230">
        <v>11582800</v>
      </c>
      <c r="CI227" s="229">
        <v>0.17549999999999999</v>
      </c>
      <c r="CJ227" s="230">
        <v>1159200</v>
      </c>
      <c r="CK227" s="230">
        <v>970600</v>
      </c>
      <c r="CL227" s="230">
        <v>188600</v>
      </c>
      <c r="CM227" s="229">
        <v>0.1943</v>
      </c>
      <c r="CN227" s="230">
        <v>15010950</v>
      </c>
      <c r="CO227" s="230">
        <v>27453950</v>
      </c>
      <c r="CP227" s="230">
        <v>-12443000</v>
      </c>
      <c r="CQ227" s="229">
        <v>-0.45319999999999999</v>
      </c>
      <c r="CR227" s="230">
        <v>16783100</v>
      </c>
      <c r="CS227" s="230">
        <v>30424400</v>
      </c>
      <c r="CT227" s="230">
        <v>-13641300</v>
      </c>
      <c r="CU227" s="229">
        <v>-0.44840000000000002</v>
      </c>
      <c r="CV227" s="230">
        <v>110550650</v>
      </c>
      <c r="CW227" s="230">
        <v>143422250</v>
      </c>
      <c r="CX227" s="230">
        <v>-32871600</v>
      </c>
      <c r="CY227" s="229">
        <v>-0.22919999999999999</v>
      </c>
      <c r="CZ227" s="228">
        <v>28.33</v>
      </c>
      <c r="DA227" s="228">
        <v>31.26</v>
      </c>
      <c r="DB227" s="228">
        <v>-2.93</v>
      </c>
      <c r="DC227" s="228">
        <v>-2.93</v>
      </c>
      <c r="DD227" s="228">
        <v>40.770000000000003</v>
      </c>
      <c r="DE227" s="228">
        <v>40.75</v>
      </c>
      <c r="DF227" s="228">
        <v>-12.44</v>
      </c>
      <c r="DG227" s="228">
        <v>0.02</v>
      </c>
      <c r="DH227" s="228">
        <v>28.04</v>
      </c>
      <c r="DI227" s="228">
        <v>30.15</v>
      </c>
      <c r="DJ227" s="228">
        <v>-2.11</v>
      </c>
      <c r="DK227" s="228">
        <v>-2.11</v>
      </c>
      <c r="DL227" s="228">
        <v>28.62</v>
      </c>
      <c r="DM227" s="228">
        <v>32.33</v>
      </c>
      <c r="DN227" s="228">
        <v>-3.71</v>
      </c>
      <c r="DO227" s="228">
        <v>-3.71</v>
      </c>
      <c r="DP227" s="228">
        <v>1.1200000000000001</v>
      </c>
      <c r="DQ227" s="228">
        <v>1.1100000000000001</v>
      </c>
      <c r="DR227" s="228">
        <v>0.01</v>
      </c>
      <c r="DS227" s="229">
        <v>8.9999999999999993E-3</v>
      </c>
      <c r="DT227" s="228">
        <v>480</v>
      </c>
      <c r="DU227" s="228">
        <v>430</v>
      </c>
      <c r="DV227" s="228">
        <v>1.21</v>
      </c>
      <c r="DW227" s="228">
        <v>0.87</v>
      </c>
      <c r="DX227" s="228">
        <v>0.34</v>
      </c>
      <c r="DY227" s="229">
        <v>0.39079999999999998</v>
      </c>
      <c r="DZ227" s="229">
        <v>0.93740000000000001</v>
      </c>
      <c r="EA227" s="230">
        <v>66985200</v>
      </c>
      <c r="EB227" s="229">
        <v>4.1000000000000003E-3</v>
      </c>
      <c r="EC227" s="229">
        <v>0.93740000000000001</v>
      </c>
      <c r="ED227" s="228">
        <v>1.85</v>
      </c>
      <c r="EE227" s="229">
        <v>4.3E-3</v>
      </c>
      <c r="EF227" s="230">
        <v>4260553</v>
      </c>
      <c r="EG227" s="230">
        <v>1377284</v>
      </c>
      <c r="EH227" s="229">
        <v>2.0933999999999999</v>
      </c>
      <c r="EI227" s="229">
        <v>0.51129999999999998</v>
      </c>
      <c r="EJ227" s="231">
        <v>170037.93</v>
      </c>
      <c r="EK227" s="231">
        <v>196276.49</v>
      </c>
      <c r="EL227" s="231">
        <v>209803.37</v>
      </c>
      <c r="EM227" s="228">
        <v>0</v>
      </c>
      <c r="EN227" s="231">
        <v>576117.79</v>
      </c>
      <c r="EO227" s="231">
        <v>313766.76</v>
      </c>
      <c r="EP227" s="231">
        <v>262351.03000000003</v>
      </c>
      <c r="EQ227" s="229">
        <v>0.83609999999999995</v>
      </c>
      <c r="ER227" s="231">
        <v>69134</v>
      </c>
      <c r="ES227" s="231">
        <v>72419</v>
      </c>
      <c r="ET227" s="231">
        <v>335997</v>
      </c>
      <c r="EU227" s="231">
        <v>340087358</v>
      </c>
      <c r="EV227" s="231">
        <v>477550</v>
      </c>
      <c r="EW227" s="231">
        <v>632548</v>
      </c>
      <c r="EX227" s="231">
        <v>-154998</v>
      </c>
      <c r="EY227" s="229">
        <v>-0.245</v>
      </c>
      <c r="EZ227" s="229">
        <v>0.3251</v>
      </c>
      <c r="FA227" s="227" t="s">
        <v>568</v>
      </c>
      <c r="FB227" s="161">
        <f t="shared" si="5"/>
        <v>0</v>
      </c>
    </row>
    <row r="228" spans="1:158" ht="17.25" thickBot="1" x14ac:dyDescent="0.3">
      <c r="A228" s="226">
        <v>45869</v>
      </c>
      <c r="B228" s="227" t="s">
        <v>184</v>
      </c>
      <c r="C228" s="227" t="s">
        <v>305</v>
      </c>
      <c r="D228" s="228">
        <v>375</v>
      </c>
      <c r="E228" s="231">
        <v>1314.5</v>
      </c>
      <c r="F228" s="231">
        <v>1330.9</v>
      </c>
      <c r="G228" s="228">
        <v>-16.399999999999999</v>
      </c>
      <c r="H228" s="229">
        <v>-1.23E-2</v>
      </c>
      <c r="I228" s="231">
        <v>1327.7</v>
      </c>
      <c r="J228" s="231">
        <v>1336</v>
      </c>
      <c r="K228" s="228">
        <v>-8.3000000000000007</v>
      </c>
      <c r="L228" s="229">
        <v>-6.1999999999999998E-3</v>
      </c>
      <c r="M228" s="231">
        <v>1329.7</v>
      </c>
      <c r="N228" s="231">
        <v>1340.1</v>
      </c>
      <c r="O228" s="228">
        <v>-10.4</v>
      </c>
      <c r="P228" s="229">
        <v>-7.7999999999999996E-3</v>
      </c>
      <c r="Q228" s="231">
        <v>1314.5</v>
      </c>
      <c r="R228" s="231">
        <v>1330.9</v>
      </c>
      <c r="S228" s="228">
        <v>-16.399999999999999</v>
      </c>
      <c r="T228" s="229">
        <v>-1.23E-2</v>
      </c>
      <c r="U228" s="231">
        <v>1311.2</v>
      </c>
      <c r="V228" s="231">
        <v>1332</v>
      </c>
      <c r="W228" s="228">
        <v>-20.8</v>
      </c>
      <c r="X228" s="229">
        <v>-1.5599999999999999E-2</v>
      </c>
      <c r="Y228" s="228">
        <v>-13.2</v>
      </c>
      <c r="Z228" s="228">
        <v>4.0999999999999996</v>
      </c>
      <c r="AA228" s="228">
        <v>-17.3</v>
      </c>
      <c r="AB228" s="229">
        <v>-9.9000000000000008E-3</v>
      </c>
      <c r="AC228" s="228">
        <v>2</v>
      </c>
      <c r="AD228" s="228">
        <v>4.0999999999999996</v>
      </c>
      <c r="AE228" s="228">
        <v>-2.1</v>
      </c>
      <c r="AF228" s="229">
        <v>1.5E-3</v>
      </c>
      <c r="AG228" s="228">
        <v>-13.2</v>
      </c>
      <c r="AH228" s="228">
        <v>-5.0999999999999996</v>
      </c>
      <c r="AI228" s="228">
        <v>-8.1</v>
      </c>
      <c r="AJ228" s="229">
        <v>-9.9000000000000008E-3</v>
      </c>
      <c r="AK228" s="228">
        <v>-16.5</v>
      </c>
      <c r="AL228" s="228">
        <v>-4</v>
      </c>
      <c r="AM228" s="228">
        <v>-12.5</v>
      </c>
      <c r="AN228" s="229">
        <v>-1.24E-2</v>
      </c>
      <c r="AO228" s="231">
        <v>1340.57</v>
      </c>
      <c r="AP228" s="231">
        <v>1321.8</v>
      </c>
      <c r="AQ228" s="228">
        <v>0</v>
      </c>
      <c r="AR228" s="230">
        <v>5771250</v>
      </c>
      <c r="AS228" s="230">
        <v>7380000</v>
      </c>
      <c r="AT228" s="230">
        <v>-1608750</v>
      </c>
      <c r="AU228" s="229">
        <v>-0.218</v>
      </c>
      <c r="AV228" s="230">
        <v>2593875</v>
      </c>
      <c r="AW228" s="230">
        <v>3605250</v>
      </c>
      <c r="AX228" s="230">
        <v>-1011375</v>
      </c>
      <c r="AY228" s="229">
        <v>-0.28050000000000003</v>
      </c>
      <c r="AZ228" s="230">
        <v>3063000</v>
      </c>
      <c r="BA228" s="230">
        <v>3741750</v>
      </c>
      <c r="BB228" s="230">
        <v>-678750</v>
      </c>
      <c r="BC228" s="229">
        <v>-0.18140000000000001</v>
      </c>
      <c r="BD228" s="230">
        <v>114375</v>
      </c>
      <c r="BE228" s="230">
        <v>33000</v>
      </c>
      <c r="BF228" s="230">
        <v>81375</v>
      </c>
      <c r="BG228" s="229">
        <v>2.4659</v>
      </c>
      <c r="BH228" s="230">
        <v>2339250</v>
      </c>
      <c r="BI228" s="230">
        <v>2013750</v>
      </c>
      <c r="BJ228" s="230">
        <v>325500</v>
      </c>
      <c r="BK228" s="229">
        <v>0.16159999999999999</v>
      </c>
      <c r="BL228" s="230">
        <v>1447500</v>
      </c>
      <c r="BM228" s="230">
        <v>1526625</v>
      </c>
      <c r="BN228" s="230">
        <v>-79125</v>
      </c>
      <c r="BO228" s="229">
        <v>-5.1799999999999999E-2</v>
      </c>
      <c r="BP228" s="230">
        <v>9558000</v>
      </c>
      <c r="BQ228" s="230">
        <v>10920375</v>
      </c>
      <c r="BR228" s="230">
        <v>-1362375</v>
      </c>
      <c r="BS228" s="229">
        <v>-0.12479999999999999</v>
      </c>
      <c r="BT228" s="230">
        <v>724612</v>
      </c>
      <c r="BU228" s="230">
        <v>545839</v>
      </c>
      <c r="BV228" s="230">
        <v>178773</v>
      </c>
      <c r="BW228" s="229">
        <v>0.32750000000000001</v>
      </c>
      <c r="BX228" s="230">
        <v>9763500</v>
      </c>
      <c r="BY228" s="230">
        <v>11669625</v>
      </c>
      <c r="BZ228" s="230">
        <v>-1906125</v>
      </c>
      <c r="CA228" s="229">
        <v>-0.1633</v>
      </c>
      <c r="CB228" s="230">
        <v>1600875</v>
      </c>
      <c r="CC228" s="230">
        <v>2345625</v>
      </c>
      <c r="CD228" s="230">
        <v>-744750</v>
      </c>
      <c r="CE228" s="229">
        <v>-0.3175</v>
      </c>
      <c r="CF228" s="230">
        <v>9597375</v>
      </c>
      <c r="CG228" s="230">
        <v>9192000</v>
      </c>
      <c r="CH228" s="230">
        <v>405375</v>
      </c>
      <c r="CI228" s="229">
        <v>4.41E-2</v>
      </c>
      <c r="CJ228" s="230">
        <v>166125</v>
      </c>
      <c r="CK228" s="230">
        <v>132000</v>
      </c>
      <c r="CL228" s="230">
        <v>34125</v>
      </c>
      <c r="CM228" s="229">
        <v>0.25850000000000001</v>
      </c>
      <c r="CN228" s="230">
        <v>1147875</v>
      </c>
      <c r="CO228" s="230">
        <v>2787000</v>
      </c>
      <c r="CP228" s="230">
        <v>-1639125</v>
      </c>
      <c r="CQ228" s="229">
        <v>-0.58809999999999996</v>
      </c>
      <c r="CR228" s="230">
        <v>1261875</v>
      </c>
      <c r="CS228" s="230">
        <v>2617875</v>
      </c>
      <c r="CT228" s="230">
        <v>-1356000</v>
      </c>
      <c r="CU228" s="229">
        <v>-0.51800000000000002</v>
      </c>
      <c r="CV228" s="230">
        <v>12173250</v>
      </c>
      <c r="CW228" s="230">
        <v>17074500</v>
      </c>
      <c r="CX228" s="230">
        <v>-4901250</v>
      </c>
      <c r="CY228" s="229">
        <v>-0.28710000000000002</v>
      </c>
      <c r="CZ228" s="228">
        <v>30.99</v>
      </c>
      <c r="DA228" s="228">
        <v>30.69</v>
      </c>
      <c r="DB228" s="228">
        <v>0.3</v>
      </c>
      <c r="DC228" s="228">
        <v>0.3</v>
      </c>
      <c r="DD228" s="228">
        <v>39.549999999999997</v>
      </c>
      <c r="DE228" s="228">
        <v>39.64</v>
      </c>
      <c r="DF228" s="228">
        <v>-8.56</v>
      </c>
      <c r="DG228" s="228">
        <v>-0.09</v>
      </c>
      <c r="DH228" s="228">
        <v>30.87</v>
      </c>
      <c r="DI228" s="228">
        <v>30.35</v>
      </c>
      <c r="DJ228" s="228">
        <v>0.52</v>
      </c>
      <c r="DK228" s="228">
        <v>0.52</v>
      </c>
      <c r="DL228" s="228">
        <v>31.17</v>
      </c>
      <c r="DM228" s="228">
        <v>31.18</v>
      </c>
      <c r="DN228" s="228">
        <v>-0.01</v>
      </c>
      <c r="DO228" s="228">
        <v>-0.01</v>
      </c>
      <c r="DP228" s="228">
        <v>1.1000000000000001</v>
      </c>
      <c r="DQ228" s="228">
        <v>0.94</v>
      </c>
      <c r="DR228" s="228">
        <v>0.16</v>
      </c>
      <c r="DS228" s="229">
        <v>0.17019999999999999</v>
      </c>
      <c r="DT228" s="231">
        <v>1400</v>
      </c>
      <c r="DU228" s="231">
        <v>1280</v>
      </c>
      <c r="DV228" s="228">
        <v>0.62</v>
      </c>
      <c r="DW228" s="228">
        <v>0.76</v>
      </c>
      <c r="DX228" s="228">
        <v>-0.14000000000000001</v>
      </c>
      <c r="DY228" s="229">
        <v>-0.1842</v>
      </c>
      <c r="DZ228" s="229">
        <v>0.85909999999999997</v>
      </c>
      <c r="EA228" s="230">
        <v>9324000</v>
      </c>
      <c r="EB228" s="229">
        <v>-1.14E-2</v>
      </c>
      <c r="EC228" s="229">
        <v>0.85909999999999997</v>
      </c>
      <c r="ED228" s="228">
        <v>-18.77</v>
      </c>
      <c r="EE228" s="229">
        <v>-1.4E-2</v>
      </c>
      <c r="EF228" s="230">
        <v>227304</v>
      </c>
      <c r="EG228" s="230">
        <v>240763</v>
      </c>
      <c r="EH228" s="229">
        <v>-5.5899999999999998E-2</v>
      </c>
      <c r="EI228" s="229">
        <v>0.31369999999999998</v>
      </c>
      <c r="EJ228" s="231">
        <v>32435.14</v>
      </c>
      <c r="EK228" s="231">
        <v>19085.2</v>
      </c>
      <c r="EL228" s="231">
        <v>76764.83</v>
      </c>
      <c r="EM228" s="228">
        <v>0</v>
      </c>
      <c r="EN228" s="231">
        <v>128285.17</v>
      </c>
      <c r="EO228" s="231">
        <v>146020.29999999999</v>
      </c>
      <c r="EP228" s="231">
        <v>-17735.13</v>
      </c>
      <c r="EQ228" s="229">
        <v>-0.1215</v>
      </c>
      <c r="ER228" s="231">
        <v>15922</v>
      </c>
      <c r="ES228" s="231">
        <v>16337</v>
      </c>
      <c r="ET228" s="231">
        <v>128336</v>
      </c>
      <c r="EU228" s="231">
        <v>46126252</v>
      </c>
      <c r="EV228" s="231">
        <v>160594</v>
      </c>
      <c r="EW228" s="231">
        <v>227927</v>
      </c>
      <c r="EX228" s="231">
        <v>-67333</v>
      </c>
      <c r="EY228" s="229">
        <v>-0.2954</v>
      </c>
      <c r="EZ228" s="229">
        <v>0.26390000000000002</v>
      </c>
      <c r="FA228" s="227" t="s">
        <v>568</v>
      </c>
      <c r="FB228" s="161">
        <f t="shared" si="5"/>
        <v>0</v>
      </c>
    </row>
    <row r="229" spans="1:158" ht="17.25" thickBot="1" x14ac:dyDescent="0.3">
      <c r="A229" s="226">
        <v>45869</v>
      </c>
      <c r="B229" s="227" t="s">
        <v>221</v>
      </c>
      <c r="C229" s="227" t="s">
        <v>306</v>
      </c>
      <c r="D229" s="228">
        <v>3000</v>
      </c>
      <c r="E229" s="228">
        <v>248.25</v>
      </c>
      <c r="F229" s="228">
        <v>249.5</v>
      </c>
      <c r="G229" s="228">
        <v>-1.25</v>
      </c>
      <c r="H229" s="229">
        <v>-5.0000000000000001E-3</v>
      </c>
      <c r="I229" s="228">
        <v>248.3</v>
      </c>
      <c r="J229" s="228">
        <v>250.2</v>
      </c>
      <c r="K229" s="228">
        <v>-1.9</v>
      </c>
      <c r="L229" s="229">
        <v>-7.6E-3</v>
      </c>
      <c r="M229" s="228">
        <v>248.2</v>
      </c>
      <c r="N229" s="228">
        <v>250.4</v>
      </c>
      <c r="O229" s="228">
        <v>-2.2000000000000002</v>
      </c>
      <c r="P229" s="229">
        <v>-8.8000000000000005E-3</v>
      </c>
      <c r="Q229" s="228">
        <v>248.25</v>
      </c>
      <c r="R229" s="228">
        <v>249.5</v>
      </c>
      <c r="S229" s="228">
        <v>-1.25</v>
      </c>
      <c r="T229" s="229">
        <v>-5.0000000000000001E-3</v>
      </c>
      <c r="U229" s="228">
        <v>248.5</v>
      </c>
      <c r="V229" s="228">
        <v>249.55</v>
      </c>
      <c r="W229" s="228">
        <v>-1.05</v>
      </c>
      <c r="X229" s="229">
        <v>-4.1999999999999997E-3</v>
      </c>
      <c r="Y229" s="228">
        <v>-0.05</v>
      </c>
      <c r="Z229" s="228">
        <v>0.2</v>
      </c>
      <c r="AA229" s="228">
        <v>-0.25</v>
      </c>
      <c r="AB229" s="229">
        <v>-2.0000000000000001E-4</v>
      </c>
      <c r="AC229" s="228">
        <v>-0.1</v>
      </c>
      <c r="AD229" s="228">
        <v>0.2</v>
      </c>
      <c r="AE229" s="228">
        <v>-0.3</v>
      </c>
      <c r="AF229" s="229">
        <v>-4.0000000000000002E-4</v>
      </c>
      <c r="AG229" s="228">
        <v>-0.05</v>
      </c>
      <c r="AH229" s="228">
        <v>-0.7</v>
      </c>
      <c r="AI229" s="228">
        <v>0.65</v>
      </c>
      <c r="AJ229" s="229">
        <v>-2.0000000000000001E-4</v>
      </c>
      <c r="AK229" s="228">
        <v>0.2</v>
      </c>
      <c r="AL229" s="228">
        <v>-0.65</v>
      </c>
      <c r="AM229" s="228">
        <v>0.85</v>
      </c>
      <c r="AN229" s="229">
        <v>8.0000000000000004E-4</v>
      </c>
      <c r="AO229" s="228">
        <v>247.91</v>
      </c>
      <c r="AP229" s="228">
        <v>247.54</v>
      </c>
      <c r="AQ229" s="228">
        <v>0</v>
      </c>
      <c r="AR229" s="230">
        <v>38181000</v>
      </c>
      <c r="AS229" s="230">
        <v>73170000</v>
      </c>
      <c r="AT229" s="230">
        <v>-34989000</v>
      </c>
      <c r="AU229" s="229">
        <v>-0.47820000000000001</v>
      </c>
      <c r="AV229" s="230">
        <v>15861000</v>
      </c>
      <c r="AW229" s="230">
        <v>34704000</v>
      </c>
      <c r="AX229" s="230">
        <v>-18843000</v>
      </c>
      <c r="AY229" s="229">
        <v>-0.54300000000000004</v>
      </c>
      <c r="AZ229" s="230">
        <v>21510000</v>
      </c>
      <c r="BA229" s="230">
        <v>37809000</v>
      </c>
      <c r="BB229" s="230">
        <v>-16299000</v>
      </c>
      <c r="BC229" s="229">
        <v>-0.43109999999999998</v>
      </c>
      <c r="BD229" s="230">
        <v>810000</v>
      </c>
      <c r="BE229" s="230">
        <v>657000</v>
      </c>
      <c r="BF229" s="230">
        <v>153000</v>
      </c>
      <c r="BG229" s="229">
        <v>0.2329</v>
      </c>
      <c r="BH229" s="230">
        <v>39630000</v>
      </c>
      <c r="BI229" s="230">
        <v>44349000</v>
      </c>
      <c r="BJ229" s="230">
        <v>-4719000</v>
      </c>
      <c r="BK229" s="229">
        <v>-0.10639999999999999</v>
      </c>
      <c r="BL229" s="230">
        <v>22602000</v>
      </c>
      <c r="BM229" s="230">
        <v>16797000</v>
      </c>
      <c r="BN229" s="230">
        <v>5805000</v>
      </c>
      <c r="BO229" s="229">
        <v>0.34560000000000002</v>
      </c>
      <c r="BP229" s="230">
        <v>100413000</v>
      </c>
      <c r="BQ229" s="230">
        <v>134316000</v>
      </c>
      <c r="BR229" s="230">
        <v>-33903000</v>
      </c>
      <c r="BS229" s="229">
        <v>-0.25240000000000001</v>
      </c>
      <c r="BT229" s="230">
        <v>7486940</v>
      </c>
      <c r="BU229" s="230">
        <v>6293643</v>
      </c>
      <c r="BV229" s="230">
        <v>1193297</v>
      </c>
      <c r="BW229" s="229">
        <v>0.18959999999999999</v>
      </c>
      <c r="BX229" s="230">
        <v>108312000</v>
      </c>
      <c r="BY229" s="230">
        <v>119112000</v>
      </c>
      <c r="BZ229" s="230">
        <v>-10800000</v>
      </c>
      <c r="CA229" s="229">
        <v>-9.0700000000000003E-2</v>
      </c>
      <c r="CB229" s="230">
        <v>8349000</v>
      </c>
      <c r="CC229" s="230">
        <v>16308000</v>
      </c>
      <c r="CD229" s="230">
        <v>-7959000</v>
      </c>
      <c r="CE229" s="229">
        <v>-0.48799999999999999</v>
      </c>
      <c r="CF229" s="230">
        <v>105633000</v>
      </c>
      <c r="CG229" s="230">
        <v>100398000</v>
      </c>
      <c r="CH229" s="230">
        <v>5235000</v>
      </c>
      <c r="CI229" s="229">
        <v>5.21E-2</v>
      </c>
      <c r="CJ229" s="230">
        <v>2679000</v>
      </c>
      <c r="CK229" s="230">
        <v>2406000</v>
      </c>
      <c r="CL229" s="230">
        <v>273000</v>
      </c>
      <c r="CM229" s="229">
        <v>0.1135</v>
      </c>
      <c r="CN229" s="230">
        <v>28650000</v>
      </c>
      <c r="CO229" s="230">
        <v>70089000</v>
      </c>
      <c r="CP229" s="230">
        <v>-41439000</v>
      </c>
      <c r="CQ229" s="229">
        <v>-0.59119999999999995</v>
      </c>
      <c r="CR229" s="230">
        <v>18516000</v>
      </c>
      <c r="CS229" s="230">
        <v>35184000</v>
      </c>
      <c r="CT229" s="230">
        <v>-16668000</v>
      </c>
      <c r="CU229" s="229">
        <v>-0.47370000000000001</v>
      </c>
      <c r="CV229" s="230">
        <v>155478000</v>
      </c>
      <c r="CW229" s="230">
        <v>224385000</v>
      </c>
      <c r="CX229" s="230">
        <v>-68907000</v>
      </c>
      <c r="CY229" s="229">
        <v>-0.30709999999999998</v>
      </c>
      <c r="CZ229" s="228">
        <v>24.17</v>
      </c>
      <c r="DA229" s="228">
        <v>24.86</v>
      </c>
      <c r="DB229" s="228">
        <v>-0.69</v>
      </c>
      <c r="DC229" s="228">
        <v>-0.69</v>
      </c>
      <c r="DD229" s="228">
        <v>32.229999999999997</v>
      </c>
      <c r="DE229" s="228">
        <v>32.29</v>
      </c>
      <c r="DF229" s="228">
        <v>-8.06</v>
      </c>
      <c r="DG229" s="228">
        <v>-0.06</v>
      </c>
      <c r="DH229" s="228">
        <v>24.74</v>
      </c>
      <c r="DI229" s="228">
        <v>25.41</v>
      </c>
      <c r="DJ229" s="228">
        <v>-0.67</v>
      </c>
      <c r="DK229" s="228">
        <v>-0.67</v>
      </c>
      <c r="DL229" s="228">
        <v>23.22</v>
      </c>
      <c r="DM229" s="228">
        <v>23.97</v>
      </c>
      <c r="DN229" s="228">
        <v>-0.75</v>
      </c>
      <c r="DO229" s="228">
        <v>-0.75</v>
      </c>
      <c r="DP229" s="228">
        <v>0.65</v>
      </c>
      <c r="DQ229" s="228">
        <v>0.5</v>
      </c>
      <c r="DR229" s="228">
        <v>0.15</v>
      </c>
      <c r="DS229" s="229">
        <v>0.3</v>
      </c>
      <c r="DT229" s="228">
        <v>270</v>
      </c>
      <c r="DU229" s="228">
        <v>250</v>
      </c>
      <c r="DV229" s="228">
        <v>0.56999999999999995</v>
      </c>
      <c r="DW229" s="228">
        <v>0.38</v>
      </c>
      <c r="DX229" s="228">
        <v>0.19</v>
      </c>
      <c r="DY229" s="229">
        <v>0.5</v>
      </c>
      <c r="DZ229" s="229">
        <v>0.9284</v>
      </c>
      <c r="EA229" s="230">
        <v>102804000</v>
      </c>
      <c r="EB229" s="229">
        <v>2.0000000000000001E-4</v>
      </c>
      <c r="EC229" s="229">
        <v>0.9284</v>
      </c>
      <c r="ED229" s="228">
        <v>-0.37</v>
      </c>
      <c r="EE229" s="229">
        <v>-1.5E-3</v>
      </c>
      <c r="EF229" s="230">
        <v>3977564</v>
      </c>
      <c r="EG229" s="230">
        <v>3648496</v>
      </c>
      <c r="EH229" s="229">
        <v>9.0200000000000002E-2</v>
      </c>
      <c r="EI229" s="229">
        <v>0.53129999999999999</v>
      </c>
      <c r="EJ229" s="231">
        <v>103023.59</v>
      </c>
      <c r="EK229" s="231">
        <v>57150.79</v>
      </c>
      <c r="EL229" s="231">
        <v>94573.61</v>
      </c>
      <c r="EM229" s="228">
        <v>0</v>
      </c>
      <c r="EN229" s="231">
        <v>254747.99</v>
      </c>
      <c r="EO229" s="231">
        <v>342185.8</v>
      </c>
      <c r="EP229" s="231">
        <v>-87437.81</v>
      </c>
      <c r="EQ229" s="229">
        <v>-0.2555</v>
      </c>
      <c r="ER229" s="231">
        <v>76661</v>
      </c>
      <c r="ES229" s="231">
        <v>46120</v>
      </c>
      <c r="ET229" s="231">
        <v>268891</v>
      </c>
      <c r="EU229" s="231">
        <v>570590784</v>
      </c>
      <c r="EV229" s="231">
        <v>391673</v>
      </c>
      <c r="EW229" s="231">
        <v>576012</v>
      </c>
      <c r="EX229" s="231">
        <v>-184339</v>
      </c>
      <c r="EY229" s="229">
        <v>-0.32</v>
      </c>
      <c r="EZ229" s="229">
        <v>0.27250000000000002</v>
      </c>
      <c r="FA229" s="227" t="s">
        <v>568</v>
      </c>
      <c r="FB229" s="161">
        <f t="shared" si="5"/>
        <v>0</v>
      </c>
    </row>
    <row r="230" spans="1:158" ht="17.25" thickBot="1" x14ac:dyDescent="0.3">
      <c r="A230" s="226">
        <v>45869</v>
      </c>
      <c r="B230" s="227" t="s">
        <v>172</v>
      </c>
      <c r="C230" s="227" t="s">
        <v>591</v>
      </c>
      <c r="D230" s="228">
        <v>31100</v>
      </c>
      <c r="E230" s="228">
        <v>19.03</v>
      </c>
      <c r="F230" s="228">
        <v>19.34</v>
      </c>
      <c r="G230" s="228">
        <v>-0.31</v>
      </c>
      <c r="H230" s="229">
        <v>-1.6E-2</v>
      </c>
      <c r="I230" s="228">
        <v>18.920000000000002</v>
      </c>
      <c r="J230" s="228">
        <v>19.22</v>
      </c>
      <c r="K230" s="228">
        <v>-0.3</v>
      </c>
      <c r="L230" s="229">
        <v>-1.5599999999999999E-2</v>
      </c>
      <c r="M230" s="228">
        <v>18.899999999999999</v>
      </c>
      <c r="N230" s="228">
        <v>19.239999999999998</v>
      </c>
      <c r="O230" s="228">
        <v>-0.34</v>
      </c>
      <c r="P230" s="229">
        <v>-1.77E-2</v>
      </c>
      <c r="Q230" s="228">
        <v>19.03</v>
      </c>
      <c r="R230" s="228">
        <v>19.34</v>
      </c>
      <c r="S230" s="228">
        <v>-0.31</v>
      </c>
      <c r="T230" s="229">
        <v>-1.6E-2</v>
      </c>
      <c r="U230" s="228">
        <v>19.149999999999999</v>
      </c>
      <c r="V230" s="228">
        <v>19.46</v>
      </c>
      <c r="W230" s="228">
        <v>-0.31</v>
      </c>
      <c r="X230" s="229">
        <v>-1.5900000000000001E-2</v>
      </c>
      <c r="Y230" s="228">
        <v>0.11</v>
      </c>
      <c r="Z230" s="228">
        <v>0.02</v>
      </c>
      <c r="AA230" s="228">
        <v>0.09</v>
      </c>
      <c r="AB230" s="229">
        <v>5.7999999999999996E-3</v>
      </c>
      <c r="AC230" s="228">
        <v>-0.02</v>
      </c>
      <c r="AD230" s="228">
        <v>0.02</v>
      </c>
      <c r="AE230" s="228">
        <v>-0.04</v>
      </c>
      <c r="AF230" s="229">
        <v>-1.1000000000000001E-3</v>
      </c>
      <c r="AG230" s="228">
        <v>0.11</v>
      </c>
      <c r="AH230" s="228">
        <v>0.12</v>
      </c>
      <c r="AI230" s="228">
        <v>-0.01</v>
      </c>
      <c r="AJ230" s="229">
        <v>5.7999999999999996E-3</v>
      </c>
      <c r="AK230" s="228">
        <v>0.23</v>
      </c>
      <c r="AL230" s="228">
        <v>0.24</v>
      </c>
      <c r="AM230" s="228">
        <v>-0.01</v>
      </c>
      <c r="AN230" s="229">
        <v>1.2200000000000001E-2</v>
      </c>
      <c r="AO230" s="228">
        <v>18.98</v>
      </c>
      <c r="AP230" s="228">
        <v>19.09</v>
      </c>
      <c r="AQ230" s="228">
        <v>0</v>
      </c>
      <c r="AR230" s="230">
        <v>836869900</v>
      </c>
      <c r="AS230" s="230">
        <v>445258700</v>
      </c>
      <c r="AT230" s="230">
        <v>391611200</v>
      </c>
      <c r="AU230" s="229">
        <v>0.87949999999999995</v>
      </c>
      <c r="AV230" s="230">
        <v>400941200</v>
      </c>
      <c r="AW230" s="230">
        <v>216207200</v>
      </c>
      <c r="AX230" s="230">
        <v>184734000</v>
      </c>
      <c r="AY230" s="229">
        <v>0.85440000000000005</v>
      </c>
      <c r="AZ230" s="230">
        <v>419445700</v>
      </c>
      <c r="BA230" s="230">
        <v>219503800</v>
      </c>
      <c r="BB230" s="230">
        <v>199941900</v>
      </c>
      <c r="BC230" s="229">
        <v>0.91090000000000004</v>
      </c>
      <c r="BD230" s="230">
        <v>16483000</v>
      </c>
      <c r="BE230" s="230">
        <v>9547700</v>
      </c>
      <c r="BF230" s="230">
        <v>6935300</v>
      </c>
      <c r="BG230" s="229">
        <v>0.72640000000000005</v>
      </c>
      <c r="BH230" s="230">
        <v>176492500</v>
      </c>
      <c r="BI230" s="230">
        <v>85214000</v>
      </c>
      <c r="BJ230" s="230">
        <v>91278500</v>
      </c>
      <c r="BK230" s="229">
        <v>1.0711999999999999</v>
      </c>
      <c r="BL230" s="230">
        <v>206193000</v>
      </c>
      <c r="BM230" s="230">
        <v>101261600</v>
      </c>
      <c r="BN230" s="230">
        <v>104931400</v>
      </c>
      <c r="BO230" s="229">
        <v>1.0362</v>
      </c>
      <c r="BP230" s="230">
        <v>1219555400</v>
      </c>
      <c r="BQ230" s="230">
        <v>631734300</v>
      </c>
      <c r="BR230" s="230">
        <v>587821100</v>
      </c>
      <c r="BS230" s="229">
        <v>0.93049999999999999</v>
      </c>
      <c r="BT230" s="230">
        <v>106609391</v>
      </c>
      <c r="BU230" s="230">
        <v>60000698</v>
      </c>
      <c r="BV230" s="230">
        <v>46608693</v>
      </c>
      <c r="BW230" s="229">
        <v>0.77680000000000005</v>
      </c>
      <c r="BX230" s="230">
        <v>975607000</v>
      </c>
      <c r="BY230" s="230">
        <v>1041601200</v>
      </c>
      <c r="BZ230" s="230">
        <v>-65994200</v>
      </c>
      <c r="CA230" s="229">
        <v>-6.3399999999999998E-2</v>
      </c>
      <c r="CB230" s="230">
        <v>133636700</v>
      </c>
      <c r="CC230" s="230">
        <v>347760200</v>
      </c>
      <c r="CD230" s="230">
        <v>-214123500</v>
      </c>
      <c r="CE230" s="229">
        <v>-0.61570000000000003</v>
      </c>
      <c r="CF230" s="230">
        <v>926375700</v>
      </c>
      <c r="CG230" s="230">
        <v>655245900</v>
      </c>
      <c r="CH230" s="230">
        <v>271129800</v>
      </c>
      <c r="CI230" s="229">
        <v>0.4138</v>
      </c>
      <c r="CJ230" s="230">
        <v>49231300</v>
      </c>
      <c r="CK230" s="230">
        <v>38595100</v>
      </c>
      <c r="CL230" s="230">
        <v>10636200</v>
      </c>
      <c r="CM230" s="229">
        <v>0.27560000000000001</v>
      </c>
      <c r="CN230" s="230">
        <v>193877400</v>
      </c>
      <c r="CO230" s="230">
        <v>459004900</v>
      </c>
      <c r="CP230" s="230">
        <v>-265127500</v>
      </c>
      <c r="CQ230" s="229">
        <v>-0.5776</v>
      </c>
      <c r="CR230" s="230">
        <v>164923300</v>
      </c>
      <c r="CS230" s="230">
        <v>275297200</v>
      </c>
      <c r="CT230" s="230">
        <v>-110373900</v>
      </c>
      <c r="CU230" s="229">
        <v>-0.40089999999999998</v>
      </c>
      <c r="CV230" s="230">
        <v>1334407700</v>
      </c>
      <c r="CW230" s="230">
        <v>1775903300</v>
      </c>
      <c r="CX230" s="230">
        <v>-441495600</v>
      </c>
      <c r="CY230" s="229">
        <v>-0.24859999999999999</v>
      </c>
      <c r="CZ230" s="228">
        <v>30.78</v>
      </c>
      <c r="DA230" s="228">
        <v>31.75</v>
      </c>
      <c r="DB230" s="228">
        <v>-0.97</v>
      </c>
      <c r="DC230" s="228">
        <v>-0.97</v>
      </c>
      <c r="DD230" s="228">
        <v>44.42</v>
      </c>
      <c r="DE230" s="228">
        <v>44.48</v>
      </c>
      <c r="DF230" s="228">
        <v>-13.64</v>
      </c>
      <c r="DG230" s="228">
        <v>-0.06</v>
      </c>
      <c r="DH230" s="228">
        <v>32.36</v>
      </c>
      <c r="DI230" s="228">
        <v>33.51</v>
      </c>
      <c r="DJ230" s="228">
        <v>-1.1499999999999999</v>
      </c>
      <c r="DK230" s="228">
        <v>-1.1499999999999999</v>
      </c>
      <c r="DL230" s="228">
        <v>28.65</v>
      </c>
      <c r="DM230" s="228">
        <v>30.11</v>
      </c>
      <c r="DN230" s="228">
        <v>-1.46</v>
      </c>
      <c r="DO230" s="228">
        <v>-1.46</v>
      </c>
      <c r="DP230" s="228">
        <v>0.85</v>
      </c>
      <c r="DQ230" s="228">
        <v>0.6</v>
      </c>
      <c r="DR230" s="228">
        <v>0.25</v>
      </c>
      <c r="DS230" s="229">
        <v>0.41670000000000001</v>
      </c>
      <c r="DT230" s="228">
        <v>21</v>
      </c>
      <c r="DU230" s="228">
        <v>20</v>
      </c>
      <c r="DV230" s="228">
        <v>1.17</v>
      </c>
      <c r="DW230" s="228">
        <v>1.19</v>
      </c>
      <c r="DX230" s="228">
        <v>-0.02</v>
      </c>
      <c r="DY230" s="229">
        <v>-1.6799999999999999E-2</v>
      </c>
      <c r="DZ230" s="229">
        <v>0.87949999999999995</v>
      </c>
      <c r="EA230" s="230">
        <v>693841000</v>
      </c>
      <c r="EB230" s="229">
        <v>6.8999999999999999E-3</v>
      </c>
      <c r="EC230" s="229">
        <v>0.87949999999999995</v>
      </c>
      <c r="ED230" s="228">
        <v>0.11</v>
      </c>
      <c r="EE230" s="229">
        <v>5.7999999999999996E-3</v>
      </c>
      <c r="EF230" s="230">
        <v>50333758</v>
      </c>
      <c r="EG230" s="230">
        <v>30325558</v>
      </c>
      <c r="EH230" s="229">
        <v>0.65980000000000005</v>
      </c>
      <c r="EI230" s="229">
        <v>0.47210000000000002</v>
      </c>
      <c r="EJ230" s="231">
        <v>36099</v>
      </c>
      <c r="EK230" s="231">
        <v>41730.129999999997</v>
      </c>
      <c r="EL230" s="231">
        <v>159309.98000000001</v>
      </c>
      <c r="EM230" s="228">
        <v>0</v>
      </c>
      <c r="EN230" s="231">
        <v>237139.11</v>
      </c>
      <c r="EO230" s="231">
        <v>124681.12</v>
      </c>
      <c r="EP230" s="231">
        <v>112457.99</v>
      </c>
      <c r="EQ230" s="229">
        <v>0.90200000000000002</v>
      </c>
      <c r="ER230" s="231">
        <v>41114</v>
      </c>
      <c r="ES230" s="231">
        <v>32262</v>
      </c>
      <c r="ET230" s="231">
        <v>185717</v>
      </c>
      <c r="EU230" s="231">
        <v>6270823064</v>
      </c>
      <c r="EV230" s="231">
        <v>259093</v>
      </c>
      <c r="EW230" s="231">
        <v>355938</v>
      </c>
      <c r="EX230" s="231">
        <v>-96845</v>
      </c>
      <c r="EY230" s="229">
        <v>-0.27210000000000001</v>
      </c>
      <c r="EZ230" s="229">
        <v>0.21279999999999999</v>
      </c>
      <c r="FA230" s="227" t="s">
        <v>568</v>
      </c>
      <c r="FB230" s="161">
        <f t="shared" si="5"/>
        <v>0</v>
      </c>
    </row>
    <row r="231" spans="1:158" ht="17.25" thickBot="1" x14ac:dyDescent="0.3">
      <c r="A231" s="226">
        <v>45869</v>
      </c>
      <c r="B231" s="227" t="s">
        <v>170</v>
      </c>
      <c r="C231" s="227" t="s">
        <v>557</v>
      </c>
      <c r="D231" s="228">
        <v>900</v>
      </c>
      <c r="E231" s="228">
        <v>972.8</v>
      </c>
      <c r="F231" s="228">
        <v>999.85</v>
      </c>
      <c r="G231" s="228">
        <v>-27.05</v>
      </c>
      <c r="H231" s="229">
        <v>-2.7099999999999999E-2</v>
      </c>
      <c r="I231" s="228">
        <v>969.8</v>
      </c>
      <c r="J231" s="228">
        <v>995.15</v>
      </c>
      <c r="K231" s="228">
        <v>-25.35</v>
      </c>
      <c r="L231" s="229">
        <v>-2.5499999999999998E-2</v>
      </c>
      <c r="M231" s="228">
        <v>967.85</v>
      </c>
      <c r="N231" s="228">
        <v>994.9</v>
      </c>
      <c r="O231" s="228">
        <v>-27.05</v>
      </c>
      <c r="P231" s="229">
        <v>-2.7199999999999998E-2</v>
      </c>
      <c r="Q231" s="228">
        <v>972.8</v>
      </c>
      <c r="R231" s="228">
        <v>999.85</v>
      </c>
      <c r="S231" s="228">
        <v>-27.05</v>
      </c>
      <c r="T231" s="229">
        <v>-2.7099999999999999E-2</v>
      </c>
      <c r="U231" s="228">
        <v>977.1</v>
      </c>
      <c r="V231" s="231">
        <v>1003.55</v>
      </c>
      <c r="W231" s="228">
        <v>-26.45</v>
      </c>
      <c r="X231" s="229">
        <v>-2.64E-2</v>
      </c>
      <c r="Y231" s="228">
        <v>3</v>
      </c>
      <c r="Z231" s="228">
        <v>-0.25</v>
      </c>
      <c r="AA231" s="228">
        <v>3.25</v>
      </c>
      <c r="AB231" s="229">
        <v>3.0999999999999999E-3</v>
      </c>
      <c r="AC231" s="228">
        <v>-1.95</v>
      </c>
      <c r="AD231" s="228">
        <v>-0.25</v>
      </c>
      <c r="AE231" s="228">
        <v>-1.7</v>
      </c>
      <c r="AF231" s="229">
        <v>-2E-3</v>
      </c>
      <c r="AG231" s="228">
        <v>3</v>
      </c>
      <c r="AH231" s="228">
        <v>4.7</v>
      </c>
      <c r="AI231" s="228">
        <v>-1.7</v>
      </c>
      <c r="AJ231" s="229">
        <v>3.0999999999999999E-3</v>
      </c>
      <c r="AK231" s="228">
        <v>7.3</v>
      </c>
      <c r="AL231" s="228">
        <v>8.4</v>
      </c>
      <c r="AM231" s="228">
        <v>-1.1000000000000001</v>
      </c>
      <c r="AN231" s="229">
        <v>7.4999999999999997E-3</v>
      </c>
      <c r="AO231" s="228">
        <v>972.05</v>
      </c>
      <c r="AP231" s="228">
        <v>977.4</v>
      </c>
      <c r="AQ231" s="228">
        <v>0</v>
      </c>
      <c r="AR231" s="230">
        <v>6387300</v>
      </c>
      <c r="AS231" s="230">
        <v>4598100</v>
      </c>
      <c r="AT231" s="230">
        <v>1789200</v>
      </c>
      <c r="AU231" s="229">
        <v>0.3891</v>
      </c>
      <c r="AV231" s="230">
        <v>2659500</v>
      </c>
      <c r="AW231" s="230">
        <v>2160900</v>
      </c>
      <c r="AX231" s="230">
        <v>498600</v>
      </c>
      <c r="AY231" s="229">
        <v>0.23069999999999999</v>
      </c>
      <c r="AZ231" s="230">
        <v>3642300</v>
      </c>
      <c r="BA231" s="230">
        <v>2398500</v>
      </c>
      <c r="BB231" s="230">
        <v>1243800</v>
      </c>
      <c r="BC231" s="229">
        <v>0.51859999999999995</v>
      </c>
      <c r="BD231" s="230">
        <v>85500</v>
      </c>
      <c r="BE231" s="230">
        <v>38700</v>
      </c>
      <c r="BF231" s="230">
        <v>46800</v>
      </c>
      <c r="BG231" s="229">
        <v>1.2093</v>
      </c>
      <c r="BH231" s="230">
        <v>2884500</v>
      </c>
      <c r="BI231" s="230">
        <v>2877300</v>
      </c>
      <c r="BJ231" s="230">
        <v>7200</v>
      </c>
      <c r="BK231" s="229">
        <v>2.5000000000000001E-3</v>
      </c>
      <c r="BL231" s="230">
        <v>3575700</v>
      </c>
      <c r="BM231" s="230">
        <v>1277100</v>
      </c>
      <c r="BN231" s="230">
        <v>2298600</v>
      </c>
      <c r="BO231" s="229">
        <v>1.7999000000000001</v>
      </c>
      <c r="BP231" s="230">
        <v>12847500</v>
      </c>
      <c r="BQ231" s="230">
        <v>8752500</v>
      </c>
      <c r="BR231" s="230">
        <v>4095000</v>
      </c>
      <c r="BS231" s="229">
        <v>0.46789999999999998</v>
      </c>
      <c r="BT231" s="230">
        <v>1212408</v>
      </c>
      <c r="BU231" s="230">
        <v>794890</v>
      </c>
      <c r="BV231" s="230">
        <v>417518</v>
      </c>
      <c r="BW231" s="229">
        <v>0.52529999999999999</v>
      </c>
      <c r="BX231" s="230">
        <v>8605800</v>
      </c>
      <c r="BY231" s="230">
        <v>9750600</v>
      </c>
      <c r="BZ231" s="230">
        <v>-1144800</v>
      </c>
      <c r="CA231" s="229">
        <v>-0.1174</v>
      </c>
      <c r="CB231" s="230">
        <v>454500</v>
      </c>
      <c r="CC231" s="230">
        <v>1878300</v>
      </c>
      <c r="CD231" s="230">
        <v>-1423800</v>
      </c>
      <c r="CE231" s="229">
        <v>-0.75800000000000001</v>
      </c>
      <c r="CF231" s="230">
        <v>8451000</v>
      </c>
      <c r="CG231" s="230">
        <v>7748100</v>
      </c>
      <c r="CH231" s="230">
        <v>702900</v>
      </c>
      <c r="CI231" s="229">
        <v>9.0700000000000003E-2</v>
      </c>
      <c r="CJ231" s="230">
        <v>154800</v>
      </c>
      <c r="CK231" s="230">
        <v>124200</v>
      </c>
      <c r="CL231" s="230">
        <v>30600</v>
      </c>
      <c r="CM231" s="229">
        <v>0.24640000000000001</v>
      </c>
      <c r="CN231" s="230">
        <v>1262700</v>
      </c>
      <c r="CO231" s="230">
        <v>3062700</v>
      </c>
      <c r="CP231" s="230">
        <v>-1800000</v>
      </c>
      <c r="CQ231" s="229">
        <v>-0.5877</v>
      </c>
      <c r="CR231" s="230">
        <v>980100</v>
      </c>
      <c r="CS231" s="230">
        <v>2364300</v>
      </c>
      <c r="CT231" s="230">
        <v>-1384200</v>
      </c>
      <c r="CU231" s="229">
        <v>-0.58550000000000002</v>
      </c>
      <c r="CV231" s="230">
        <v>10848600</v>
      </c>
      <c r="CW231" s="230">
        <v>15177600</v>
      </c>
      <c r="CX231" s="230">
        <v>-4329000</v>
      </c>
      <c r="CY231" s="229">
        <v>-0.28520000000000001</v>
      </c>
      <c r="CZ231" s="228">
        <v>27.64</v>
      </c>
      <c r="DA231" s="228">
        <v>26.45</v>
      </c>
      <c r="DB231" s="228">
        <v>1.19</v>
      </c>
      <c r="DC231" s="228">
        <v>1.19</v>
      </c>
      <c r="DD231" s="228">
        <v>30.55</v>
      </c>
      <c r="DE231" s="228">
        <v>30.4</v>
      </c>
      <c r="DF231" s="228">
        <v>-2.91</v>
      </c>
      <c r="DG231" s="228">
        <v>0.15</v>
      </c>
      <c r="DH231" s="228">
        <v>27.66</v>
      </c>
      <c r="DI231" s="228">
        <v>26.44</v>
      </c>
      <c r="DJ231" s="228">
        <v>1.22</v>
      </c>
      <c r="DK231" s="228">
        <v>1.22</v>
      </c>
      <c r="DL231" s="228">
        <v>27.62</v>
      </c>
      <c r="DM231" s="228">
        <v>26.52</v>
      </c>
      <c r="DN231" s="228">
        <v>1.1000000000000001</v>
      </c>
      <c r="DO231" s="228">
        <v>1.1000000000000001</v>
      </c>
      <c r="DP231" s="228">
        <v>0.78</v>
      </c>
      <c r="DQ231" s="228">
        <v>0.77</v>
      </c>
      <c r="DR231" s="228">
        <v>0.01</v>
      </c>
      <c r="DS231" s="229">
        <v>1.2999999999999999E-2</v>
      </c>
      <c r="DT231" s="231">
        <v>1000</v>
      </c>
      <c r="DU231" s="228">
        <v>900</v>
      </c>
      <c r="DV231" s="228">
        <v>1.24</v>
      </c>
      <c r="DW231" s="228">
        <v>0.44</v>
      </c>
      <c r="DX231" s="228">
        <v>0.8</v>
      </c>
      <c r="DY231" s="229">
        <v>1.8182</v>
      </c>
      <c r="DZ231" s="229">
        <v>0.94979999999999998</v>
      </c>
      <c r="EA231" s="230">
        <v>7872300</v>
      </c>
      <c r="EB231" s="229">
        <v>5.1000000000000004E-3</v>
      </c>
      <c r="EC231" s="229">
        <v>0.94979999999999998</v>
      </c>
      <c r="ED231" s="228">
        <v>5.35</v>
      </c>
      <c r="EE231" s="229">
        <v>5.4999999999999997E-3</v>
      </c>
      <c r="EF231" s="230">
        <v>543658</v>
      </c>
      <c r="EG231" s="230">
        <v>437005</v>
      </c>
      <c r="EH231" s="229">
        <v>0.24410000000000001</v>
      </c>
      <c r="EI231" s="229">
        <v>0.44840000000000002</v>
      </c>
      <c r="EJ231" s="231">
        <v>29302.78</v>
      </c>
      <c r="EK231" s="231">
        <v>34758.800000000003</v>
      </c>
      <c r="EL231" s="231">
        <v>62292.15</v>
      </c>
      <c r="EM231" s="228">
        <v>0</v>
      </c>
      <c r="EN231" s="231">
        <v>126353.73</v>
      </c>
      <c r="EO231" s="231">
        <v>87968.76</v>
      </c>
      <c r="EP231" s="231">
        <v>38384.97</v>
      </c>
      <c r="EQ231" s="229">
        <v>0.43630000000000002</v>
      </c>
      <c r="ER231" s="231">
        <v>13030</v>
      </c>
      <c r="ES231" s="231">
        <v>9557</v>
      </c>
      <c r="ET231" s="231">
        <v>83724</v>
      </c>
      <c r="EU231" s="231">
        <v>50321935</v>
      </c>
      <c r="EV231" s="231">
        <v>106310</v>
      </c>
      <c r="EW231" s="231">
        <v>151289</v>
      </c>
      <c r="EX231" s="231">
        <v>-44979</v>
      </c>
      <c r="EY231" s="229">
        <v>-0.29730000000000001</v>
      </c>
      <c r="EZ231" s="229">
        <v>0.21560000000000001</v>
      </c>
      <c r="FA231" s="227" t="s">
        <v>568</v>
      </c>
      <c r="FB231" s="161">
        <f t="shared" si="5"/>
        <v>0</v>
      </c>
    </row>
    <row r="232" spans="1:158" x14ac:dyDescent="0.25">
      <c r="FB232" s="161">
        <f t="shared" si="5"/>
        <v>0</v>
      </c>
    </row>
    <row r="233" spans="1:158" x14ac:dyDescent="0.25">
      <c r="FB233" s="161">
        <f t="shared" si="5"/>
        <v>0</v>
      </c>
    </row>
    <row r="234" spans="1:158" x14ac:dyDescent="0.25">
      <c r="FB234" s="161">
        <f t="shared" si="5"/>
        <v>0</v>
      </c>
    </row>
    <row r="235" spans="1:158" x14ac:dyDescent="0.25">
      <c r="FB235" s="161">
        <f t="shared" si="5"/>
        <v>0</v>
      </c>
    </row>
    <row r="236" spans="1:158" x14ac:dyDescent="0.25">
      <c r="FB236" s="161">
        <f t="shared" si="5"/>
        <v>0</v>
      </c>
    </row>
    <row r="237" spans="1:158" x14ac:dyDescent="0.25">
      <c r="FB237" s="161">
        <f t="shared" si="5"/>
        <v>0</v>
      </c>
    </row>
    <row r="238" spans="1:158" x14ac:dyDescent="0.25">
      <c r="FB238" s="161">
        <f t="shared" si="5"/>
        <v>0</v>
      </c>
    </row>
    <row r="239" spans="1:158" x14ac:dyDescent="0.25">
      <c r="FB239" s="161">
        <f t="shared" si="5"/>
        <v>0</v>
      </c>
    </row>
    <row r="240" spans="1: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BX341-CB341</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zoomScale="87" zoomScaleNormal="87" workbookViewId="0">
      <selection activeCell="K9" sqref="K9"/>
    </sheetView>
  </sheetViews>
  <sheetFormatPr defaultRowHeight="15" x14ac:dyDescent="0.25"/>
  <cols>
    <col min="1" max="1" width="11.140625" bestFit="1" customWidth="1"/>
    <col min="2" max="2" width="16.42578125" bestFit="1" customWidth="1"/>
    <col min="3" max="3" width="17.570312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3.140625" bestFit="1" customWidth="1"/>
    <col min="80" max="80" width="14.5703125" bestFit="1" customWidth="1"/>
    <col min="81" max="81" width="14" bestFit="1" customWidth="1"/>
    <col min="82" max="82" width="11.42578125" bestFit="1" customWidth="1"/>
    <col min="83" max="83" width="14.28515625" bestFit="1" customWidth="1"/>
    <col min="84" max="84" width="14.42578125" bestFit="1" customWidth="1"/>
    <col min="85" max="85" width="13.5703125" bestFit="1" customWidth="1"/>
    <col min="86" max="86" width="11.42578125" bestFit="1" customWidth="1"/>
    <col min="87" max="88" width="13.140625" bestFit="1" customWidth="1"/>
    <col min="89" max="89" width="11.5703125" bestFit="1" customWidth="1"/>
    <col min="90" max="90" width="10.42578125" bestFit="1" customWidth="1"/>
    <col min="91" max="91" width="13.140625" bestFit="1" customWidth="1"/>
    <col min="92" max="92" width="14.28515625" bestFit="1" customWidth="1"/>
    <col min="93" max="93" width="14" bestFit="1" customWidth="1"/>
    <col min="94" max="94" width="10.42578125" bestFit="1" customWidth="1"/>
    <col min="95" max="95" width="13.140625" bestFit="1" customWidth="1"/>
    <col min="96" max="96" width="13.28515625" bestFit="1" customWidth="1"/>
    <col min="97" max="97" width="14" bestFit="1" customWidth="1"/>
    <col min="98" max="98" width="10.28515625" bestFit="1" customWidth="1"/>
    <col min="99" max="99" width="14.28515625" bestFit="1" customWidth="1"/>
    <col min="100" max="100" width="14.7109375" bestFit="1" customWidth="1"/>
    <col min="101" max="101" width="15.28515625"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425781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45869</v>
      </c>
      <c r="B2" s="227" t="s">
        <v>215</v>
      </c>
      <c r="C2" s="227" t="s">
        <v>159</v>
      </c>
      <c r="D2" s="231">
        <v>2440.1</v>
      </c>
      <c r="E2" s="231">
        <v>2544.6999999999998</v>
      </c>
      <c r="F2" s="228">
        <v>-104.6</v>
      </c>
      <c r="G2" s="229">
        <v>-4.1099999999999998E-2</v>
      </c>
      <c r="H2" s="231">
        <v>2430.6999999999998</v>
      </c>
      <c r="I2" s="231">
        <v>2532.9</v>
      </c>
      <c r="J2" s="228">
        <v>-102.2</v>
      </c>
      <c r="K2" s="229">
        <v>-4.0300000000000002E-2</v>
      </c>
      <c r="L2" s="231">
        <v>2425.6</v>
      </c>
      <c r="M2" s="231">
        <v>2531.9</v>
      </c>
      <c r="N2" s="228">
        <v>-106.3</v>
      </c>
      <c r="O2" s="229">
        <v>-4.2000000000000003E-2</v>
      </c>
      <c r="P2" s="231">
        <v>2440.1</v>
      </c>
      <c r="Q2" s="231">
        <v>2544.6999999999998</v>
      </c>
      <c r="R2" s="228">
        <v>-104.6</v>
      </c>
      <c r="S2" s="229">
        <v>-4.1099999999999998E-2</v>
      </c>
      <c r="T2" s="231">
        <v>2454.6999999999998</v>
      </c>
      <c r="U2" s="231">
        <v>2562.6999999999998</v>
      </c>
      <c r="V2" s="228">
        <v>-108</v>
      </c>
      <c r="W2" s="229">
        <v>-4.2099999999999999E-2</v>
      </c>
      <c r="X2" s="228">
        <v>9.4</v>
      </c>
      <c r="Y2" s="228">
        <v>-1</v>
      </c>
      <c r="Z2" s="228">
        <v>10.4</v>
      </c>
      <c r="AA2" s="229">
        <v>3.8999999999999998E-3</v>
      </c>
      <c r="AB2" s="228">
        <v>-5.0999999999999996</v>
      </c>
      <c r="AC2" s="228">
        <v>-1</v>
      </c>
      <c r="AD2" s="228">
        <v>-4.0999999999999996</v>
      </c>
      <c r="AE2" s="229">
        <v>-2.0999999999999999E-3</v>
      </c>
      <c r="AF2" s="228">
        <v>9.4</v>
      </c>
      <c r="AG2" s="228">
        <v>11.8</v>
      </c>
      <c r="AH2" s="228">
        <v>-2.4</v>
      </c>
      <c r="AI2" s="229">
        <v>3.8999999999999998E-3</v>
      </c>
      <c r="AJ2" s="228">
        <v>24</v>
      </c>
      <c r="AK2" s="228">
        <v>29.8</v>
      </c>
      <c r="AL2" s="228">
        <v>-5.8</v>
      </c>
      <c r="AM2" s="229">
        <v>9.9000000000000008E-3</v>
      </c>
      <c r="AN2" s="231">
        <v>2479.11</v>
      </c>
      <c r="AO2" s="231">
        <v>2484.56</v>
      </c>
      <c r="AP2" s="228">
        <v>0</v>
      </c>
      <c r="AQ2" s="230">
        <v>34308</v>
      </c>
      <c r="AR2" s="230">
        <v>30337</v>
      </c>
      <c r="AS2" s="230">
        <v>3971</v>
      </c>
      <c r="AT2" s="229">
        <v>0.13089999999999999</v>
      </c>
      <c r="AU2" s="230">
        <v>12579</v>
      </c>
      <c r="AV2" s="230">
        <v>14840</v>
      </c>
      <c r="AW2" s="230">
        <v>-2261</v>
      </c>
      <c r="AX2" s="229">
        <v>-0.15240000000000001</v>
      </c>
      <c r="AY2" s="230">
        <v>21269</v>
      </c>
      <c r="AZ2" s="230">
        <v>15294</v>
      </c>
      <c r="BA2" s="230">
        <v>5975</v>
      </c>
      <c r="BB2" s="229">
        <v>0.39069999999999999</v>
      </c>
      <c r="BC2" s="228">
        <v>460</v>
      </c>
      <c r="BD2" s="228">
        <v>203</v>
      </c>
      <c r="BE2" s="228">
        <v>257</v>
      </c>
      <c r="BF2" s="229">
        <v>1.266</v>
      </c>
      <c r="BG2" s="230">
        <v>60939</v>
      </c>
      <c r="BH2" s="230">
        <v>19286</v>
      </c>
      <c r="BI2" s="230">
        <v>41653</v>
      </c>
      <c r="BJ2" s="229">
        <v>2.1598000000000002</v>
      </c>
      <c r="BK2" s="230">
        <v>37066</v>
      </c>
      <c r="BL2" s="230">
        <v>7643</v>
      </c>
      <c r="BM2" s="230">
        <v>29423</v>
      </c>
      <c r="BN2" s="229">
        <v>3.8496999999999999</v>
      </c>
      <c r="BO2" s="230">
        <v>132313</v>
      </c>
      <c r="BP2" s="230">
        <v>57266</v>
      </c>
      <c r="BQ2" s="230">
        <v>75047</v>
      </c>
      <c r="BR2" s="229">
        <v>1.3105</v>
      </c>
      <c r="BS2" s="230">
        <v>1559566</v>
      </c>
      <c r="BT2" s="230">
        <v>280867</v>
      </c>
      <c r="BU2" s="230">
        <v>1278699</v>
      </c>
      <c r="BV2" s="229">
        <v>4.5526999999999997</v>
      </c>
      <c r="BW2" s="230">
        <v>18085200</v>
      </c>
      <c r="BX2" s="230">
        <v>18271500</v>
      </c>
      <c r="BY2" s="230">
        <v>-186300</v>
      </c>
      <c r="BZ2" s="229">
        <v>-1.0200000000000001E-2</v>
      </c>
      <c r="CA2" s="230">
        <v>1176000</v>
      </c>
      <c r="CB2" s="230">
        <v>3287100</v>
      </c>
      <c r="CC2" s="230">
        <v>-2111100</v>
      </c>
      <c r="CD2" s="229">
        <v>-0.64219999999999999</v>
      </c>
      <c r="CE2" s="230">
        <v>17916000</v>
      </c>
      <c r="CF2" s="230">
        <v>14852700</v>
      </c>
      <c r="CG2" s="230">
        <v>3063300</v>
      </c>
      <c r="CH2" s="229">
        <v>0.20619999999999999</v>
      </c>
      <c r="CI2" s="230">
        <v>169200</v>
      </c>
      <c r="CJ2" s="230">
        <v>131700</v>
      </c>
      <c r="CK2" s="230">
        <v>37500</v>
      </c>
      <c r="CL2" s="229">
        <v>0.28470000000000001</v>
      </c>
      <c r="CM2" s="230">
        <v>4551000</v>
      </c>
      <c r="CN2" s="230">
        <v>8337900</v>
      </c>
      <c r="CO2" s="230">
        <v>-3786900</v>
      </c>
      <c r="CP2" s="229">
        <v>-0.45419999999999999</v>
      </c>
      <c r="CQ2" s="230">
        <v>4905600</v>
      </c>
      <c r="CR2" s="230">
        <v>6685200</v>
      </c>
      <c r="CS2" s="230">
        <v>-1779600</v>
      </c>
      <c r="CT2" s="229">
        <v>-0.26619999999999999</v>
      </c>
      <c r="CU2" s="230">
        <v>27541800</v>
      </c>
      <c r="CV2" s="230">
        <v>33294600</v>
      </c>
      <c r="CW2" s="230">
        <v>-5752800</v>
      </c>
      <c r="CX2" s="229">
        <v>-0.17280000000000001</v>
      </c>
      <c r="CY2" s="228">
        <v>28.68</v>
      </c>
      <c r="CZ2" s="228">
        <v>25.94</v>
      </c>
      <c r="DA2" s="228">
        <v>2.74</v>
      </c>
      <c r="DB2" s="228">
        <v>2.74</v>
      </c>
      <c r="DC2" s="228">
        <v>53.16</v>
      </c>
      <c r="DD2" s="228">
        <v>52.99</v>
      </c>
      <c r="DE2" s="228">
        <v>-24.48</v>
      </c>
      <c r="DF2" s="228">
        <v>0.17</v>
      </c>
      <c r="DG2" s="228">
        <v>27.44</v>
      </c>
      <c r="DH2" s="228">
        <v>25.43</v>
      </c>
      <c r="DI2" s="228">
        <v>2.0099999999999998</v>
      </c>
      <c r="DJ2" s="228">
        <v>2.0099999999999998</v>
      </c>
      <c r="DK2" s="228">
        <v>30.61</v>
      </c>
      <c r="DL2" s="228">
        <v>26.96</v>
      </c>
      <c r="DM2" s="228">
        <v>3.65</v>
      </c>
      <c r="DN2" s="228">
        <v>3.65</v>
      </c>
      <c r="DO2" s="228">
        <v>1.08</v>
      </c>
      <c r="DP2" s="228">
        <v>0.8</v>
      </c>
      <c r="DQ2" s="228">
        <v>0.28000000000000003</v>
      </c>
      <c r="DR2" s="229">
        <v>0.35</v>
      </c>
      <c r="DS2" s="231">
        <v>2700</v>
      </c>
      <c r="DT2" s="231">
        <v>2700</v>
      </c>
      <c r="DU2" s="228">
        <v>0.61</v>
      </c>
      <c r="DV2" s="228">
        <v>0.4</v>
      </c>
      <c r="DW2" s="228">
        <v>0.21</v>
      </c>
      <c r="DX2" s="229">
        <v>0.52500000000000002</v>
      </c>
      <c r="DY2" s="229">
        <v>0.93889999999999996</v>
      </c>
      <c r="DZ2" s="230">
        <v>14984400</v>
      </c>
      <c r="EA2" s="229">
        <v>6.0000000000000001E-3</v>
      </c>
      <c r="EB2" s="229">
        <v>0.93889999999999996</v>
      </c>
      <c r="EC2" s="228">
        <v>5.45</v>
      </c>
      <c r="ED2" s="229">
        <v>2.2000000000000001E-3</v>
      </c>
      <c r="EE2" s="230">
        <v>373095</v>
      </c>
      <c r="EF2" s="230">
        <v>74780</v>
      </c>
      <c r="EG2" s="229">
        <v>3.9891999999999999</v>
      </c>
      <c r="EH2" s="229">
        <v>0.2392</v>
      </c>
      <c r="EI2" s="231">
        <v>480391.11</v>
      </c>
      <c r="EJ2" s="231">
        <v>277948.23</v>
      </c>
      <c r="EK2" s="231">
        <v>255525.43</v>
      </c>
      <c r="EL2" s="228">
        <v>0</v>
      </c>
      <c r="EM2" s="231">
        <v>1013864.77</v>
      </c>
      <c r="EN2" s="231">
        <v>443272.39</v>
      </c>
      <c r="EO2" s="231">
        <v>570592.38</v>
      </c>
      <c r="EP2" s="229">
        <v>1.2871999999999999</v>
      </c>
      <c r="EQ2" s="231">
        <v>119088</v>
      </c>
      <c r="ER2" s="231">
        <v>126171</v>
      </c>
      <c r="ES2" s="231">
        <v>441322</v>
      </c>
      <c r="ET2" s="231">
        <v>60081955</v>
      </c>
      <c r="EU2" s="231">
        <v>686581</v>
      </c>
      <c r="EV2" s="231">
        <v>859675</v>
      </c>
      <c r="EW2" s="231">
        <v>-173094</v>
      </c>
      <c r="EX2" s="229">
        <v>-0.20130000000000001</v>
      </c>
      <c r="EY2" s="229">
        <v>0.45839999999999997</v>
      </c>
    </row>
    <row r="3" spans="1:155" ht="17.25" thickBot="1" x14ac:dyDescent="0.3">
      <c r="A3" s="226">
        <v>45869</v>
      </c>
      <c r="B3" s="227" t="s">
        <v>215</v>
      </c>
      <c r="C3" s="227" t="s">
        <v>160</v>
      </c>
      <c r="D3" s="231">
        <v>1380.9</v>
      </c>
      <c r="E3" s="231">
        <v>1402.8</v>
      </c>
      <c r="F3" s="228">
        <v>-21.9</v>
      </c>
      <c r="G3" s="229">
        <v>-1.5599999999999999E-2</v>
      </c>
      <c r="H3" s="231">
        <v>1373.1</v>
      </c>
      <c r="I3" s="231">
        <v>1394</v>
      </c>
      <c r="J3" s="228">
        <v>-20.9</v>
      </c>
      <c r="K3" s="229">
        <v>-1.4999999999999999E-2</v>
      </c>
      <c r="L3" s="231">
        <v>1375</v>
      </c>
      <c r="M3" s="231">
        <v>1395.6</v>
      </c>
      <c r="N3" s="228">
        <v>-20.6</v>
      </c>
      <c r="O3" s="229">
        <v>-1.4800000000000001E-2</v>
      </c>
      <c r="P3" s="231">
        <v>1380.9</v>
      </c>
      <c r="Q3" s="231">
        <v>1402.8</v>
      </c>
      <c r="R3" s="228">
        <v>-21.9</v>
      </c>
      <c r="S3" s="229">
        <v>-1.5599999999999999E-2</v>
      </c>
      <c r="T3" s="231">
        <v>1390</v>
      </c>
      <c r="U3" s="231">
        <v>1413.8</v>
      </c>
      <c r="V3" s="228">
        <v>-23.8</v>
      </c>
      <c r="W3" s="229">
        <v>-1.6799999999999999E-2</v>
      </c>
      <c r="X3" s="228">
        <v>7.8</v>
      </c>
      <c r="Y3" s="228">
        <v>1.6</v>
      </c>
      <c r="Z3" s="228">
        <v>6.2</v>
      </c>
      <c r="AA3" s="229">
        <v>5.7000000000000002E-3</v>
      </c>
      <c r="AB3" s="228">
        <v>1.9</v>
      </c>
      <c r="AC3" s="228">
        <v>1.6</v>
      </c>
      <c r="AD3" s="228">
        <v>0.3</v>
      </c>
      <c r="AE3" s="229">
        <v>1.4E-3</v>
      </c>
      <c r="AF3" s="228">
        <v>7.8</v>
      </c>
      <c r="AG3" s="228">
        <v>8.8000000000000007</v>
      </c>
      <c r="AH3" s="228">
        <v>-1</v>
      </c>
      <c r="AI3" s="229">
        <v>5.7000000000000002E-3</v>
      </c>
      <c r="AJ3" s="228">
        <v>16.899999999999999</v>
      </c>
      <c r="AK3" s="228">
        <v>19.8</v>
      </c>
      <c r="AL3" s="228">
        <v>-2.9</v>
      </c>
      <c r="AM3" s="229">
        <v>1.23E-2</v>
      </c>
      <c r="AN3" s="231">
        <v>1385.49</v>
      </c>
      <c r="AO3" s="231">
        <v>1391.63</v>
      </c>
      <c r="AP3" s="228">
        <v>0</v>
      </c>
      <c r="AQ3" s="230">
        <v>19001</v>
      </c>
      <c r="AR3" s="230">
        <v>26668</v>
      </c>
      <c r="AS3" s="230">
        <v>-7667</v>
      </c>
      <c r="AT3" s="229">
        <v>-0.28749999999999998</v>
      </c>
      <c r="AU3" s="230">
        <v>7498</v>
      </c>
      <c r="AV3" s="230">
        <v>12906</v>
      </c>
      <c r="AW3" s="230">
        <v>-5408</v>
      </c>
      <c r="AX3" s="229">
        <v>-0.41899999999999998</v>
      </c>
      <c r="AY3" s="230">
        <v>10992</v>
      </c>
      <c r="AZ3" s="230">
        <v>13673</v>
      </c>
      <c r="BA3" s="230">
        <v>-2681</v>
      </c>
      <c r="BB3" s="229">
        <v>-0.1961</v>
      </c>
      <c r="BC3" s="228">
        <v>511</v>
      </c>
      <c r="BD3" s="228">
        <v>89</v>
      </c>
      <c r="BE3" s="228">
        <v>422</v>
      </c>
      <c r="BF3" s="229">
        <v>4.7416</v>
      </c>
      <c r="BG3" s="230">
        <v>16810</v>
      </c>
      <c r="BH3" s="230">
        <v>13153</v>
      </c>
      <c r="BI3" s="230">
        <v>3657</v>
      </c>
      <c r="BJ3" s="229">
        <v>0.27800000000000002</v>
      </c>
      <c r="BK3" s="230">
        <v>14511</v>
      </c>
      <c r="BL3" s="230">
        <v>7673</v>
      </c>
      <c r="BM3" s="230">
        <v>6838</v>
      </c>
      <c r="BN3" s="229">
        <v>0.89119999999999999</v>
      </c>
      <c r="BO3" s="230">
        <v>50322</v>
      </c>
      <c r="BP3" s="230">
        <v>47494</v>
      </c>
      <c r="BQ3" s="230">
        <v>2828</v>
      </c>
      <c r="BR3" s="229">
        <v>5.9499999999999997E-2</v>
      </c>
      <c r="BS3" s="230">
        <v>1493510</v>
      </c>
      <c r="BT3" s="230">
        <v>656568</v>
      </c>
      <c r="BU3" s="230">
        <v>836942</v>
      </c>
      <c r="BV3" s="229">
        <v>1.2746999999999999</v>
      </c>
      <c r="BW3" s="230">
        <v>21720800</v>
      </c>
      <c r="BX3" s="230">
        <v>22444225</v>
      </c>
      <c r="BY3" s="230">
        <v>-723425</v>
      </c>
      <c r="BZ3" s="229">
        <v>-3.2199999999999999E-2</v>
      </c>
      <c r="CA3" s="230">
        <v>1335225</v>
      </c>
      <c r="CB3" s="230">
        <v>3549200</v>
      </c>
      <c r="CC3" s="230">
        <v>-2213975</v>
      </c>
      <c r="CD3" s="229">
        <v>-0.62380000000000002</v>
      </c>
      <c r="CE3" s="230">
        <v>20881475</v>
      </c>
      <c r="CF3" s="230">
        <v>18246175</v>
      </c>
      <c r="CG3" s="230">
        <v>2635300</v>
      </c>
      <c r="CH3" s="229">
        <v>0.1444</v>
      </c>
      <c r="CI3" s="230">
        <v>839325</v>
      </c>
      <c r="CJ3" s="230">
        <v>648850</v>
      </c>
      <c r="CK3" s="230">
        <v>190475</v>
      </c>
      <c r="CL3" s="229">
        <v>0.29360000000000003</v>
      </c>
      <c r="CM3" s="230">
        <v>2773525</v>
      </c>
      <c r="CN3" s="230">
        <v>7395275</v>
      </c>
      <c r="CO3" s="230">
        <v>-4621750</v>
      </c>
      <c r="CP3" s="229">
        <v>-0.625</v>
      </c>
      <c r="CQ3" s="230">
        <v>3063750</v>
      </c>
      <c r="CR3" s="230">
        <v>5855800</v>
      </c>
      <c r="CS3" s="230">
        <v>-2792050</v>
      </c>
      <c r="CT3" s="229">
        <v>-0.4768</v>
      </c>
      <c r="CU3" s="230">
        <v>27558075</v>
      </c>
      <c r="CV3" s="230">
        <v>35695300</v>
      </c>
      <c r="CW3" s="230">
        <v>-8137225</v>
      </c>
      <c r="CX3" s="229">
        <v>-0.22800000000000001</v>
      </c>
      <c r="CY3" s="228">
        <v>25.36</v>
      </c>
      <c r="CZ3" s="228">
        <v>24.73</v>
      </c>
      <c r="DA3" s="228">
        <v>0.63</v>
      </c>
      <c r="DB3" s="228">
        <v>0.63</v>
      </c>
      <c r="DC3" s="228">
        <v>42.45</v>
      </c>
      <c r="DD3" s="228">
        <v>42.5</v>
      </c>
      <c r="DE3" s="228">
        <v>-17.09</v>
      </c>
      <c r="DF3" s="228">
        <v>-0.05</v>
      </c>
      <c r="DG3" s="228">
        <v>25.64</v>
      </c>
      <c r="DH3" s="228">
        <v>24.65</v>
      </c>
      <c r="DI3" s="228">
        <v>0.99</v>
      </c>
      <c r="DJ3" s="228">
        <v>0.99</v>
      </c>
      <c r="DK3" s="228">
        <v>25.1</v>
      </c>
      <c r="DL3" s="228">
        <v>24.81</v>
      </c>
      <c r="DM3" s="228">
        <v>0.28999999999999998</v>
      </c>
      <c r="DN3" s="228">
        <v>0.28999999999999998</v>
      </c>
      <c r="DO3" s="228">
        <v>1.1000000000000001</v>
      </c>
      <c r="DP3" s="228">
        <v>0.79</v>
      </c>
      <c r="DQ3" s="228">
        <v>0.31</v>
      </c>
      <c r="DR3" s="229">
        <v>0.39240000000000003</v>
      </c>
      <c r="DS3" s="231">
        <v>1400</v>
      </c>
      <c r="DT3" s="231">
        <v>1400</v>
      </c>
      <c r="DU3" s="228">
        <v>0.86</v>
      </c>
      <c r="DV3" s="228">
        <v>0.57999999999999996</v>
      </c>
      <c r="DW3" s="228">
        <v>0.28000000000000003</v>
      </c>
      <c r="DX3" s="229">
        <v>0.48280000000000001</v>
      </c>
      <c r="DY3" s="229">
        <v>0.94210000000000005</v>
      </c>
      <c r="DZ3" s="230">
        <v>18895025</v>
      </c>
      <c r="EA3" s="229">
        <v>4.3E-3</v>
      </c>
      <c r="EB3" s="229">
        <v>0.94210000000000005</v>
      </c>
      <c r="EC3" s="228">
        <v>6.14</v>
      </c>
      <c r="ED3" s="229">
        <v>4.4000000000000003E-3</v>
      </c>
      <c r="EE3" s="230">
        <v>693260</v>
      </c>
      <c r="EF3" s="230">
        <v>294831</v>
      </c>
      <c r="EG3" s="229">
        <v>1.3513999999999999</v>
      </c>
      <c r="EH3" s="229">
        <v>0.4642</v>
      </c>
      <c r="EI3" s="231">
        <v>114765.14</v>
      </c>
      <c r="EJ3" s="231">
        <v>96030.33</v>
      </c>
      <c r="EK3" s="231">
        <v>125393.54</v>
      </c>
      <c r="EL3" s="228">
        <v>0</v>
      </c>
      <c r="EM3" s="231">
        <v>336189.01</v>
      </c>
      <c r="EN3" s="231">
        <v>317466.06</v>
      </c>
      <c r="EO3" s="231">
        <v>18722.95</v>
      </c>
      <c r="EP3" s="229">
        <v>5.8999999999999997E-2</v>
      </c>
      <c r="EQ3" s="231">
        <v>40150</v>
      </c>
      <c r="ER3" s="231">
        <v>42168</v>
      </c>
      <c r="ES3" s="231">
        <v>300019</v>
      </c>
      <c r="ET3" s="231">
        <v>147352572</v>
      </c>
      <c r="EU3" s="231">
        <v>382337</v>
      </c>
      <c r="EV3" s="231">
        <v>503433</v>
      </c>
      <c r="EW3" s="231">
        <v>-121096</v>
      </c>
      <c r="EX3" s="229">
        <v>-0.24049999999999999</v>
      </c>
      <c r="EY3" s="229">
        <v>0.187</v>
      </c>
    </row>
    <row r="4" spans="1:155" ht="17.25" thickBot="1" x14ac:dyDescent="0.3">
      <c r="A4" s="226">
        <v>45869</v>
      </c>
      <c r="B4" s="227" t="s">
        <v>170</v>
      </c>
      <c r="C4" s="227" t="s">
        <v>165</v>
      </c>
      <c r="D4" s="231">
        <v>7517.5</v>
      </c>
      <c r="E4" s="231">
        <v>7473</v>
      </c>
      <c r="F4" s="228">
        <v>44.5</v>
      </c>
      <c r="G4" s="229">
        <v>6.0000000000000001E-3</v>
      </c>
      <c r="H4" s="231">
        <v>7498</v>
      </c>
      <c r="I4" s="231">
        <v>7450</v>
      </c>
      <c r="J4" s="228">
        <v>48</v>
      </c>
      <c r="K4" s="229">
        <v>6.4000000000000003E-3</v>
      </c>
      <c r="L4" s="231">
        <v>7485.5</v>
      </c>
      <c r="M4" s="231">
        <v>7442</v>
      </c>
      <c r="N4" s="228">
        <v>43.5</v>
      </c>
      <c r="O4" s="229">
        <v>5.7999999999999996E-3</v>
      </c>
      <c r="P4" s="231">
        <v>7517.5</v>
      </c>
      <c r="Q4" s="231">
        <v>7473</v>
      </c>
      <c r="R4" s="228">
        <v>44.5</v>
      </c>
      <c r="S4" s="229">
        <v>6.0000000000000001E-3</v>
      </c>
      <c r="T4" s="231">
        <v>7553</v>
      </c>
      <c r="U4" s="231">
        <v>7507</v>
      </c>
      <c r="V4" s="228">
        <v>46</v>
      </c>
      <c r="W4" s="229">
        <v>6.1000000000000004E-3</v>
      </c>
      <c r="X4" s="228">
        <v>19.5</v>
      </c>
      <c r="Y4" s="228">
        <v>-8</v>
      </c>
      <c r="Z4" s="228">
        <v>27.5</v>
      </c>
      <c r="AA4" s="229">
        <v>2.5999999999999999E-3</v>
      </c>
      <c r="AB4" s="228">
        <v>-12.5</v>
      </c>
      <c r="AC4" s="228">
        <v>-8</v>
      </c>
      <c r="AD4" s="228">
        <v>-4.5</v>
      </c>
      <c r="AE4" s="229">
        <v>-1.6999999999999999E-3</v>
      </c>
      <c r="AF4" s="228">
        <v>19.5</v>
      </c>
      <c r="AG4" s="228">
        <v>23</v>
      </c>
      <c r="AH4" s="228">
        <v>-3.5</v>
      </c>
      <c r="AI4" s="229">
        <v>2.5999999999999999E-3</v>
      </c>
      <c r="AJ4" s="228">
        <v>55</v>
      </c>
      <c r="AK4" s="228">
        <v>57</v>
      </c>
      <c r="AL4" s="228">
        <v>-2</v>
      </c>
      <c r="AM4" s="229">
        <v>7.3000000000000001E-3</v>
      </c>
      <c r="AN4" s="231">
        <v>7443.8</v>
      </c>
      <c r="AO4" s="231">
        <v>7472.92</v>
      </c>
      <c r="AP4" s="228">
        <v>0</v>
      </c>
      <c r="AQ4" s="230">
        <v>9091</v>
      </c>
      <c r="AR4" s="230">
        <v>10632</v>
      </c>
      <c r="AS4" s="230">
        <v>-1541</v>
      </c>
      <c r="AT4" s="229">
        <v>-0.1449</v>
      </c>
      <c r="AU4" s="230">
        <v>4298</v>
      </c>
      <c r="AV4" s="230">
        <v>5211</v>
      </c>
      <c r="AW4" s="228">
        <v>-913</v>
      </c>
      <c r="AX4" s="229">
        <v>-0.17519999999999999</v>
      </c>
      <c r="AY4" s="230">
        <v>4749</v>
      </c>
      <c r="AZ4" s="230">
        <v>5367</v>
      </c>
      <c r="BA4" s="228">
        <v>-618</v>
      </c>
      <c r="BB4" s="229">
        <v>-0.11509999999999999</v>
      </c>
      <c r="BC4" s="228">
        <v>44</v>
      </c>
      <c r="BD4" s="228">
        <v>54</v>
      </c>
      <c r="BE4" s="228">
        <v>-10</v>
      </c>
      <c r="BF4" s="229">
        <v>-0.1852</v>
      </c>
      <c r="BG4" s="230">
        <v>10171</v>
      </c>
      <c r="BH4" s="230">
        <v>10137</v>
      </c>
      <c r="BI4" s="228">
        <v>34</v>
      </c>
      <c r="BJ4" s="229">
        <v>3.3999999999999998E-3</v>
      </c>
      <c r="BK4" s="230">
        <v>3729</v>
      </c>
      <c r="BL4" s="230">
        <v>5059</v>
      </c>
      <c r="BM4" s="230">
        <v>-1330</v>
      </c>
      <c r="BN4" s="229">
        <v>-0.26290000000000002</v>
      </c>
      <c r="BO4" s="230">
        <v>22991</v>
      </c>
      <c r="BP4" s="230">
        <v>25828</v>
      </c>
      <c r="BQ4" s="230">
        <v>-2837</v>
      </c>
      <c r="BR4" s="229">
        <v>-0.10979999999999999</v>
      </c>
      <c r="BS4" s="230">
        <v>346269</v>
      </c>
      <c r="BT4" s="230">
        <v>299364</v>
      </c>
      <c r="BU4" s="230">
        <v>46905</v>
      </c>
      <c r="BV4" s="229">
        <v>0.15670000000000001</v>
      </c>
      <c r="BW4" s="230">
        <v>2454125</v>
      </c>
      <c r="BX4" s="230">
        <v>2629625</v>
      </c>
      <c r="BY4" s="230">
        <v>-175500</v>
      </c>
      <c r="BZ4" s="229">
        <v>-6.6699999999999995E-2</v>
      </c>
      <c r="CA4" s="230">
        <v>180000</v>
      </c>
      <c r="CB4" s="230">
        <v>442125</v>
      </c>
      <c r="CC4" s="230">
        <v>-262125</v>
      </c>
      <c r="CD4" s="229">
        <v>-0.59289999999999998</v>
      </c>
      <c r="CE4" s="230">
        <v>2437875</v>
      </c>
      <c r="CF4" s="230">
        <v>2172000</v>
      </c>
      <c r="CG4" s="230">
        <v>265875</v>
      </c>
      <c r="CH4" s="229">
        <v>0.12239999999999999</v>
      </c>
      <c r="CI4" s="230">
        <v>16250</v>
      </c>
      <c r="CJ4" s="230">
        <v>15500</v>
      </c>
      <c r="CK4" s="228">
        <v>750</v>
      </c>
      <c r="CL4" s="229">
        <v>4.8399999999999999E-2</v>
      </c>
      <c r="CM4" s="230">
        <v>216750</v>
      </c>
      <c r="CN4" s="230">
        <v>1578500</v>
      </c>
      <c r="CO4" s="230">
        <v>-1361750</v>
      </c>
      <c r="CP4" s="229">
        <v>-0.86270000000000002</v>
      </c>
      <c r="CQ4" s="230">
        <v>139250</v>
      </c>
      <c r="CR4" s="230">
        <v>876750</v>
      </c>
      <c r="CS4" s="230">
        <v>-737500</v>
      </c>
      <c r="CT4" s="229">
        <v>-0.84119999999999995</v>
      </c>
      <c r="CU4" s="230">
        <v>2810125</v>
      </c>
      <c r="CV4" s="230">
        <v>5084875</v>
      </c>
      <c r="CW4" s="230">
        <v>-2274750</v>
      </c>
      <c r="CX4" s="229">
        <v>-0.44740000000000002</v>
      </c>
      <c r="CY4" s="228">
        <v>24.77</v>
      </c>
      <c r="CZ4" s="228">
        <v>24.28</v>
      </c>
      <c r="DA4" s="228">
        <v>0.49</v>
      </c>
      <c r="DB4" s="228">
        <v>0.49</v>
      </c>
      <c r="DC4" s="228">
        <v>26.52</v>
      </c>
      <c r="DD4" s="228">
        <v>26.57</v>
      </c>
      <c r="DE4" s="228">
        <v>-1.75</v>
      </c>
      <c r="DF4" s="228">
        <v>-0.05</v>
      </c>
      <c r="DG4" s="228">
        <v>24.84</v>
      </c>
      <c r="DH4" s="228">
        <v>24.19</v>
      </c>
      <c r="DI4" s="228">
        <v>0.65</v>
      </c>
      <c r="DJ4" s="228">
        <v>0.65</v>
      </c>
      <c r="DK4" s="228">
        <v>24.6</v>
      </c>
      <c r="DL4" s="228">
        <v>24.47</v>
      </c>
      <c r="DM4" s="228">
        <v>0.13</v>
      </c>
      <c r="DN4" s="228">
        <v>0.13</v>
      </c>
      <c r="DO4" s="228">
        <v>0.64</v>
      </c>
      <c r="DP4" s="228">
        <v>0.56000000000000005</v>
      </c>
      <c r="DQ4" s="228">
        <v>0.08</v>
      </c>
      <c r="DR4" s="229">
        <v>0.1429</v>
      </c>
      <c r="DS4" s="231">
        <v>8000</v>
      </c>
      <c r="DT4" s="231">
        <v>7000</v>
      </c>
      <c r="DU4" s="228">
        <v>0.37</v>
      </c>
      <c r="DV4" s="228">
        <v>0.5</v>
      </c>
      <c r="DW4" s="228">
        <v>-0.13</v>
      </c>
      <c r="DX4" s="229">
        <v>-0.26</v>
      </c>
      <c r="DY4" s="229">
        <v>0.93169999999999997</v>
      </c>
      <c r="DZ4" s="230">
        <v>2187500</v>
      </c>
      <c r="EA4" s="229">
        <v>4.3E-3</v>
      </c>
      <c r="EB4" s="229">
        <v>0.93169999999999997</v>
      </c>
      <c r="EC4" s="228">
        <v>29.12</v>
      </c>
      <c r="ED4" s="229">
        <v>3.8999999999999998E-3</v>
      </c>
      <c r="EE4" s="230">
        <v>212128</v>
      </c>
      <c r="EF4" s="230">
        <v>228105</v>
      </c>
      <c r="EG4" s="229">
        <v>-7.0000000000000007E-2</v>
      </c>
      <c r="EH4" s="229">
        <v>0.61260000000000003</v>
      </c>
      <c r="EI4" s="231">
        <v>97930.95</v>
      </c>
      <c r="EJ4" s="231">
        <v>33984.519999999997</v>
      </c>
      <c r="EK4" s="231">
        <v>84766.71</v>
      </c>
      <c r="EL4" s="228">
        <v>0</v>
      </c>
      <c r="EM4" s="231">
        <v>216682.18</v>
      </c>
      <c r="EN4" s="231">
        <v>242007</v>
      </c>
      <c r="EO4" s="231">
        <v>-25324.82</v>
      </c>
      <c r="EP4" s="229">
        <v>-0.1046</v>
      </c>
      <c r="EQ4" s="231">
        <v>16657</v>
      </c>
      <c r="ER4" s="231">
        <v>10051</v>
      </c>
      <c r="ES4" s="231">
        <v>184495</v>
      </c>
      <c r="ET4" s="231">
        <v>20320323</v>
      </c>
      <c r="EU4" s="231">
        <v>211203</v>
      </c>
      <c r="EV4" s="231">
        <v>381296</v>
      </c>
      <c r="EW4" s="231">
        <v>-170093</v>
      </c>
      <c r="EX4" s="229">
        <v>-0.4461</v>
      </c>
      <c r="EY4" s="229">
        <v>0.13830000000000001</v>
      </c>
    </row>
    <row r="5" spans="1:155" ht="17.25" thickBot="1" x14ac:dyDescent="0.3">
      <c r="A5" s="226">
        <v>45869</v>
      </c>
      <c r="B5" s="227" t="s">
        <v>168</v>
      </c>
      <c r="C5" s="227" t="s">
        <v>169</v>
      </c>
      <c r="D5" s="231">
        <v>2404.6</v>
      </c>
      <c r="E5" s="231">
        <v>2426</v>
      </c>
      <c r="F5" s="228">
        <v>-21.4</v>
      </c>
      <c r="G5" s="229">
        <v>-8.8000000000000005E-3</v>
      </c>
      <c r="H5" s="231">
        <v>2396.1</v>
      </c>
      <c r="I5" s="231">
        <v>2415.8000000000002</v>
      </c>
      <c r="J5" s="228">
        <v>-19.7</v>
      </c>
      <c r="K5" s="229">
        <v>-8.2000000000000007E-3</v>
      </c>
      <c r="L5" s="231">
        <v>2394.3000000000002</v>
      </c>
      <c r="M5" s="231">
        <v>2414</v>
      </c>
      <c r="N5" s="228">
        <v>-19.7</v>
      </c>
      <c r="O5" s="229">
        <v>-8.2000000000000007E-3</v>
      </c>
      <c r="P5" s="231">
        <v>2404.6</v>
      </c>
      <c r="Q5" s="231">
        <v>2426</v>
      </c>
      <c r="R5" s="228">
        <v>-21.4</v>
      </c>
      <c r="S5" s="229">
        <v>-8.8000000000000005E-3</v>
      </c>
      <c r="T5" s="231">
        <v>2417.3000000000002</v>
      </c>
      <c r="U5" s="231">
        <v>2439</v>
      </c>
      <c r="V5" s="228">
        <v>-21.7</v>
      </c>
      <c r="W5" s="229">
        <v>-8.8999999999999999E-3</v>
      </c>
      <c r="X5" s="228">
        <v>8.5</v>
      </c>
      <c r="Y5" s="228">
        <v>-1.8</v>
      </c>
      <c r="Z5" s="228">
        <v>10.3</v>
      </c>
      <c r="AA5" s="229">
        <v>3.5000000000000001E-3</v>
      </c>
      <c r="AB5" s="228">
        <v>-1.8</v>
      </c>
      <c r="AC5" s="228">
        <v>-1.8</v>
      </c>
      <c r="AD5" s="228">
        <v>0</v>
      </c>
      <c r="AE5" s="229">
        <v>-8.0000000000000004E-4</v>
      </c>
      <c r="AF5" s="228">
        <v>8.5</v>
      </c>
      <c r="AG5" s="228">
        <v>10.199999999999999</v>
      </c>
      <c r="AH5" s="228">
        <v>-1.7</v>
      </c>
      <c r="AI5" s="229">
        <v>3.5000000000000001E-3</v>
      </c>
      <c r="AJ5" s="228">
        <v>21.2</v>
      </c>
      <c r="AK5" s="228">
        <v>23.2</v>
      </c>
      <c r="AL5" s="228">
        <v>-2</v>
      </c>
      <c r="AM5" s="229">
        <v>8.8000000000000005E-3</v>
      </c>
      <c r="AN5" s="231">
        <v>2397.92</v>
      </c>
      <c r="AO5" s="231">
        <v>2407.67</v>
      </c>
      <c r="AP5" s="228">
        <v>0</v>
      </c>
      <c r="AQ5" s="230">
        <v>17357</v>
      </c>
      <c r="AR5" s="230">
        <v>41081</v>
      </c>
      <c r="AS5" s="230">
        <v>-23724</v>
      </c>
      <c r="AT5" s="229">
        <v>-0.57750000000000001</v>
      </c>
      <c r="AU5" s="230">
        <v>6995</v>
      </c>
      <c r="AV5" s="230">
        <v>17504</v>
      </c>
      <c r="AW5" s="230">
        <v>-10509</v>
      </c>
      <c r="AX5" s="229">
        <v>-0.60040000000000004</v>
      </c>
      <c r="AY5" s="230">
        <v>10096</v>
      </c>
      <c r="AZ5" s="230">
        <v>23120</v>
      </c>
      <c r="BA5" s="230">
        <v>-13024</v>
      </c>
      <c r="BB5" s="229">
        <v>-0.56330000000000002</v>
      </c>
      <c r="BC5" s="228">
        <v>266</v>
      </c>
      <c r="BD5" s="228">
        <v>457</v>
      </c>
      <c r="BE5" s="228">
        <v>-191</v>
      </c>
      <c r="BF5" s="229">
        <v>-0.41789999999999999</v>
      </c>
      <c r="BG5" s="230">
        <v>24051</v>
      </c>
      <c r="BH5" s="230">
        <v>94364</v>
      </c>
      <c r="BI5" s="230">
        <v>-70313</v>
      </c>
      <c r="BJ5" s="229">
        <v>-0.74509999999999998</v>
      </c>
      <c r="BK5" s="230">
        <v>18061</v>
      </c>
      <c r="BL5" s="230">
        <v>46212</v>
      </c>
      <c r="BM5" s="230">
        <v>-28151</v>
      </c>
      <c r="BN5" s="229">
        <v>-0.60919999999999996</v>
      </c>
      <c r="BO5" s="230">
        <v>59469</v>
      </c>
      <c r="BP5" s="230">
        <v>181657</v>
      </c>
      <c r="BQ5" s="230">
        <v>-122188</v>
      </c>
      <c r="BR5" s="229">
        <v>-0.67259999999999998</v>
      </c>
      <c r="BS5" s="230">
        <v>1296275</v>
      </c>
      <c r="BT5" s="230">
        <v>1758511</v>
      </c>
      <c r="BU5" s="230">
        <v>-462236</v>
      </c>
      <c r="BV5" s="229">
        <v>-0.26290000000000002</v>
      </c>
      <c r="BW5" s="230">
        <v>13881750</v>
      </c>
      <c r="BX5" s="230">
        <v>15308750</v>
      </c>
      <c r="BY5" s="230">
        <v>-1427000</v>
      </c>
      <c r="BZ5" s="229">
        <v>-9.3200000000000005E-2</v>
      </c>
      <c r="CA5" s="230">
        <v>1436250</v>
      </c>
      <c r="CB5" s="230">
        <v>2052750</v>
      </c>
      <c r="CC5" s="230">
        <v>-616500</v>
      </c>
      <c r="CD5" s="229">
        <v>-0.30030000000000001</v>
      </c>
      <c r="CE5" s="230">
        <v>13645500</v>
      </c>
      <c r="CF5" s="230">
        <v>13037500</v>
      </c>
      <c r="CG5" s="230">
        <v>608000</v>
      </c>
      <c r="CH5" s="229">
        <v>4.6600000000000003E-2</v>
      </c>
      <c r="CI5" s="230">
        <v>236250</v>
      </c>
      <c r="CJ5" s="230">
        <v>218500</v>
      </c>
      <c r="CK5" s="230">
        <v>17750</v>
      </c>
      <c r="CL5" s="229">
        <v>8.1199999999999994E-2</v>
      </c>
      <c r="CM5" s="230">
        <v>2684000</v>
      </c>
      <c r="CN5" s="230">
        <v>8145000</v>
      </c>
      <c r="CO5" s="230">
        <v>-5461000</v>
      </c>
      <c r="CP5" s="229">
        <v>-0.67049999999999998</v>
      </c>
      <c r="CQ5" s="230">
        <v>2102250</v>
      </c>
      <c r="CR5" s="230">
        <v>4677000</v>
      </c>
      <c r="CS5" s="230">
        <v>-2574750</v>
      </c>
      <c r="CT5" s="229">
        <v>-0.55049999999999999</v>
      </c>
      <c r="CU5" s="230">
        <v>18668000</v>
      </c>
      <c r="CV5" s="230">
        <v>28130750</v>
      </c>
      <c r="CW5" s="230">
        <v>-9462750</v>
      </c>
      <c r="CX5" s="229">
        <v>-0.33639999999999998</v>
      </c>
      <c r="CY5" s="228">
        <v>19.12</v>
      </c>
      <c r="CZ5" s="228">
        <v>19.420000000000002</v>
      </c>
      <c r="DA5" s="228">
        <v>-0.3</v>
      </c>
      <c r="DB5" s="228">
        <v>-0.3</v>
      </c>
      <c r="DC5" s="228">
        <v>24.21</v>
      </c>
      <c r="DD5" s="228">
        <v>24.24</v>
      </c>
      <c r="DE5" s="228">
        <v>-5.09</v>
      </c>
      <c r="DF5" s="228">
        <v>-0.03</v>
      </c>
      <c r="DG5" s="228">
        <v>19.16</v>
      </c>
      <c r="DH5" s="228">
        <v>19.2</v>
      </c>
      <c r="DI5" s="228">
        <v>-0.04</v>
      </c>
      <c r="DJ5" s="228">
        <v>-0.04</v>
      </c>
      <c r="DK5" s="228">
        <v>19.05</v>
      </c>
      <c r="DL5" s="228">
        <v>19.89</v>
      </c>
      <c r="DM5" s="228">
        <v>-0.84</v>
      </c>
      <c r="DN5" s="228">
        <v>-0.84</v>
      </c>
      <c r="DO5" s="228">
        <v>0.78</v>
      </c>
      <c r="DP5" s="228">
        <v>0.56999999999999995</v>
      </c>
      <c r="DQ5" s="228">
        <v>0.21</v>
      </c>
      <c r="DR5" s="229">
        <v>0.36840000000000001</v>
      </c>
      <c r="DS5" s="231">
        <v>2500</v>
      </c>
      <c r="DT5" s="231">
        <v>2400</v>
      </c>
      <c r="DU5" s="228">
        <v>0.75</v>
      </c>
      <c r="DV5" s="228">
        <v>0.49</v>
      </c>
      <c r="DW5" s="228">
        <v>0.26</v>
      </c>
      <c r="DX5" s="229">
        <v>0.53059999999999996</v>
      </c>
      <c r="DY5" s="229">
        <v>0.90620000000000001</v>
      </c>
      <c r="DZ5" s="230">
        <v>13256000</v>
      </c>
      <c r="EA5" s="229">
        <v>4.3E-3</v>
      </c>
      <c r="EB5" s="229">
        <v>0.90620000000000001</v>
      </c>
      <c r="EC5" s="228">
        <v>9.75</v>
      </c>
      <c r="ED5" s="229">
        <v>4.1000000000000003E-3</v>
      </c>
      <c r="EE5" s="230">
        <v>802347</v>
      </c>
      <c r="EF5" s="230">
        <v>847538</v>
      </c>
      <c r="EG5" s="229">
        <v>-5.33E-2</v>
      </c>
      <c r="EH5" s="229">
        <v>0.61899999999999999</v>
      </c>
      <c r="EI5" s="231">
        <v>149640.76</v>
      </c>
      <c r="EJ5" s="231">
        <v>107869.25</v>
      </c>
      <c r="EK5" s="231">
        <v>104314.6</v>
      </c>
      <c r="EL5" s="228">
        <v>0</v>
      </c>
      <c r="EM5" s="231">
        <v>361824.61</v>
      </c>
      <c r="EN5" s="231">
        <v>1108171.7</v>
      </c>
      <c r="EO5" s="231">
        <v>-746347.09</v>
      </c>
      <c r="EP5" s="229">
        <v>-0.67349999999999999</v>
      </c>
      <c r="EQ5" s="231">
        <v>67186</v>
      </c>
      <c r="ER5" s="231">
        <v>49561</v>
      </c>
      <c r="ES5" s="231">
        <v>333831</v>
      </c>
      <c r="ET5" s="231">
        <v>90791585</v>
      </c>
      <c r="EU5" s="231">
        <v>450577</v>
      </c>
      <c r="EV5" s="231">
        <v>683664</v>
      </c>
      <c r="EW5" s="231">
        <v>-233087</v>
      </c>
      <c r="EX5" s="229">
        <v>-0.34089999999999998</v>
      </c>
      <c r="EY5" s="229">
        <v>0.2056</v>
      </c>
    </row>
    <row r="6" spans="1:155" ht="17.25" thickBot="1" x14ac:dyDescent="0.3">
      <c r="A6" s="226">
        <v>45869</v>
      </c>
      <c r="B6" s="227" t="s">
        <v>172</v>
      </c>
      <c r="C6" s="227" t="s">
        <v>173</v>
      </c>
      <c r="D6" s="231">
        <v>1074.4000000000001</v>
      </c>
      <c r="E6" s="231">
        <v>1079.7</v>
      </c>
      <c r="F6" s="228">
        <v>-5.3</v>
      </c>
      <c r="G6" s="229">
        <v>-4.8999999999999998E-3</v>
      </c>
      <c r="H6" s="231">
        <v>1068.4000000000001</v>
      </c>
      <c r="I6" s="231">
        <v>1073.3</v>
      </c>
      <c r="J6" s="228">
        <v>-4.9000000000000004</v>
      </c>
      <c r="K6" s="229">
        <v>-4.5999999999999999E-3</v>
      </c>
      <c r="L6" s="231">
        <v>1068.9000000000001</v>
      </c>
      <c r="M6" s="231">
        <v>1073.9000000000001</v>
      </c>
      <c r="N6" s="228">
        <v>-5</v>
      </c>
      <c r="O6" s="229">
        <v>-4.7000000000000002E-3</v>
      </c>
      <c r="P6" s="231">
        <v>1074.4000000000001</v>
      </c>
      <c r="Q6" s="231">
        <v>1079.7</v>
      </c>
      <c r="R6" s="228">
        <v>-5.3</v>
      </c>
      <c r="S6" s="229">
        <v>-4.8999999999999998E-3</v>
      </c>
      <c r="T6" s="231">
        <v>1081</v>
      </c>
      <c r="U6" s="231">
        <v>1085.8</v>
      </c>
      <c r="V6" s="228">
        <v>-4.8</v>
      </c>
      <c r="W6" s="229">
        <v>-4.4000000000000003E-3</v>
      </c>
      <c r="X6" s="228">
        <v>6</v>
      </c>
      <c r="Y6" s="228">
        <v>0.6</v>
      </c>
      <c r="Z6" s="228">
        <v>5.4</v>
      </c>
      <c r="AA6" s="229">
        <v>5.5999999999999999E-3</v>
      </c>
      <c r="AB6" s="228">
        <v>0.5</v>
      </c>
      <c r="AC6" s="228">
        <v>0.6</v>
      </c>
      <c r="AD6" s="228">
        <v>-0.1</v>
      </c>
      <c r="AE6" s="229">
        <v>5.0000000000000001E-4</v>
      </c>
      <c r="AF6" s="228">
        <v>6</v>
      </c>
      <c r="AG6" s="228">
        <v>6.4</v>
      </c>
      <c r="AH6" s="228">
        <v>-0.4</v>
      </c>
      <c r="AI6" s="229">
        <v>5.5999999999999999E-3</v>
      </c>
      <c r="AJ6" s="228">
        <v>12.6</v>
      </c>
      <c r="AK6" s="228">
        <v>12.5</v>
      </c>
      <c r="AL6" s="228">
        <v>0.1</v>
      </c>
      <c r="AM6" s="229">
        <v>1.18E-2</v>
      </c>
      <c r="AN6" s="231">
        <v>1072.46</v>
      </c>
      <c r="AO6" s="231">
        <v>1077.95</v>
      </c>
      <c r="AP6" s="228">
        <v>0</v>
      </c>
      <c r="AQ6" s="230">
        <v>47042</v>
      </c>
      <c r="AR6" s="230">
        <v>60816</v>
      </c>
      <c r="AS6" s="230">
        <v>-13774</v>
      </c>
      <c r="AT6" s="229">
        <v>-0.22650000000000001</v>
      </c>
      <c r="AU6" s="230">
        <v>17511</v>
      </c>
      <c r="AV6" s="230">
        <v>28133</v>
      </c>
      <c r="AW6" s="230">
        <v>-10622</v>
      </c>
      <c r="AX6" s="229">
        <v>-0.37759999999999999</v>
      </c>
      <c r="AY6" s="230">
        <v>28982</v>
      </c>
      <c r="AZ6" s="230">
        <v>32354</v>
      </c>
      <c r="BA6" s="230">
        <v>-3372</v>
      </c>
      <c r="BB6" s="229">
        <v>-0.1042</v>
      </c>
      <c r="BC6" s="228">
        <v>549</v>
      </c>
      <c r="BD6" s="228">
        <v>329</v>
      </c>
      <c r="BE6" s="228">
        <v>220</v>
      </c>
      <c r="BF6" s="229">
        <v>0.66869999999999996</v>
      </c>
      <c r="BG6" s="230">
        <v>37383</v>
      </c>
      <c r="BH6" s="230">
        <v>53287</v>
      </c>
      <c r="BI6" s="230">
        <v>-15904</v>
      </c>
      <c r="BJ6" s="229">
        <v>-0.29849999999999999</v>
      </c>
      <c r="BK6" s="230">
        <v>23701</v>
      </c>
      <c r="BL6" s="230">
        <v>26976</v>
      </c>
      <c r="BM6" s="230">
        <v>-3275</v>
      </c>
      <c r="BN6" s="229">
        <v>-0.12139999999999999</v>
      </c>
      <c r="BO6" s="230">
        <v>108126</v>
      </c>
      <c r="BP6" s="230">
        <v>141079</v>
      </c>
      <c r="BQ6" s="230">
        <v>-32953</v>
      </c>
      <c r="BR6" s="229">
        <v>-0.2336</v>
      </c>
      <c r="BS6" s="230">
        <v>7679394</v>
      </c>
      <c r="BT6" s="230">
        <v>8332598</v>
      </c>
      <c r="BU6" s="230">
        <v>-653204</v>
      </c>
      <c r="BV6" s="229">
        <v>-7.8399999999999997E-2</v>
      </c>
      <c r="BW6" s="230">
        <v>97119375</v>
      </c>
      <c r="BX6" s="230">
        <v>97183750</v>
      </c>
      <c r="BY6" s="230">
        <v>-64375</v>
      </c>
      <c r="BZ6" s="229">
        <v>-6.9999999999999999E-4</v>
      </c>
      <c r="CA6" s="230">
        <v>3285625</v>
      </c>
      <c r="CB6" s="230">
        <v>10296250</v>
      </c>
      <c r="CC6" s="230">
        <v>-7010625</v>
      </c>
      <c r="CD6" s="229">
        <v>-0.68089999999999995</v>
      </c>
      <c r="CE6" s="230">
        <v>95781875</v>
      </c>
      <c r="CF6" s="230">
        <v>85688125</v>
      </c>
      <c r="CG6" s="230">
        <v>10093750</v>
      </c>
      <c r="CH6" s="229">
        <v>0.1178</v>
      </c>
      <c r="CI6" s="230">
        <v>1337500</v>
      </c>
      <c r="CJ6" s="230">
        <v>1199375</v>
      </c>
      <c r="CK6" s="230">
        <v>138125</v>
      </c>
      <c r="CL6" s="229">
        <v>0.1152</v>
      </c>
      <c r="CM6" s="230">
        <v>13629375</v>
      </c>
      <c r="CN6" s="230">
        <v>44806250</v>
      </c>
      <c r="CO6" s="230">
        <v>-31176875</v>
      </c>
      <c r="CP6" s="229">
        <v>-0.69579999999999997</v>
      </c>
      <c r="CQ6" s="230">
        <v>8191875</v>
      </c>
      <c r="CR6" s="230">
        <v>17768125</v>
      </c>
      <c r="CS6" s="230">
        <v>-9576250</v>
      </c>
      <c r="CT6" s="229">
        <v>-0.53900000000000003</v>
      </c>
      <c r="CU6" s="230">
        <v>118940625</v>
      </c>
      <c r="CV6" s="230">
        <v>159758125</v>
      </c>
      <c r="CW6" s="230">
        <v>-40817500</v>
      </c>
      <c r="CX6" s="229">
        <v>-0.2555</v>
      </c>
      <c r="CY6" s="228">
        <v>20.32</v>
      </c>
      <c r="CZ6" s="228">
        <v>21.09</v>
      </c>
      <c r="DA6" s="228">
        <v>-0.77</v>
      </c>
      <c r="DB6" s="228">
        <v>-0.77</v>
      </c>
      <c r="DC6" s="228">
        <v>28.17</v>
      </c>
      <c r="DD6" s="228">
        <v>28.24</v>
      </c>
      <c r="DE6" s="228">
        <v>-7.85</v>
      </c>
      <c r="DF6" s="228">
        <v>-7.0000000000000007E-2</v>
      </c>
      <c r="DG6" s="228">
        <v>20.64</v>
      </c>
      <c r="DH6" s="228">
        <v>21.24</v>
      </c>
      <c r="DI6" s="228">
        <v>-0.6</v>
      </c>
      <c r="DJ6" s="228">
        <v>-0.6</v>
      </c>
      <c r="DK6" s="228">
        <v>19.739999999999998</v>
      </c>
      <c r="DL6" s="228">
        <v>20.72</v>
      </c>
      <c r="DM6" s="228">
        <v>-0.98</v>
      </c>
      <c r="DN6" s="228">
        <v>-0.98</v>
      </c>
      <c r="DO6" s="228">
        <v>0.6</v>
      </c>
      <c r="DP6" s="228">
        <v>0.4</v>
      </c>
      <c r="DQ6" s="228">
        <v>0.2</v>
      </c>
      <c r="DR6" s="229">
        <v>0.5</v>
      </c>
      <c r="DS6" s="231">
        <v>1200</v>
      </c>
      <c r="DT6" s="231">
        <v>1100</v>
      </c>
      <c r="DU6" s="228">
        <v>0.63</v>
      </c>
      <c r="DV6" s="228">
        <v>0.51</v>
      </c>
      <c r="DW6" s="228">
        <v>0.12</v>
      </c>
      <c r="DX6" s="229">
        <v>0.23530000000000001</v>
      </c>
      <c r="DY6" s="229">
        <v>0.96730000000000005</v>
      </c>
      <c r="DZ6" s="230">
        <v>86887500</v>
      </c>
      <c r="EA6" s="229">
        <v>5.1000000000000004E-3</v>
      </c>
      <c r="EB6" s="229">
        <v>0.96730000000000005</v>
      </c>
      <c r="EC6" s="228">
        <v>5.49</v>
      </c>
      <c r="ED6" s="229">
        <v>5.1000000000000004E-3</v>
      </c>
      <c r="EE6" s="230">
        <v>4772787</v>
      </c>
      <c r="EF6" s="230">
        <v>6056551</v>
      </c>
      <c r="EG6" s="229">
        <v>-0.21199999999999999</v>
      </c>
      <c r="EH6" s="229">
        <v>0.62150000000000005</v>
      </c>
      <c r="EI6" s="231">
        <v>262162.31</v>
      </c>
      <c r="EJ6" s="231">
        <v>162625.31</v>
      </c>
      <c r="EK6" s="231">
        <v>316348.74</v>
      </c>
      <c r="EL6" s="228">
        <v>0</v>
      </c>
      <c r="EM6" s="231">
        <v>741136.36</v>
      </c>
      <c r="EN6" s="231">
        <v>965151.19</v>
      </c>
      <c r="EO6" s="231">
        <v>-224014.83</v>
      </c>
      <c r="EP6" s="229">
        <v>-0.2321</v>
      </c>
      <c r="EQ6" s="231">
        <v>156570</v>
      </c>
      <c r="ER6" s="231">
        <v>88097</v>
      </c>
      <c r="ES6" s="231">
        <v>1043539</v>
      </c>
      <c r="ET6" s="231">
        <v>549885930</v>
      </c>
      <c r="EU6" s="231">
        <v>1288206</v>
      </c>
      <c r="EV6" s="231">
        <v>1771402</v>
      </c>
      <c r="EW6" s="231">
        <v>-483196</v>
      </c>
      <c r="EX6" s="229">
        <v>-0.27279999999999999</v>
      </c>
      <c r="EY6" s="229">
        <v>0.21629999999999999</v>
      </c>
    </row>
    <row r="7" spans="1:155" ht="17.25" thickBot="1" x14ac:dyDescent="0.3">
      <c r="A7" s="226">
        <v>45869</v>
      </c>
      <c r="B7" s="227" t="s">
        <v>162</v>
      </c>
      <c r="C7" s="227" t="s">
        <v>174</v>
      </c>
      <c r="D7" s="231">
        <v>8051</v>
      </c>
      <c r="E7" s="231">
        <v>8087</v>
      </c>
      <c r="F7" s="228">
        <v>-36</v>
      </c>
      <c r="G7" s="229">
        <v>-4.4999999999999997E-3</v>
      </c>
      <c r="H7" s="231">
        <v>8008</v>
      </c>
      <c r="I7" s="231">
        <v>8043.5</v>
      </c>
      <c r="J7" s="228">
        <v>-35.5</v>
      </c>
      <c r="K7" s="229">
        <v>-4.4000000000000003E-3</v>
      </c>
      <c r="L7" s="231">
        <v>8002</v>
      </c>
      <c r="M7" s="231">
        <v>8056</v>
      </c>
      <c r="N7" s="228">
        <v>-54</v>
      </c>
      <c r="O7" s="229">
        <v>-6.7000000000000002E-3</v>
      </c>
      <c r="P7" s="231">
        <v>8051</v>
      </c>
      <c r="Q7" s="231">
        <v>8087</v>
      </c>
      <c r="R7" s="228">
        <v>-36</v>
      </c>
      <c r="S7" s="229">
        <v>-4.4999999999999997E-3</v>
      </c>
      <c r="T7" s="231">
        <v>8096</v>
      </c>
      <c r="U7" s="231">
        <v>8138</v>
      </c>
      <c r="V7" s="228">
        <v>-42</v>
      </c>
      <c r="W7" s="229">
        <v>-5.1999999999999998E-3</v>
      </c>
      <c r="X7" s="228">
        <v>43</v>
      </c>
      <c r="Y7" s="228">
        <v>12.5</v>
      </c>
      <c r="Z7" s="228">
        <v>30.5</v>
      </c>
      <c r="AA7" s="229">
        <v>5.4000000000000003E-3</v>
      </c>
      <c r="AB7" s="228">
        <v>-6</v>
      </c>
      <c r="AC7" s="228">
        <v>12.5</v>
      </c>
      <c r="AD7" s="228">
        <v>-18.5</v>
      </c>
      <c r="AE7" s="229">
        <v>-6.9999999999999999E-4</v>
      </c>
      <c r="AF7" s="228">
        <v>43</v>
      </c>
      <c r="AG7" s="228">
        <v>43.5</v>
      </c>
      <c r="AH7" s="228">
        <v>-0.5</v>
      </c>
      <c r="AI7" s="229">
        <v>5.4000000000000003E-3</v>
      </c>
      <c r="AJ7" s="228">
        <v>88</v>
      </c>
      <c r="AK7" s="228">
        <v>94.5</v>
      </c>
      <c r="AL7" s="228">
        <v>-6.5</v>
      </c>
      <c r="AM7" s="229">
        <v>1.0999999999999999E-2</v>
      </c>
      <c r="AN7" s="231">
        <v>8021.52</v>
      </c>
      <c r="AO7" s="231">
        <v>8064.6</v>
      </c>
      <c r="AP7" s="228">
        <v>0</v>
      </c>
      <c r="AQ7" s="230">
        <v>18606</v>
      </c>
      <c r="AR7" s="230">
        <v>23708</v>
      </c>
      <c r="AS7" s="230">
        <v>-5102</v>
      </c>
      <c r="AT7" s="229">
        <v>-0.2152</v>
      </c>
      <c r="AU7" s="230">
        <v>7443</v>
      </c>
      <c r="AV7" s="230">
        <v>11424</v>
      </c>
      <c r="AW7" s="230">
        <v>-3981</v>
      </c>
      <c r="AX7" s="229">
        <v>-0.34849999999999998</v>
      </c>
      <c r="AY7" s="230">
        <v>10882</v>
      </c>
      <c r="AZ7" s="230">
        <v>12153</v>
      </c>
      <c r="BA7" s="230">
        <v>-1271</v>
      </c>
      <c r="BB7" s="229">
        <v>-0.1046</v>
      </c>
      <c r="BC7" s="228">
        <v>281</v>
      </c>
      <c r="BD7" s="228">
        <v>131</v>
      </c>
      <c r="BE7" s="228">
        <v>150</v>
      </c>
      <c r="BF7" s="229">
        <v>1.145</v>
      </c>
      <c r="BG7" s="230">
        <v>22180</v>
      </c>
      <c r="BH7" s="230">
        <v>20309</v>
      </c>
      <c r="BI7" s="230">
        <v>1871</v>
      </c>
      <c r="BJ7" s="229">
        <v>9.2100000000000001E-2</v>
      </c>
      <c r="BK7" s="230">
        <v>17644</v>
      </c>
      <c r="BL7" s="230">
        <v>11160</v>
      </c>
      <c r="BM7" s="230">
        <v>6484</v>
      </c>
      <c r="BN7" s="229">
        <v>0.58099999999999996</v>
      </c>
      <c r="BO7" s="230">
        <v>58430</v>
      </c>
      <c r="BP7" s="230">
        <v>55177</v>
      </c>
      <c r="BQ7" s="230">
        <v>3253</v>
      </c>
      <c r="BR7" s="229">
        <v>5.8999999999999997E-2</v>
      </c>
      <c r="BS7" s="230">
        <v>308619</v>
      </c>
      <c r="BT7" s="230">
        <v>237630</v>
      </c>
      <c r="BU7" s="230">
        <v>70989</v>
      </c>
      <c r="BV7" s="229">
        <v>0.29870000000000002</v>
      </c>
      <c r="BW7" s="230">
        <v>2737425</v>
      </c>
      <c r="BX7" s="230">
        <v>2901450</v>
      </c>
      <c r="BY7" s="230">
        <v>-164025</v>
      </c>
      <c r="BZ7" s="229">
        <v>-5.6500000000000002E-2</v>
      </c>
      <c r="CA7" s="230">
        <v>221400</v>
      </c>
      <c r="CB7" s="230">
        <v>494025</v>
      </c>
      <c r="CC7" s="230">
        <v>-272625</v>
      </c>
      <c r="CD7" s="229">
        <v>-0.55179999999999996</v>
      </c>
      <c r="CE7" s="230">
        <v>2689275</v>
      </c>
      <c r="CF7" s="230">
        <v>2370375</v>
      </c>
      <c r="CG7" s="230">
        <v>318900</v>
      </c>
      <c r="CH7" s="229">
        <v>0.13450000000000001</v>
      </c>
      <c r="CI7" s="230">
        <v>48150</v>
      </c>
      <c r="CJ7" s="230">
        <v>37050</v>
      </c>
      <c r="CK7" s="230">
        <v>11100</v>
      </c>
      <c r="CL7" s="229">
        <v>0.29959999999999998</v>
      </c>
      <c r="CM7" s="230">
        <v>444300</v>
      </c>
      <c r="CN7" s="230">
        <v>1394400</v>
      </c>
      <c r="CO7" s="230">
        <v>-950100</v>
      </c>
      <c r="CP7" s="229">
        <v>-0.68140000000000001</v>
      </c>
      <c r="CQ7" s="230">
        <v>416850</v>
      </c>
      <c r="CR7" s="230">
        <v>917100</v>
      </c>
      <c r="CS7" s="230">
        <v>-500250</v>
      </c>
      <c r="CT7" s="229">
        <v>-0.54549999999999998</v>
      </c>
      <c r="CU7" s="230">
        <v>3598575</v>
      </c>
      <c r="CV7" s="230">
        <v>5212950</v>
      </c>
      <c r="CW7" s="230">
        <v>-1614375</v>
      </c>
      <c r="CX7" s="229">
        <v>-0.30969999999999998</v>
      </c>
      <c r="CY7" s="228">
        <v>26.65</v>
      </c>
      <c r="CZ7" s="228">
        <v>27.12</v>
      </c>
      <c r="DA7" s="228">
        <v>-0.47</v>
      </c>
      <c r="DB7" s="228">
        <v>-0.47</v>
      </c>
      <c r="DC7" s="228">
        <v>31.82</v>
      </c>
      <c r="DD7" s="228">
        <v>31.9</v>
      </c>
      <c r="DE7" s="228">
        <v>-5.17</v>
      </c>
      <c r="DF7" s="228">
        <v>-0.08</v>
      </c>
      <c r="DG7" s="228">
        <v>26.52</v>
      </c>
      <c r="DH7" s="228">
        <v>27.07</v>
      </c>
      <c r="DI7" s="228">
        <v>-0.55000000000000004</v>
      </c>
      <c r="DJ7" s="228">
        <v>-0.55000000000000004</v>
      </c>
      <c r="DK7" s="228">
        <v>26.79</v>
      </c>
      <c r="DL7" s="228">
        <v>27.17</v>
      </c>
      <c r="DM7" s="228">
        <v>-0.38</v>
      </c>
      <c r="DN7" s="228">
        <v>-0.38</v>
      </c>
      <c r="DO7" s="228">
        <v>0.94</v>
      </c>
      <c r="DP7" s="228">
        <v>0.66</v>
      </c>
      <c r="DQ7" s="228">
        <v>0.28000000000000003</v>
      </c>
      <c r="DR7" s="229">
        <v>0.42420000000000002</v>
      </c>
      <c r="DS7" s="231">
        <v>9000</v>
      </c>
      <c r="DT7" s="231">
        <v>8000</v>
      </c>
      <c r="DU7" s="228">
        <v>0.8</v>
      </c>
      <c r="DV7" s="228">
        <v>0.55000000000000004</v>
      </c>
      <c r="DW7" s="228">
        <v>0.25</v>
      </c>
      <c r="DX7" s="229">
        <v>0.45450000000000002</v>
      </c>
      <c r="DY7" s="229">
        <v>0.92520000000000002</v>
      </c>
      <c r="DZ7" s="230">
        <v>2407425</v>
      </c>
      <c r="EA7" s="229">
        <v>6.1000000000000004E-3</v>
      </c>
      <c r="EB7" s="229">
        <v>0.92520000000000002</v>
      </c>
      <c r="EC7" s="228">
        <v>43.08</v>
      </c>
      <c r="ED7" s="229">
        <v>5.4000000000000003E-3</v>
      </c>
      <c r="EE7" s="230">
        <v>118269</v>
      </c>
      <c r="EF7" s="230">
        <v>135883</v>
      </c>
      <c r="EG7" s="229">
        <v>-0.12959999999999999</v>
      </c>
      <c r="EH7" s="229">
        <v>0.38319999999999999</v>
      </c>
      <c r="EI7" s="231">
        <v>139733.98000000001</v>
      </c>
      <c r="EJ7" s="231">
        <v>107223.9</v>
      </c>
      <c r="EK7" s="231">
        <v>112301.95</v>
      </c>
      <c r="EL7" s="228">
        <v>0</v>
      </c>
      <c r="EM7" s="231">
        <v>359259.83</v>
      </c>
      <c r="EN7" s="231">
        <v>339542.5</v>
      </c>
      <c r="EO7" s="231">
        <v>19717.330000000002</v>
      </c>
      <c r="EP7" s="229">
        <v>5.8099999999999999E-2</v>
      </c>
      <c r="EQ7" s="231">
        <v>37794</v>
      </c>
      <c r="ER7" s="231">
        <v>33422</v>
      </c>
      <c r="ES7" s="231">
        <v>220412</v>
      </c>
      <c r="ET7" s="231">
        <v>25086000</v>
      </c>
      <c r="EU7" s="231">
        <v>291628</v>
      </c>
      <c r="EV7" s="231">
        <v>428830</v>
      </c>
      <c r="EW7" s="231">
        <v>-137202</v>
      </c>
      <c r="EX7" s="229">
        <v>-0.31990000000000002</v>
      </c>
      <c r="EY7" s="229">
        <v>0.1434</v>
      </c>
    </row>
    <row r="8" spans="1:155" ht="17.25" thickBot="1" x14ac:dyDescent="0.3">
      <c r="A8" s="226">
        <v>45869</v>
      </c>
      <c r="B8" s="227" t="s">
        <v>175</v>
      </c>
      <c r="C8" s="227" t="s">
        <v>176</v>
      </c>
      <c r="D8" s="231">
        <v>1954.2</v>
      </c>
      <c r="E8" s="231">
        <v>1969.1</v>
      </c>
      <c r="F8" s="228">
        <v>-14.9</v>
      </c>
      <c r="G8" s="229">
        <v>-7.6E-3</v>
      </c>
      <c r="H8" s="231">
        <v>1948</v>
      </c>
      <c r="I8" s="231">
        <v>1959.8</v>
      </c>
      <c r="J8" s="228">
        <v>-11.8</v>
      </c>
      <c r="K8" s="229">
        <v>-6.0000000000000001E-3</v>
      </c>
      <c r="L8" s="231">
        <v>1945.7</v>
      </c>
      <c r="M8" s="231">
        <v>1957.1</v>
      </c>
      <c r="N8" s="228">
        <v>-11.4</v>
      </c>
      <c r="O8" s="229">
        <v>-5.7999999999999996E-3</v>
      </c>
      <c r="P8" s="231">
        <v>1954.2</v>
      </c>
      <c r="Q8" s="231">
        <v>1969.1</v>
      </c>
      <c r="R8" s="228">
        <v>-14.9</v>
      </c>
      <c r="S8" s="229">
        <v>-7.6E-3</v>
      </c>
      <c r="T8" s="231">
        <v>1966.1</v>
      </c>
      <c r="U8" s="231">
        <v>1981</v>
      </c>
      <c r="V8" s="228">
        <v>-14.9</v>
      </c>
      <c r="W8" s="229">
        <v>-7.4999999999999997E-3</v>
      </c>
      <c r="X8" s="228">
        <v>6.2</v>
      </c>
      <c r="Y8" s="228">
        <v>-2.7</v>
      </c>
      <c r="Z8" s="228">
        <v>8.9</v>
      </c>
      <c r="AA8" s="229">
        <v>3.2000000000000002E-3</v>
      </c>
      <c r="AB8" s="228">
        <v>-2.2999999999999998</v>
      </c>
      <c r="AC8" s="228">
        <v>-2.7</v>
      </c>
      <c r="AD8" s="228">
        <v>0.4</v>
      </c>
      <c r="AE8" s="229">
        <v>-1.1999999999999999E-3</v>
      </c>
      <c r="AF8" s="228">
        <v>6.2</v>
      </c>
      <c r="AG8" s="228">
        <v>9.3000000000000007</v>
      </c>
      <c r="AH8" s="228">
        <v>-3.1</v>
      </c>
      <c r="AI8" s="229">
        <v>3.2000000000000002E-3</v>
      </c>
      <c r="AJ8" s="228">
        <v>18.100000000000001</v>
      </c>
      <c r="AK8" s="228">
        <v>21.2</v>
      </c>
      <c r="AL8" s="228">
        <v>-3.1</v>
      </c>
      <c r="AM8" s="229">
        <v>9.2999999999999992E-3</v>
      </c>
      <c r="AN8" s="231">
        <v>1952.92</v>
      </c>
      <c r="AO8" s="231">
        <v>1962.69</v>
      </c>
      <c r="AP8" s="228">
        <v>0</v>
      </c>
      <c r="AQ8" s="230">
        <v>17290</v>
      </c>
      <c r="AR8" s="230">
        <v>17603</v>
      </c>
      <c r="AS8" s="228">
        <v>-313</v>
      </c>
      <c r="AT8" s="229">
        <v>-1.78E-2</v>
      </c>
      <c r="AU8" s="230">
        <v>7861</v>
      </c>
      <c r="AV8" s="230">
        <v>8461</v>
      </c>
      <c r="AW8" s="228">
        <v>-600</v>
      </c>
      <c r="AX8" s="229">
        <v>-7.0900000000000005E-2</v>
      </c>
      <c r="AY8" s="230">
        <v>9334</v>
      </c>
      <c r="AZ8" s="230">
        <v>8993</v>
      </c>
      <c r="BA8" s="228">
        <v>341</v>
      </c>
      <c r="BB8" s="229">
        <v>3.7900000000000003E-2</v>
      </c>
      <c r="BC8" s="228">
        <v>95</v>
      </c>
      <c r="BD8" s="228">
        <v>149</v>
      </c>
      <c r="BE8" s="228">
        <v>-54</v>
      </c>
      <c r="BF8" s="229">
        <v>-0.3624</v>
      </c>
      <c r="BG8" s="230">
        <v>14497</v>
      </c>
      <c r="BH8" s="230">
        <v>17527</v>
      </c>
      <c r="BI8" s="230">
        <v>-3030</v>
      </c>
      <c r="BJ8" s="229">
        <v>-0.1729</v>
      </c>
      <c r="BK8" s="230">
        <v>7383</v>
      </c>
      <c r="BL8" s="230">
        <v>9369</v>
      </c>
      <c r="BM8" s="230">
        <v>-1986</v>
      </c>
      <c r="BN8" s="229">
        <v>-0.21199999999999999</v>
      </c>
      <c r="BO8" s="230">
        <v>39170</v>
      </c>
      <c r="BP8" s="230">
        <v>44499</v>
      </c>
      <c r="BQ8" s="230">
        <v>-5329</v>
      </c>
      <c r="BR8" s="229">
        <v>-0.1198</v>
      </c>
      <c r="BS8" s="230">
        <v>1008038</v>
      </c>
      <c r="BT8" s="230">
        <v>963291</v>
      </c>
      <c r="BU8" s="230">
        <v>44747</v>
      </c>
      <c r="BV8" s="229">
        <v>4.65E-2</v>
      </c>
      <c r="BW8" s="230">
        <v>16236500</v>
      </c>
      <c r="BX8" s="230">
        <v>16553000</v>
      </c>
      <c r="BY8" s="230">
        <v>-316500</v>
      </c>
      <c r="BZ8" s="229">
        <v>-1.9099999999999999E-2</v>
      </c>
      <c r="CA8" s="230">
        <v>992500</v>
      </c>
      <c r="CB8" s="230">
        <v>2467500</v>
      </c>
      <c r="CC8" s="230">
        <v>-1475000</v>
      </c>
      <c r="CD8" s="229">
        <v>-0.5978</v>
      </c>
      <c r="CE8" s="230">
        <v>16103500</v>
      </c>
      <c r="CF8" s="230">
        <v>13970500</v>
      </c>
      <c r="CG8" s="230">
        <v>2133000</v>
      </c>
      <c r="CH8" s="229">
        <v>0.1527</v>
      </c>
      <c r="CI8" s="230">
        <v>133000</v>
      </c>
      <c r="CJ8" s="230">
        <v>115000</v>
      </c>
      <c r="CK8" s="230">
        <v>18000</v>
      </c>
      <c r="CL8" s="229">
        <v>0.1565</v>
      </c>
      <c r="CM8" s="230">
        <v>3290500</v>
      </c>
      <c r="CN8" s="230">
        <v>10069000</v>
      </c>
      <c r="CO8" s="230">
        <v>-6778500</v>
      </c>
      <c r="CP8" s="229">
        <v>-0.67320000000000002</v>
      </c>
      <c r="CQ8" s="230">
        <v>2060500</v>
      </c>
      <c r="CR8" s="230">
        <v>4448000</v>
      </c>
      <c r="CS8" s="230">
        <v>-2387500</v>
      </c>
      <c r="CT8" s="229">
        <v>-0.53680000000000005</v>
      </c>
      <c r="CU8" s="230">
        <v>21587500</v>
      </c>
      <c r="CV8" s="230">
        <v>31070000</v>
      </c>
      <c r="CW8" s="230">
        <v>-9482500</v>
      </c>
      <c r="CX8" s="229">
        <v>-0.30520000000000003</v>
      </c>
      <c r="CY8" s="228">
        <v>24.05</v>
      </c>
      <c r="CZ8" s="228">
        <v>24.02</v>
      </c>
      <c r="DA8" s="228">
        <v>0.03</v>
      </c>
      <c r="DB8" s="228">
        <v>0.03</v>
      </c>
      <c r="DC8" s="228">
        <v>29.92</v>
      </c>
      <c r="DD8" s="228">
        <v>29.98</v>
      </c>
      <c r="DE8" s="228">
        <v>-5.87</v>
      </c>
      <c r="DF8" s="228">
        <v>-0.06</v>
      </c>
      <c r="DG8" s="228">
        <v>24.45</v>
      </c>
      <c r="DH8" s="228">
        <v>24.1</v>
      </c>
      <c r="DI8" s="228">
        <v>0.35</v>
      </c>
      <c r="DJ8" s="228">
        <v>0.35</v>
      </c>
      <c r="DK8" s="228">
        <v>23.21</v>
      </c>
      <c r="DL8" s="228">
        <v>23.9</v>
      </c>
      <c r="DM8" s="228">
        <v>-0.69</v>
      </c>
      <c r="DN8" s="228">
        <v>-0.69</v>
      </c>
      <c r="DO8" s="228">
        <v>0.63</v>
      </c>
      <c r="DP8" s="228">
        <v>0.44</v>
      </c>
      <c r="DQ8" s="228">
        <v>0.19</v>
      </c>
      <c r="DR8" s="229">
        <v>0.43180000000000002</v>
      </c>
      <c r="DS8" s="231">
        <v>2100</v>
      </c>
      <c r="DT8" s="231">
        <v>1760</v>
      </c>
      <c r="DU8" s="228">
        <v>0.51</v>
      </c>
      <c r="DV8" s="228">
        <v>0.53</v>
      </c>
      <c r="DW8" s="228">
        <v>-0.02</v>
      </c>
      <c r="DX8" s="229">
        <v>-3.7699999999999997E-2</v>
      </c>
      <c r="DY8" s="229">
        <v>0.94240000000000002</v>
      </c>
      <c r="DZ8" s="230">
        <v>14085500</v>
      </c>
      <c r="EA8" s="229">
        <v>4.4000000000000003E-3</v>
      </c>
      <c r="EB8" s="229">
        <v>0.94240000000000002</v>
      </c>
      <c r="EC8" s="228">
        <v>9.77</v>
      </c>
      <c r="ED8" s="229">
        <v>5.0000000000000001E-3</v>
      </c>
      <c r="EE8" s="230">
        <v>476477</v>
      </c>
      <c r="EF8" s="230">
        <v>491479</v>
      </c>
      <c r="EG8" s="229">
        <v>-3.0499999999999999E-2</v>
      </c>
      <c r="EH8" s="229">
        <v>0.47270000000000001</v>
      </c>
      <c r="EI8" s="231">
        <v>147564.31</v>
      </c>
      <c r="EJ8" s="231">
        <v>73107.81</v>
      </c>
      <c r="EK8" s="231">
        <v>169295.77</v>
      </c>
      <c r="EL8" s="228">
        <v>0</v>
      </c>
      <c r="EM8" s="231">
        <v>389967.89</v>
      </c>
      <c r="EN8" s="231">
        <v>443765.56</v>
      </c>
      <c r="EO8" s="231">
        <v>-53797.67</v>
      </c>
      <c r="EP8" s="229">
        <v>-0.1212</v>
      </c>
      <c r="EQ8" s="231">
        <v>67619</v>
      </c>
      <c r="ER8" s="231">
        <v>39543</v>
      </c>
      <c r="ES8" s="231">
        <v>317310</v>
      </c>
      <c r="ET8" s="231">
        <v>125347779</v>
      </c>
      <c r="EU8" s="231">
        <v>424471</v>
      </c>
      <c r="EV8" s="231">
        <v>622348</v>
      </c>
      <c r="EW8" s="231">
        <v>-197877</v>
      </c>
      <c r="EX8" s="229">
        <v>-0.318</v>
      </c>
      <c r="EY8" s="229">
        <v>0.17219999999999999</v>
      </c>
    </row>
    <row r="9" spans="1:155" ht="17.25" thickBot="1" x14ac:dyDescent="0.3">
      <c r="A9" s="226">
        <v>45869</v>
      </c>
      <c r="B9" s="227" t="s">
        <v>175</v>
      </c>
      <c r="C9" s="227" t="s">
        <v>177</v>
      </c>
      <c r="D9" s="228">
        <v>883.95</v>
      </c>
      <c r="E9" s="228">
        <v>890.05</v>
      </c>
      <c r="F9" s="228">
        <v>-6.1</v>
      </c>
      <c r="G9" s="229">
        <v>-6.8999999999999999E-3</v>
      </c>
      <c r="H9" s="228">
        <v>881.2</v>
      </c>
      <c r="I9" s="228">
        <v>884.85</v>
      </c>
      <c r="J9" s="228">
        <v>-3.65</v>
      </c>
      <c r="K9" s="229">
        <v>-4.1000000000000003E-3</v>
      </c>
      <c r="L9" s="228">
        <v>879.8</v>
      </c>
      <c r="M9" s="228">
        <v>884.7</v>
      </c>
      <c r="N9" s="228">
        <v>-4.9000000000000004</v>
      </c>
      <c r="O9" s="229">
        <v>-5.4999999999999997E-3</v>
      </c>
      <c r="P9" s="228">
        <v>883.95</v>
      </c>
      <c r="Q9" s="228">
        <v>890.05</v>
      </c>
      <c r="R9" s="228">
        <v>-6.1</v>
      </c>
      <c r="S9" s="229">
        <v>-6.8999999999999999E-3</v>
      </c>
      <c r="T9" s="228">
        <v>889.15</v>
      </c>
      <c r="U9" s="228">
        <v>895.55</v>
      </c>
      <c r="V9" s="228">
        <v>-6.4</v>
      </c>
      <c r="W9" s="229">
        <v>-7.1000000000000004E-3</v>
      </c>
      <c r="X9" s="228">
        <v>2.75</v>
      </c>
      <c r="Y9" s="228">
        <v>-0.15</v>
      </c>
      <c r="Z9" s="228">
        <v>2.9</v>
      </c>
      <c r="AA9" s="229">
        <v>3.0999999999999999E-3</v>
      </c>
      <c r="AB9" s="228">
        <v>-1.4</v>
      </c>
      <c r="AC9" s="228">
        <v>-0.15</v>
      </c>
      <c r="AD9" s="228">
        <v>-1.25</v>
      </c>
      <c r="AE9" s="229">
        <v>-1.6000000000000001E-3</v>
      </c>
      <c r="AF9" s="228">
        <v>2.75</v>
      </c>
      <c r="AG9" s="228">
        <v>5.2</v>
      </c>
      <c r="AH9" s="228">
        <v>-2.4500000000000002</v>
      </c>
      <c r="AI9" s="229">
        <v>3.0999999999999999E-3</v>
      </c>
      <c r="AJ9" s="228">
        <v>7.95</v>
      </c>
      <c r="AK9" s="228">
        <v>10.7</v>
      </c>
      <c r="AL9" s="228">
        <v>-2.75</v>
      </c>
      <c r="AM9" s="229">
        <v>8.9999999999999993E-3</v>
      </c>
      <c r="AN9" s="228">
        <v>879.12</v>
      </c>
      <c r="AO9" s="228">
        <v>883.6</v>
      </c>
      <c r="AP9" s="228">
        <v>0</v>
      </c>
      <c r="AQ9" s="230">
        <v>57628</v>
      </c>
      <c r="AR9" s="230">
        <v>54797</v>
      </c>
      <c r="AS9" s="230">
        <v>2831</v>
      </c>
      <c r="AT9" s="229">
        <v>5.1700000000000003E-2</v>
      </c>
      <c r="AU9" s="230">
        <v>24563</v>
      </c>
      <c r="AV9" s="230">
        <v>25986</v>
      </c>
      <c r="AW9" s="230">
        <v>-1423</v>
      </c>
      <c r="AX9" s="229">
        <v>-5.4800000000000001E-2</v>
      </c>
      <c r="AY9" s="230">
        <v>32011</v>
      </c>
      <c r="AZ9" s="230">
        <v>28450</v>
      </c>
      <c r="BA9" s="230">
        <v>3561</v>
      </c>
      <c r="BB9" s="229">
        <v>0.12520000000000001</v>
      </c>
      <c r="BC9" s="230">
        <v>1054</v>
      </c>
      <c r="BD9" s="228">
        <v>361</v>
      </c>
      <c r="BE9" s="228">
        <v>693</v>
      </c>
      <c r="BF9" s="229">
        <v>1.9197</v>
      </c>
      <c r="BG9" s="230">
        <v>32508</v>
      </c>
      <c r="BH9" s="230">
        <v>37557</v>
      </c>
      <c r="BI9" s="230">
        <v>-5049</v>
      </c>
      <c r="BJ9" s="229">
        <v>-0.13439999999999999</v>
      </c>
      <c r="BK9" s="230">
        <v>18868</v>
      </c>
      <c r="BL9" s="230">
        <v>21180</v>
      </c>
      <c r="BM9" s="230">
        <v>-2312</v>
      </c>
      <c r="BN9" s="229">
        <v>-0.10920000000000001</v>
      </c>
      <c r="BO9" s="230">
        <v>109004</v>
      </c>
      <c r="BP9" s="230">
        <v>113534</v>
      </c>
      <c r="BQ9" s="230">
        <v>-4530</v>
      </c>
      <c r="BR9" s="229">
        <v>-3.9899999999999998E-2</v>
      </c>
      <c r="BS9" s="230">
        <v>7226802</v>
      </c>
      <c r="BT9" s="230">
        <v>5351837</v>
      </c>
      <c r="BU9" s="230">
        <v>1874965</v>
      </c>
      <c r="BV9" s="229">
        <v>0.3503</v>
      </c>
      <c r="BW9" s="230">
        <v>92869500</v>
      </c>
      <c r="BX9" s="230">
        <v>94972500</v>
      </c>
      <c r="BY9" s="230">
        <v>-2103000</v>
      </c>
      <c r="BZ9" s="229">
        <v>-2.2100000000000002E-2</v>
      </c>
      <c r="CA9" s="230">
        <v>2763750</v>
      </c>
      <c r="CB9" s="230">
        <v>13965750</v>
      </c>
      <c r="CC9" s="230">
        <v>-11202000</v>
      </c>
      <c r="CD9" s="229">
        <v>-0.80210000000000004</v>
      </c>
      <c r="CE9" s="230">
        <v>89979750</v>
      </c>
      <c r="CF9" s="230">
        <v>78220500</v>
      </c>
      <c r="CG9" s="230">
        <v>11759250</v>
      </c>
      <c r="CH9" s="229">
        <v>0.15029999999999999</v>
      </c>
      <c r="CI9" s="230">
        <v>2889750</v>
      </c>
      <c r="CJ9" s="230">
        <v>2786250</v>
      </c>
      <c r="CK9" s="230">
        <v>103500</v>
      </c>
      <c r="CL9" s="229">
        <v>3.7100000000000001E-2</v>
      </c>
      <c r="CM9" s="230">
        <v>18120750</v>
      </c>
      <c r="CN9" s="230">
        <v>33046500</v>
      </c>
      <c r="CO9" s="230">
        <v>-14925750</v>
      </c>
      <c r="CP9" s="229">
        <v>-0.45169999999999999</v>
      </c>
      <c r="CQ9" s="230">
        <v>9882000</v>
      </c>
      <c r="CR9" s="230">
        <v>16792500</v>
      </c>
      <c r="CS9" s="230">
        <v>-6910500</v>
      </c>
      <c r="CT9" s="229">
        <v>-0.41149999999999998</v>
      </c>
      <c r="CU9" s="230">
        <v>120872250</v>
      </c>
      <c r="CV9" s="230">
        <v>144811500</v>
      </c>
      <c r="CW9" s="230">
        <v>-23939250</v>
      </c>
      <c r="CX9" s="229">
        <v>-0.1653</v>
      </c>
      <c r="CY9" s="228">
        <v>26.34</v>
      </c>
      <c r="CZ9" s="228">
        <v>26.5</v>
      </c>
      <c r="DA9" s="228">
        <v>-0.16</v>
      </c>
      <c r="DB9" s="228">
        <v>-0.16</v>
      </c>
      <c r="DC9" s="228">
        <v>31.67</v>
      </c>
      <c r="DD9" s="228">
        <v>31.75</v>
      </c>
      <c r="DE9" s="228">
        <v>-5.33</v>
      </c>
      <c r="DF9" s="228">
        <v>-0.08</v>
      </c>
      <c r="DG9" s="228">
        <v>26.74</v>
      </c>
      <c r="DH9" s="228">
        <v>26.4</v>
      </c>
      <c r="DI9" s="228">
        <v>0.34</v>
      </c>
      <c r="DJ9" s="228">
        <v>0.34</v>
      </c>
      <c r="DK9" s="228">
        <v>25.64</v>
      </c>
      <c r="DL9" s="228">
        <v>26.68</v>
      </c>
      <c r="DM9" s="228">
        <v>-1.04</v>
      </c>
      <c r="DN9" s="228">
        <v>-1.04</v>
      </c>
      <c r="DO9" s="228">
        <v>0.55000000000000004</v>
      </c>
      <c r="DP9" s="228">
        <v>0.51</v>
      </c>
      <c r="DQ9" s="228">
        <v>0.04</v>
      </c>
      <c r="DR9" s="229">
        <v>7.8399999999999997E-2</v>
      </c>
      <c r="DS9" s="228">
        <v>900</v>
      </c>
      <c r="DT9" s="228">
        <v>900</v>
      </c>
      <c r="DU9" s="228">
        <v>0.57999999999999996</v>
      </c>
      <c r="DV9" s="228">
        <v>0.56000000000000005</v>
      </c>
      <c r="DW9" s="228">
        <v>0.02</v>
      </c>
      <c r="DX9" s="229">
        <v>3.5700000000000003E-2</v>
      </c>
      <c r="DY9" s="229">
        <v>0.97109999999999996</v>
      </c>
      <c r="DZ9" s="230">
        <v>81006750</v>
      </c>
      <c r="EA9" s="229">
        <v>4.7000000000000002E-3</v>
      </c>
      <c r="EB9" s="229">
        <v>0.97109999999999996</v>
      </c>
      <c r="EC9" s="228">
        <v>4.4800000000000004</v>
      </c>
      <c r="ED9" s="229">
        <v>5.1000000000000004E-3</v>
      </c>
      <c r="EE9" s="230">
        <v>4030617</v>
      </c>
      <c r="EF9" s="230">
        <v>2759706</v>
      </c>
      <c r="EG9" s="229">
        <v>0.46050000000000002</v>
      </c>
      <c r="EH9" s="229">
        <v>0.55769999999999997</v>
      </c>
      <c r="EI9" s="231">
        <v>228929.41</v>
      </c>
      <c r="EJ9" s="231">
        <v>128373.81</v>
      </c>
      <c r="EK9" s="231">
        <v>381108.26</v>
      </c>
      <c r="EL9" s="228">
        <v>0</v>
      </c>
      <c r="EM9" s="231">
        <v>738411.48</v>
      </c>
      <c r="EN9" s="231">
        <v>769369.65</v>
      </c>
      <c r="EO9" s="231">
        <v>-30958.17</v>
      </c>
      <c r="EP9" s="229">
        <v>-4.02E-2</v>
      </c>
      <c r="EQ9" s="231">
        <v>172596</v>
      </c>
      <c r="ER9" s="231">
        <v>86886</v>
      </c>
      <c r="ES9" s="231">
        <v>821070</v>
      </c>
      <c r="ET9" s="231">
        <v>562142812</v>
      </c>
      <c r="EU9" s="231">
        <v>1080553</v>
      </c>
      <c r="EV9" s="231">
        <v>1311216</v>
      </c>
      <c r="EW9" s="231">
        <v>-230663</v>
      </c>
      <c r="EX9" s="229">
        <v>-0.1759</v>
      </c>
      <c r="EY9" s="229">
        <v>0.215</v>
      </c>
    </row>
    <row r="10" spans="1:155" ht="17.25" thickBot="1" x14ac:dyDescent="0.3">
      <c r="A10" s="226">
        <v>45869</v>
      </c>
      <c r="B10" s="227" t="s">
        <v>184</v>
      </c>
      <c r="C10" s="227" t="s">
        <v>185</v>
      </c>
      <c r="D10" s="228">
        <v>384.9</v>
      </c>
      <c r="E10" s="228">
        <v>388.2</v>
      </c>
      <c r="F10" s="228">
        <v>-3.3</v>
      </c>
      <c r="G10" s="229">
        <v>-8.5000000000000006E-3</v>
      </c>
      <c r="H10" s="228">
        <v>383.1</v>
      </c>
      <c r="I10" s="228">
        <v>386.5</v>
      </c>
      <c r="J10" s="228">
        <v>-3.4</v>
      </c>
      <c r="K10" s="229">
        <v>-8.8000000000000005E-3</v>
      </c>
      <c r="L10" s="228">
        <v>383.25</v>
      </c>
      <c r="M10" s="228">
        <v>386.65</v>
      </c>
      <c r="N10" s="228">
        <v>-3.4</v>
      </c>
      <c r="O10" s="229">
        <v>-8.8000000000000005E-3</v>
      </c>
      <c r="P10" s="228">
        <v>384.9</v>
      </c>
      <c r="Q10" s="228">
        <v>388.2</v>
      </c>
      <c r="R10" s="228">
        <v>-3.3</v>
      </c>
      <c r="S10" s="229">
        <v>-8.5000000000000006E-3</v>
      </c>
      <c r="T10" s="228">
        <v>386.75</v>
      </c>
      <c r="U10" s="228">
        <v>390.15</v>
      </c>
      <c r="V10" s="228">
        <v>-3.4</v>
      </c>
      <c r="W10" s="229">
        <v>-8.6999999999999994E-3</v>
      </c>
      <c r="X10" s="228">
        <v>1.8</v>
      </c>
      <c r="Y10" s="228">
        <v>0.15</v>
      </c>
      <c r="Z10" s="228">
        <v>1.65</v>
      </c>
      <c r="AA10" s="229">
        <v>4.7000000000000002E-3</v>
      </c>
      <c r="AB10" s="228">
        <v>0.15</v>
      </c>
      <c r="AC10" s="228">
        <v>0.15</v>
      </c>
      <c r="AD10" s="228">
        <v>0</v>
      </c>
      <c r="AE10" s="229">
        <v>4.0000000000000002E-4</v>
      </c>
      <c r="AF10" s="228">
        <v>1.8</v>
      </c>
      <c r="AG10" s="228">
        <v>1.7</v>
      </c>
      <c r="AH10" s="228">
        <v>0.1</v>
      </c>
      <c r="AI10" s="229">
        <v>4.7000000000000002E-3</v>
      </c>
      <c r="AJ10" s="228">
        <v>3.65</v>
      </c>
      <c r="AK10" s="228">
        <v>3.65</v>
      </c>
      <c r="AL10" s="228">
        <v>0</v>
      </c>
      <c r="AM10" s="229">
        <v>9.4999999999999998E-3</v>
      </c>
      <c r="AN10" s="228">
        <v>384.89</v>
      </c>
      <c r="AO10" s="228">
        <v>386.32</v>
      </c>
      <c r="AP10" s="228">
        <v>0</v>
      </c>
      <c r="AQ10" s="230">
        <v>23362</v>
      </c>
      <c r="AR10" s="230">
        <v>19501</v>
      </c>
      <c r="AS10" s="230">
        <v>3861</v>
      </c>
      <c r="AT10" s="229">
        <v>0.19800000000000001</v>
      </c>
      <c r="AU10" s="230">
        <v>10013</v>
      </c>
      <c r="AV10" s="230">
        <v>8988</v>
      </c>
      <c r="AW10" s="230">
        <v>1025</v>
      </c>
      <c r="AX10" s="229">
        <v>0.114</v>
      </c>
      <c r="AY10" s="230">
        <v>12576</v>
      </c>
      <c r="AZ10" s="230">
        <v>9729</v>
      </c>
      <c r="BA10" s="230">
        <v>2847</v>
      </c>
      <c r="BB10" s="229">
        <v>0.29260000000000003</v>
      </c>
      <c r="BC10" s="228">
        <v>773</v>
      </c>
      <c r="BD10" s="228">
        <v>784</v>
      </c>
      <c r="BE10" s="228">
        <v>-11</v>
      </c>
      <c r="BF10" s="229">
        <v>-1.4E-2</v>
      </c>
      <c r="BG10" s="230">
        <v>32119</v>
      </c>
      <c r="BH10" s="230">
        <v>45177</v>
      </c>
      <c r="BI10" s="230">
        <v>-13058</v>
      </c>
      <c r="BJ10" s="229">
        <v>-0.28899999999999998</v>
      </c>
      <c r="BK10" s="230">
        <v>20643</v>
      </c>
      <c r="BL10" s="230">
        <v>16617</v>
      </c>
      <c r="BM10" s="230">
        <v>4026</v>
      </c>
      <c r="BN10" s="229">
        <v>0.24229999999999999</v>
      </c>
      <c r="BO10" s="230">
        <v>76124</v>
      </c>
      <c r="BP10" s="230">
        <v>81295</v>
      </c>
      <c r="BQ10" s="230">
        <v>-5171</v>
      </c>
      <c r="BR10" s="229">
        <v>-6.3600000000000004E-2</v>
      </c>
      <c r="BS10" s="230">
        <v>10201282</v>
      </c>
      <c r="BT10" s="230">
        <v>11972982</v>
      </c>
      <c r="BU10" s="230">
        <v>-1771700</v>
      </c>
      <c r="BV10" s="229">
        <v>-0.14799999999999999</v>
      </c>
      <c r="BW10" s="230">
        <v>118175250</v>
      </c>
      <c r="BX10" s="230">
        <v>125716350</v>
      </c>
      <c r="BY10" s="230">
        <v>-7541100</v>
      </c>
      <c r="BZ10" s="229">
        <v>-0.06</v>
      </c>
      <c r="CA10" s="230">
        <v>8299200</v>
      </c>
      <c r="CB10" s="230">
        <v>25402050</v>
      </c>
      <c r="CC10" s="230">
        <v>-17102850</v>
      </c>
      <c r="CD10" s="229">
        <v>-0.67330000000000001</v>
      </c>
      <c r="CE10" s="230">
        <v>114267900</v>
      </c>
      <c r="CF10" s="230">
        <v>96834450</v>
      </c>
      <c r="CG10" s="230">
        <v>17433450</v>
      </c>
      <c r="CH10" s="229">
        <v>0.18</v>
      </c>
      <c r="CI10" s="230">
        <v>3907350</v>
      </c>
      <c r="CJ10" s="230">
        <v>3479850</v>
      </c>
      <c r="CK10" s="230">
        <v>427500</v>
      </c>
      <c r="CL10" s="229">
        <v>0.1229</v>
      </c>
      <c r="CM10" s="230">
        <v>44340300</v>
      </c>
      <c r="CN10" s="230">
        <v>99593250</v>
      </c>
      <c r="CO10" s="230">
        <v>-55252950</v>
      </c>
      <c r="CP10" s="229">
        <v>-0.55479999999999996</v>
      </c>
      <c r="CQ10" s="230">
        <v>31084950</v>
      </c>
      <c r="CR10" s="230">
        <v>52243350</v>
      </c>
      <c r="CS10" s="230">
        <v>-21158400</v>
      </c>
      <c r="CT10" s="229">
        <v>-0.40500000000000003</v>
      </c>
      <c r="CU10" s="230">
        <v>193600500</v>
      </c>
      <c r="CV10" s="230">
        <v>277552950</v>
      </c>
      <c r="CW10" s="230">
        <v>-83952450</v>
      </c>
      <c r="CX10" s="229">
        <v>-0.30249999999999999</v>
      </c>
      <c r="CY10" s="228">
        <v>26.04</v>
      </c>
      <c r="CZ10" s="228">
        <v>26.55</v>
      </c>
      <c r="DA10" s="228">
        <v>-0.51</v>
      </c>
      <c r="DB10" s="228">
        <v>-0.51</v>
      </c>
      <c r="DC10" s="228">
        <v>40.200000000000003</v>
      </c>
      <c r="DD10" s="228">
        <v>40.29</v>
      </c>
      <c r="DE10" s="228">
        <v>-14.16</v>
      </c>
      <c r="DF10" s="228">
        <v>-0.09</v>
      </c>
      <c r="DG10" s="228">
        <v>26.3</v>
      </c>
      <c r="DH10" s="228">
        <v>26.82</v>
      </c>
      <c r="DI10" s="228">
        <v>-0.52</v>
      </c>
      <c r="DJ10" s="228">
        <v>-0.52</v>
      </c>
      <c r="DK10" s="228">
        <v>25.68</v>
      </c>
      <c r="DL10" s="228">
        <v>26.07</v>
      </c>
      <c r="DM10" s="228">
        <v>-0.39</v>
      </c>
      <c r="DN10" s="228">
        <v>-0.39</v>
      </c>
      <c r="DO10" s="228">
        <v>0.7</v>
      </c>
      <c r="DP10" s="228">
        <v>0.52</v>
      </c>
      <c r="DQ10" s="228">
        <v>0.18</v>
      </c>
      <c r="DR10" s="229">
        <v>0.34620000000000001</v>
      </c>
      <c r="DS10" s="228">
        <v>400</v>
      </c>
      <c r="DT10" s="228">
        <v>390</v>
      </c>
      <c r="DU10" s="228">
        <v>0.64</v>
      </c>
      <c r="DV10" s="228">
        <v>0.37</v>
      </c>
      <c r="DW10" s="228">
        <v>0.27</v>
      </c>
      <c r="DX10" s="229">
        <v>0.72970000000000002</v>
      </c>
      <c r="DY10" s="229">
        <v>0.93440000000000001</v>
      </c>
      <c r="DZ10" s="230">
        <v>100314300</v>
      </c>
      <c r="EA10" s="229">
        <v>4.3E-3</v>
      </c>
      <c r="EB10" s="229">
        <v>0.93440000000000001</v>
      </c>
      <c r="EC10" s="228">
        <v>1.43</v>
      </c>
      <c r="ED10" s="229">
        <v>3.7000000000000002E-3</v>
      </c>
      <c r="EE10" s="230">
        <v>4413062</v>
      </c>
      <c r="EF10" s="230">
        <v>5644200</v>
      </c>
      <c r="EG10" s="229">
        <v>-0.21809999999999999</v>
      </c>
      <c r="EH10" s="229">
        <v>0.43259999999999998</v>
      </c>
      <c r="EI10" s="231">
        <v>369416.01</v>
      </c>
      <c r="EJ10" s="231">
        <v>231891.57</v>
      </c>
      <c r="EK10" s="231">
        <v>256837.54</v>
      </c>
      <c r="EL10" s="228">
        <v>0</v>
      </c>
      <c r="EM10" s="231">
        <v>858145.12</v>
      </c>
      <c r="EN10" s="231">
        <v>925206.26</v>
      </c>
      <c r="EO10" s="231">
        <v>-67061.14</v>
      </c>
      <c r="EP10" s="229">
        <v>-7.2499999999999995E-2</v>
      </c>
      <c r="EQ10" s="231">
        <v>183097</v>
      </c>
      <c r="ER10" s="231">
        <v>119908</v>
      </c>
      <c r="ES10" s="231">
        <v>454929</v>
      </c>
      <c r="ET10" s="231">
        <v>714371379</v>
      </c>
      <c r="EU10" s="231">
        <v>757934</v>
      </c>
      <c r="EV10" s="231">
        <v>1109143</v>
      </c>
      <c r="EW10" s="231">
        <v>-351209</v>
      </c>
      <c r="EX10" s="229">
        <v>-0.31659999999999999</v>
      </c>
      <c r="EY10" s="229">
        <v>0.27100000000000002</v>
      </c>
    </row>
    <row r="11" spans="1:155" ht="17.25" thickBot="1" x14ac:dyDescent="0.3">
      <c r="A11" s="226">
        <v>45869</v>
      </c>
      <c r="B11" s="227" t="s">
        <v>188</v>
      </c>
      <c r="C11" s="227" t="s">
        <v>189</v>
      </c>
      <c r="D11" s="231">
        <v>1921.7</v>
      </c>
      <c r="E11" s="231">
        <v>1943.6</v>
      </c>
      <c r="F11" s="228">
        <v>-21.9</v>
      </c>
      <c r="G11" s="229">
        <v>-1.1299999999999999E-2</v>
      </c>
      <c r="H11" s="231">
        <v>1914.3</v>
      </c>
      <c r="I11" s="231">
        <v>1932.6</v>
      </c>
      <c r="J11" s="228">
        <v>-18.3</v>
      </c>
      <c r="K11" s="229">
        <v>-9.4999999999999998E-3</v>
      </c>
      <c r="L11" s="231">
        <v>1911.1</v>
      </c>
      <c r="M11" s="231">
        <v>1932.6</v>
      </c>
      <c r="N11" s="228">
        <v>-21.5</v>
      </c>
      <c r="O11" s="229">
        <v>-1.11E-2</v>
      </c>
      <c r="P11" s="231">
        <v>1921.7</v>
      </c>
      <c r="Q11" s="231">
        <v>1943.6</v>
      </c>
      <c r="R11" s="228">
        <v>-21.9</v>
      </c>
      <c r="S11" s="229">
        <v>-1.1299999999999999E-2</v>
      </c>
      <c r="T11" s="231">
        <v>1932.8</v>
      </c>
      <c r="U11" s="231">
        <v>1955</v>
      </c>
      <c r="V11" s="228">
        <v>-22.2</v>
      </c>
      <c r="W11" s="229">
        <v>-1.14E-2</v>
      </c>
      <c r="X11" s="228">
        <v>7.4</v>
      </c>
      <c r="Y11" s="228">
        <v>0</v>
      </c>
      <c r="Z11" s="228">
        <v>7.4</v>
      </c>
      <c r="AA11" s="229">
        <v>3.8999999999999998E-3</v>
      </c>
      <c r="AB11" s="228">
        <v>-3.2</v>
      </c>
      <c r="AC11" s="228">
        <v>0</v>
      </c>
      <c r="AD11" s="228">
        <v>-3.2</v>
      </c>
      <c r="AE11" s="229">
        <v>-1.6999999999999999E-3</v>
      </c>
      <c r="AF11" s="228">
        <v>7.4</v>
      </c>
      <c r="AG11" s="228">
        <v>11</v>
      </c>
      <c r="AH11" s="228">
        <v>-3.6</v>
      </c>
      <c r="AI11" s="229">
        <v>3.8999999999999998E-3</v>
      </c>
      <c r="AJ11" s="228">
        <v>18.5</v>
      </c>
      <c r="AK11" s="228">
        <v>22.4</v>
      </c>
      <c r="AL11" s="228">
        <v>-3.9</v>
      </c>
      <c r="AM11" s="229">
        <v>9.7000000000000003E-3</v>
      </c>
      <c r="AN11" s="231">
        <v>1908.9</v>
      </c>
      <c r="AO11" s="231">
        <v>1919.68</v>
      </c>
      <c r="AP11" s="228">
        <v>0</v>
      </c>
      <c r="AQ11" s="230">
        <v>34637</v>
      </c>
      <c r="AR11" s="230">
        <v>42198</v>
      </c>
      <c r="AS11" s="230">
        <v>-7561</v>
      </c>
      <c r="AT11" s="229">
        <v>-0.1792</v>
      </c>
      <c r="AU11" s="230">
        <v>15622</v>
      </c>
      <c r="AV11" s="230">
        <v>21142</v>
      </c>
      <c r="AW11" s="230">
        <v>-5520</v>
      </c>
      <c r="AX11" s="229">
        <v>-0.2611</v>
      </c>
      <c r="AY11" s="230">
        <v>18839</v>
      </c>
      <c r="AZ11" s="230">
        <v>20933</v>
      </c>
      <c r="BA11" s="230">
        <v>-2094</v>
      </c>
      <c r="BB11" s="229">
        <v>-0.1</v>
      </c>
      <c r="BC11" s="228">
        <v>176</v>
      </c>
      <c r="BD11" s="228">
        <v>123</v>
      </c>
      <c r="BE11" s="228">
        <v>53</v>
      </c>
      <c r="BF11" s="229">
        <v>0.43090000000000001</v>
      </c>
      <c r="BG11" s="230">
        <v>28533</v>
      </c>
      <c r="BH11" s="230">
        <v>46010</v>
      </c>
      <c r="BI11" s="230">
        <v>-17477</v>
      </c>
      <c r="BJ11" s="229">
        <v>-0.37990000000000002</v>
      </c>
      <c r="BK11" s="230">
        <v>14998</v>
      </c>
      <c r="BL11" s="230">
        <v>19032</v>
      </c>
      <c r="BM11" s="230">
        <v>-4034</v>
      </c>
      <c r="BN11" s="229">
        <v>-0.21199999999999999</v>
      </c>
      <c r="BO11" s="230">
        <v>78168</v>
      </c>
      <c r="BP11" s="230">
        <v>107240</v>
      </c>
      <c r="BQ11" s="230">
        <v>-29072</v>
      </c>
      <c r="BR11" s="229">
        <v>-0.27110000000000001</v>
      </c>
      <c r="BS11" s="230">
        <v>5301549</v>
      </c>
      <c r="BT11" s="230">
        <v>5306088</v>
      </c>
      <c r="BU11" s="230">
        <v>-4539</v>
      </c>
      <c r="BV11" s="229">
        <v>-8.9999999999999998E-4</v>
      </c>
      <c r="BW11" s="230">
        <v>44553575</v>
      </c>
      <c r="BX11" s="230">
        <v>47662925</v>
      </c>
      <c r="BY11" s="230">
        <v>-3109350</v>
      </c>
      <c r="BZ11" s="229">
        <v>-6.5199999999999994E-2</v>
      </c>
      <c r="CA11" s="230">
        <v>3514525</v>
      </c>
      <c r="CB11" s="230">
        <v>8634550</v>
      </c>
      <c r="CC11" s="230">
        <v>-5120025</v>
      </c>
      <c r="CD11" s="229">
        <v>-0.59299999999999997</v>
      </c>
      <c r="CE11" s="230">
        <v>42769000</v>
      </c>
      <c r="CF11" s="230">
        <v>37251400</v>
      </c>
      <c r="CG11" s="230">
        <v>5517600</v>
      </c>
      <c r="CH11" s="229">
        <v>0.14810000000000001</v>
      </c>
      <c r="CI11" s="230">
        <v>1784575</v>
      </c>
      <c r="CJ11" s="230">
        <v>1776975</v>
      </c>
      <c r="CK11" s="230">
        <v>7600</v>
      </c>
      <c r="CL11" s="229">
        <v>4.3E-3</v>
      </c>
      <c r="CM11" s="230">
        <v>4568075</v>
      </c>
      <c r="CN11" s="230">
        <v>16831150</v>
      </c>
      <c r="CO11" s="230">
        <v>-12263075</v>
      </c>
      <c r="CP11" s="229">
        <v>-0.72860000000000003</v>
      </c>
      <c r="CQ11" s="230">
        <v>2858075</v>
      </c>
      <c r="CR11" s="230">
        <v>7743925</v>
      </c>
      <c r="CS11" s="230">
        <v>-4885850</v>
      </c>
      <c r="CT11" s="229">
        <v>-0.63090000000000002</v>
      </c>
      <c r="CU11" s="230">
        <v>51979725</v>
      </c>
      <c r="CV11" s="230">
        <v>72238000</v>
      </c>
      <c r="CW11" s="230">
        <v>-20258275</v>
      </c>
      <c r="CX11" s="229">
        <v>-0.28039999999999998</v>
      </c>
      <c r="CY11" s="228">
        <v>20.6</v>
      </c>
      <c r="CZ11" s="228">
        <v>21.37</v>
      </c>
      <c r="DA11" s="228">
        <v>-0.77</v>
      </c>
      <c r="DB11" s="228">
        <v>-0.77</v>
      </c>
      <c r="DC11" s="228">
        <v>26.35</v>
      </c>
      <c r="DD11" s="228">
        <v>26.39</v>
      </c>
      <c r="DE11" s="228">
        <v>-5.75</v>
      </c>
      <c r="DF11" s="228">
        <v>-0.04</v>
      </c>
      <c r="DG11" s="228">
        <v>20.68</v>
      </c>
      <c r="DH11" s="228">
        <v>21.18</v>
      </c>
      <c r="DI11" s="228">
        <v>-0.5</v>
      </c>
      <c r="DJ11" s="228">
        <v>-0.5</v>
      </c>
      <c r="DK11" s="228">
        <v>20.45</v>
      </c>
      <c r="DL11" s="228">
        <v>21.98</v>
      </c>
      <c r="DM11" s="228">
        <v>-1.53</v>
      </c>
      <c r="DN11" s="228">
        <v>-1.53</v>
      </c>
      <c r="DO11" s="228">
        <v>0.63</v>
      </c>
      <c r="DP11" s="228">
        <v>0.46</v>
      </c>
      <c r="DQ11" s="228">
        <v>0.17</v>
      </c>
      <c r="DR11" s="229">
        <v>0.36959999999999998</v>
      </c>
      <c r="DS11" s="231">
        <v>2040</v>
      </c>
      <c r="DT11" s="231">
        <v>2020</v>
      </c>
      <c r="DU11" s="228">
        <v>0.53</v>
      </c>
      <c r="DV11" s="228">
        <v>0.41</v>
      </c>
      <c r="DW11" s="228">
        <v>0.12</v>
      </c>
      <c r="DX11" s="229">
        <v>0.29270000000000002</v>
      </c>
      <c r="DY11" s="229">
        <v>0.92689999999999995</v>
      </c>
      <c r="DZ11" s="230">
        <v>39028375</v>
      </c>
      <c r="EA11" s="229">
        <v>5.4999999999999997E-3</v>
      </c>
      <c r="EB11" s="229">
        <v>0.92689999999999995</v>
      </c>
      <c r="EC11" s="228">
        <v>10.78</v>
      </c>
      <c r="ED11" s="229">
        <v>5.5999999999999999E-3</v>
      </c>
      <c r="EE11" s="230">
        <v>3005828</v>
      </c>
      <c r="EF11" s="230">
        <v>3598876</v>
      </c>
      <c r="EG11" s="229">
        <v>-0.1648</v>
      </c>
      <c r="EH11" s="229">
        <v>0.56699999999999995</v>
      </c>
      <c r="EI11" s="231">
        <v>268860.15000000002</v>
      </c>
      <c r="EJ11" s="231">
        <v>137718.91</v>
      </c>
      <c r="EK11" s="231">
        <v>315046.01</v>
      </c>
      <c r="EL11" s="228">
        <v>0</v>
      </c>
      <c r="EM11" s="231">
        <v>721625.07</v>
      </c>
      <c r="EN11" s="231">
        <v>993378.2</v>
      </c>
      <c r="EO11" s="231">
        <v>-271753.13</v>
      </c>
      <c r="EP11" s="229">
        <v>-0.27360000000000001</v>
      </c>
      <c r="EQ11" s="231">
        <v>91249</v>
      </c>
      <c r="ER11" s="231">
        <v>53920</v>
      </c>
      <c r="ES11" s="231">
        <v>856384</v>
      </c>
      <c r="ET11" s="231">
        <v>579085354</v>
      </c>
      <c r="EU11" s="231">
        <v>1001553</v>
      </c>
      <c r="EV11" s="231">
        <v>1412345</v>
      </c>
      <c r="EW11" s="231">
        <v>-410792</v>
      </c>
      <c r="EX11" s="229">
        <v>-0.29089999999999999</v>
      </c>
      <c r="EY11" s="229">
        <v>8.9800000000000005E-2</v>
      </c>
    </row>
    <row r="12" spans="1:155" ht="17.25" thickBot="1" x14ac:dyDescent="0.3">
      <c r="A12" s="226">
        <v>45869</v>
      </c>
      <c r="B12" s="227" t="s">
        <v>170</v>
      </c>
      <c r="C12" s="227" t="s">
        <v>199</v>
      </c>
      <c r="D12" s="231">
        <v>1560.8</v>
      </c>
      <c r="E12" s="231">
        <v>1567.4</v>
      </c>
      <c r="F12" s="228">
        <v>-6.6</v>
      </c>
      <c r="G12" s="229">
        <v>-4.1999999999999997E-3</v>
      </c>
      <c r="H12" s="231">
        <v>1554.6</v>
      </c>
      <c r="I12" s="231">
        <v>1559.4</v>
      </c>
      <c r="J12" s="228">
        <v>-4.8</v>
      </c>
      <c r="K12" s="229">
        <v>-3.0999999999999999E-3</v>
      </c>
      <c r="L12" s="231">
        <v>1555.9</v>
      </c>
      <c r="M12" s="231">
        <v>1559</v>
      </c>
      <c r="N12" s="228">
        <v>-3.1</v>
      </c>
      <c r="O12" s="229">
        <v>-2E-3</v>
      </c>
      <c r="P12" s="231">
        <v>1560.8</v>
      </c>
      <c r="Q12" s="231">
        <v>1567.4</v>
      </c>
      <c r="R12" s="228">
        <v>-6.6</v>
      </c>
      <c r="S12" s="229">
        <v>-4.1999999999999997E-3</v>
      </c>
      <c r="T12" s="231">
        <v>1569</v>
      </c>
      <c r="U12" s="231">
        <v>1578.4</v>
      </c>
      <c r="V12" s="228">
        <v>-9.4</v>
      </c>
      <c r="W12" s="229">
        <v>-6.0000000000000001E-3</v>
      </c>
      <c r="X12" s="228">
        <v>6.2</v>
      </c>
      <c r="Y12" s="228">
        <v>-0.4</v>
      </c>
      <c r="Z12" s="228">
        <v>6.6</v>
      </c>
      <c r="AA12" s="229">
        <v>4.0000000000000001E-3</v>
      </c>
      <c r="AB12" s="228">
        <v>1.3</v>
      </c>
      <c r="AC12" s="228">
        <v>-0.4</v>
      </c>
      <c r="AD12" s="228">
        <v>1.7</v>
      </c>
      <c r="AE12" s="229">
        <v>8.0000000000000004E-4</v>
      </c>
      <c r="AF12" s="228">
        <v>6.2</v>
      </c>
      <c r="AG12" s="228">
        <v>8</v>
      </c>
      <c r="AH12" s="228">
        <v>-1.8</v>
      </c>
      <c r="AI12" s="229">
        <v>4.0000000000000001E-3</v>
      </c>
      <c r="AJ12" s="228">
        <v>14.4</v>
      </c>
      <c r="AK12" s="228">
        <v>19</v>
      </c>
      <c r="AL12" s="228">
        <v>-4.5999999999999996</v>
      </c>
      <c r="AM12" s="229">
        <v>9.2999999999999992E-3</v>
      </c>
      <c r="AN12" s="231">
        <v>1548.92</v>
      </c>
      <c r="AO12" s="231">
        <v>1556.44</v>
      </c>
      <c r="AP12" s="228">
        <v>0</v>
      </c>
      <c r="AQ12" s="230">
        <v>12152</v>
      </c>
      <c r="AR12" s="230">
        <v>20525</v>
      </c>
      <c r="AS12" s="230">
        <v>-8373</v>
      </c>
      <c r="AT12" s="229">
        <v>-0.40789999999999998</v>
      </c>
      <c r="AU12" s="230">
        <v>5161</v>
      </c>
      <c r="AV12" s="230">
        <v>9688</v>
      </c>
      <c r="AW12" s="230">
        <v>-4527</v>
      </c>
      <c r="AX12" s="229">
        <v>-0.46729999999999999</v>
      </c>
      <c r="AY12" s="230">
        <v>6912</v>
      </c>
      <c r="AZ12" s="230">
        <v>10773</v>
      </c>
      <c r="BA12" s="230">
        <v>-3861</v>
      </c>
      <c r="BB12" s="229">
        <v>-0.3584</v>
      </c>
      <c r="BC12" s="228">
        <v>79</v>
      </c>
      <c r="BD12" s="228">
        <v>64</v>
      </c>
      <c r="BE12" s="228">
        <v>15</v>
      </c>
      <c r="BF12" s="229">
        <v>0.2344</v>
      </c>
      <c r="BG12" s="230">
        <v>9839</v>
      </c>
      <c r="BH12" s="230">
        <v>17574</v>
      </c>
      <c r="BI12" s="230">
        <v>-7735</v>
      </c>
      <c r="BJ12" s="229">
        <v>-0.44009999999999999</v>
      </c>
      <c r="BK12" s="230">
        <v>9986</v>
      </c>
      <c r="BL12" s="230">
        <v>10480</v>
      </c>
      <c r="BM12" s="228">
        <v>-494</v>
      </c>
      <c r="BN12" s="229">
        <v>-4.7100000000000003E-2</v>
      </c>
      <c r="BO12" s="230">
        <v>31977</v>
      </c>
      <c r="BP12" s="230">
        <v>48579</v>
      </c>
      <c r="BQ12" s="230">
        <v>-16602</v>
      </c>
      <c r="BR12" s="229">
        <v>-0.34179999999999999</v>
      </c>
      <c r="BS12" s="230">
        <v>2515103</v>
      </c>
      <c r="BT12" s="230">
        <v>1428250</v>
      </c>
      <c r="BU12" s="230">
        <v>1086853</v>
      </c>
      <c r="BV12" s="229">
        <v>0.76100000000000001</v>
      </c>
      <c r="BW12" s="230">
        <v>11882250</v>
      </c>
      <c r="BX12" s="230">
        <v>12525750</v>
      </c>
      <c r="BY12" s="230">
        <v>-643500</v>
      </c>
      <c r="BZ12" s="229">
        <v>-5.1400000000000001E-2</v>
      </c>
      <c r="CA12" s="230">
        <v>496125</v>
      </c>
      <c r="CB12" s="230">
        <v>1636500</v>
      </c>
      <c r="CC12" s="230">
        <v>-1140375</v>
      </c>
      <c r="CD12" s="229">
        <v>-0.69679999999999997</v>
      </c>
      <c r="CE12" s="230">
        <v>11673750</v>
      </c>
      <c r="CF12" s="230">
        <v>10686000</v>
      </c>
      <c r="CG12" s="230">
        <v>987750</v>
      </c>
      <c r="CH12" s="229">
        <v>9.2399999999999996E-2</v>
      </c>
      <c r="CI12" s="230">
        <v>208500</v>
      </c>
      <c r="CJ12" s="230">
        <v>203250</v>
      </c>
      <c r="CK12" s="230">
        <v>5250</v>
      </c>
      <c r="CL12" s="229">
        <v>2.58E-2</v>
      </c>
      <c r="CM12" s="230">
        <v>1464750</v>
      </c>
      <c r="CN12" s="230">
        <v>5877375</v>
      </c>
      <c r="CO12" s="230">
        <v>-4412625</v>
      </c>
      <c r="CP12" s="229">
        <v>-0.75080000000000002</v>
      </c>
      <c r="CQ12" s="230">
        <v>963375</v>
      </c>
      <c r="CR12" s="230">
        <v>3937875</v>
      </c>
      <c r="CS12" s="230">
        <v>-2974500</v>
      </c>
      <c r="CT12" s="229">
        <v>-0.75539999999999996</v>
      </c>
      <c r="CU12" s="230">
        <v>14310375</v>
      </c>
      <c r="CV12" s="230">
        <v>22341000</v>
      </c>
      <c r="CW12" s="230">
        <v>-8030625</v>
      </c>
      <c r="CX12" s="229">
        <v>-0.35949999999999999</v>
      </c>
      <c r="CY12" s="228">
        <v>21.58</v>
      </c>
      <c r="CZ12" s="228">
        <v>22.08</v>
      </c>
      <c r="DA12" s="228">
        <v>-0.5</v>
      </c>
      <c r="DB12" s="228">
        <v>-0.5</v>
      </c>
      <c r="DC12" s="228">
        <v>27.27</v>
      </c>
      <c r="DD12" s="228">
        <v>27.33</v>
      </c>
      <c r="DE12" s="228">
        <v>-5.69</v>
      </c>
      <c r="DF12" s="228">
        <v>-0.06</v>
      </c>
      <c r="DG12" s="228">
        <v>21.29</v>
      </c>
      <c r="DH12" s="228">
        <v>22.04</v>
      </c>
      <c r="DI12" s="228">
        <v>-0.75</v>
      </c>
      <c r="DJ12" s="228">
        <v>-0.75</v>
      </c>
      <c r="DK12" s="228">
        <v>21.89</v>
      </c>
      <c r="DL12" s="228">
        <v>22.16</v>
      </c>
      <c r="DM12" s="228">
        <v>-0.27</v>
      </c>
      <c r="DN12" s="228">
        <v>-0.27</v>
      </c>
      <c r="DO12" s="228">
        <v>0.66</v>
      </c>
      <c r="DP12" s="228">
        <v>0.67</v>
      </c>
      <c r="DQ12" s="228">
        <v>-0.01</v>
      </c>
      <c r="DR12" s="229">
        <v>-1.49E-2</v>
      </c>
      <c r="DS12" s="231">
        <v>1600</v>
      </c>
      <c r="DT12" s="231">
        <v>1480</v>
      </c>
      <c r="DU12" s="228">
        <v>1.01</v>
      </c>
      <c r="DV12" s="228">
        <v>0.6</v>
      </c>
      <c r="DW12" s="228">
        <v>0.41</v>
      </c>
      <c r="DX12" s="229">
        <v>0.68330000000000002</v>
      </c>
      <c r="DY12" s="229">
        <v>0.95989999999999998</v>
      </c>
      <c r="DZ12" s="230">
        <v>10889250</v>
      </c>
      <c r="EA12" s="229">
        <v>3.0999999999999999E-3</v>
      </c>
      <c r="EB12" s="229">
        <v>0.95989999999999998</v>
      </c>
      <c r="EC12" s="228">
        <v>7.52</v>
      </c>
      <c r="ED12" s="229">
        <v>4.8999999999999998E-3</v>
      </c>
      <c r="EE12" s="230">
        <v>1620191</v>
      </c>
      <c r="EF12" s="230">
        <v>814260</v>
      </c>
      <c r="EG12" s="229">
        <v>0.98980000000000001</v>
      </c>
      <c r="EH12" s="229">
        <v>0.64419999999999999</v>
      </c>
      <c r="EI12" s="231">
        <v>58897.2</v>
      </c>
      <c r="EJ12" s="231">
        <v>57265.15</v>
      </c>
      <c r="EK12" s="231">
        <v>70783.820000000007</v>
      </c>
      <c r="EL12" s="228">
        <v>0</v>
      </c>
      <c r="EM12" s="231">
        <v>186946.17</v>
      </c>
      <c r="EN12" s="231">
        <v>286529.67</v>
      </c>
      <c r="EO12" s="231">
        <v>-99583.5</v>
      </c>
      <c r="EP12" s="229">
        <v>-0.34760000000000002</v>
      </c>
      <c r="EQ12" s="231">
        <v>23447</v>
      </c>
      <c r="ER12" s="231">
        <v>14437</v>
      </c>
      <c r="ES12" s="231">
        <v>185475</v>
      </c>
      <c r="ET12" s="231">
        <v>114117893</v>
      </c>
      <c r="EU12" s="231">
        <v>223359</v>
      </c>
      <c r="EV12" s="231">
        <v>348307</v>
      </c>
      <c r="EW12" s="231">
        <v>-124948</v>
      </c>
      <c r="EX12" s="229">
        <v>-0.35870000000000002</v>
      </c>
      <c r="EY12" s="229">
        <v>0.12540000000000001</v>
      </c>
    </row>
    <row r="13" spans="1:155" ht="17.25" thickBot="1" x14ac:dyDescent="0.3">
      <c r="A13" s="226">
        <v>45869</v>
      </c>
      <c r="B13" s="227" t="s">
        <v>227</v>
      </c>
      <c r="C13" s="227" t="s">
        <v>200</v>
      </c>
      <c r="D13" s="228">
        <v>370.7</v>
      </c>
      <c r="E13" s="228">
        <v>375.85</v>
      </c>
      <c r="F13" s="228">
        <v>-5.15</v>
      </c>
      <c r="G13" s="229">
        <v>-1.37E-2</v>
      </c>
      <c r="H13" s="228">
        <v>376.35</v>
      </c>
      <c r="I13" s="228">
        <v>379.9</v>
      </c>
      <c r="J13" s="228">
        <v>-3.55</v>
      </c>
      <c r="K13" s="229">
        <v>-9.2999999999999992E-3</v>
      </c>
      <c r="L13" s="228">
        <v>375.95</v>
      </c>
      <c r="M13" s="228">
        <v>379.75</v>
      </c>
      <c r="N13" s="228">
        <v>-3.8</v>
      </c>
      <c r="O13" s="229">
        <v>-0.01</v>
      </c>
      <c r="P13" s="228">
        <v>370.7</v>
      </c>
      <c r="Q13" s="228">
        <v>375.85</v>
      </c>
      <c r="R13" s="228">
        <v>-5.15</v>
      </c>
      <c r="S13" s="229">
        <v>-1.37E-2</v>
      </c>
      <c r="T13" s="228">
        <v>371.85</v>
      </c>
      <c r="U13" s="228">
        <v>377.3</v>
      </c>
      <c r="V13" s="228">
        <v>-5.45</v>
      </c>
      <c r="W13" s="229">
        <v>-1.44E-2</v>
      </c>
      <c r="X13" s="228">
        <v>-5.65</v>
      </c>
      <c r="Y13" s="228">
        <v>-0.15</v>
      </c>
      <c r="Z13" s="228">
        <v>-5.5</v>
      </c>
      <c r="AA13" s="229">
        <v>-1.4999999999999999E-2</v>
      </c>
      <c r="AB13" s="228">
        <v>-0.4</v>
      </c>
      <c r="AC13" s="228">
        <v>-0.15</v>
      </c>
      <c r="AD13" s="228">
        <v>-0.25</v>
      </c>
      <c r="AE13" s="229">
        <v>-1.1000000000000001E-3</v>
      </c>
      <c r="AF13" s="228">
        <v>-5.65</v>
      </c>
      <c r="AG13" s="228">
        <v>-4.05</v>
      </c>
      <c r="AH13" s="228">
        <v>-1.6</v>
      </c>
      <c r="AI13" s="229">
        <v>-1.4999999999999999E-2</v>
      </c>
      <c r="AJ13" s="228">
        <v>-4.5</v>
      </c>
      <c r="AK13" s="228">
        <v>-2.6</v>
      </c>
      <c r="AL13" s="228">
        <v>-1.9</v>
      </c>
      <c r="AM13" s="229">
        <v>-1.2E-2</v>
      </c>
      <c r="AN13" s="228">
        <v>376.17</v>
      </c>
      <c r="AO13" s="228">
        <v>372.15</v>
      </c>
      <c r="AP13" s="228">
        <v>0</v>
      </c>
      <c r="AQ13" s="230">
        <v>27699</v>
      </c>
      <c r="AR13" s="230">
        <v>34025</v>
      </c>
      <c r="AS13" s="230">
        <v>-6326</v>
      </c>
      <c r="AT13" s="229">
        <v>-0.18590000000000001</v>
      </c>
      <c r="AU13" s="230">
        <v>11748</v>
      </c>
      <c r="AV13" s="230">
        <v>16378</v>
      </c>
      <c r="AW13" s="230">
        <v>-4630</v>
      </c>
      <c r="AX13" s="229">
        <v>-0.28270000000000001</v>
      </c>
      <c r="AY13" s="230">
        <v>15117</v>
      </c>
      <c r="AZ13" s="230">
        <v>17139</v>
      </c>
      <c r="BA13" s="230">
        <v>-2022</v>
      </c>
      <c r="BB13" s="229">
        <v>-0.11799999999999999</v>
      </c>
      <c r="BC13" s="228">
        <v>834</v>
      </c>
      <c r="BD13" s="228">
        <v>508</v>
      </c>
      <c r="BE13" s="228">
        <v>326</v>
      </c>
      <c r="BF13" s="229">
        <v>0.64170000000000005</v>
      </c>
      <c r="BG13" s="230">
        <v>20817</v>
      </c>
      <c r="BH13" s="230">
        <v>16687</v>
      </c>
      <c r="BI13" s="230">
        <v>4130</v>
      </c>
      <c r="BJ13" s="229">
        <v>0.2475</v>
      </c>
      <c r="BK13" s="230">
        <v>14465</v>
      </c>
      <c r="BL13" s="230">
        <v>12434</v>
      </c>
      <c r="BM13" s="230">
        <v>2031</v>
      </c>
      <c r="BN13" s="229">
        <v>0.1633</v>
      </c>
      <c r="BO13" s="230">
        <v>62981</v>
      </c>
      <c r="BP13" s="230">
        <v>63146</v>
      </c>
      <c r="BQ13" s="228">
        <v>-165</v>
      </c>
      <c r="BR13" s="229">
        <v>-2.5999999999999999E-3</v>
      </c>
      <c r="BS13" s="230">
        <v>6591622</v>
      </c>
      <c r="BT13" s="230">
        <v>5648966</v>
      </c>
      <c r="BU13" s="230">
        <v>942656</v>
      </c>
      <c r="BV13" s="229">
        <v>0.16689999999999999</v>
      </c>
      <c r="BW13" s="230">
        <v>72334350</v>
      </c>
      <c r="BX13" s="230">
        <v>76937850</v>
      </c>
      <c r="BY13" s="230">
        <v>-4603500</v>
      </c>
      <c r="BZ13" s="229">
        <v>-5.9799999999999999E-2</v>
      </c>
      <c r="CA13" s="230">
        <v>10071000</v>
      </c>
      <c r="CB13" s="230">
        <v>12710250</v>
      </c>
      <c r="CC13" s="230">
        <v>-2639250</v>
      </c>
      <c r="CD13" s="229">
        <v>-0.20760000000000001</v>
      </c>
      <c r="CE13" s="230">
        <v>70599600</v>
      </c>
      <c r="CF13" s="230">
        <v>62876250</v>
      </c>
      <c r="CG13" s="230">
        <v>7723350</v>
      </c>
      <c r="CH13" s="229">
        <v>0.12280000000000001</v>
      </c>
      <c r="CI13" s="230">
        <v>1734750</v>
      </c>
      <c r="CJ13" s="230">
        <v>1351350</v>
      </c>
      <c r="CK13" s="230">
        <v>383400</v>
      </c>
      <c r="CL13" s="229">
        <v>0.28370000000000001</v>
      </c>
      <c r="CM13" s="230">
        <v>20359350</v>
      </c>
      <c r="CN13" s="230">
        <v>39181050</v>
      </c>
      <c r="CO13" s="230">
        <v>-18821700</v>
      </c>
      <c r="CP13" s="229">
        <v>-0.48039999999999999</v>
      </c>
      <c r="CQ13" s="230">
        <v>20694150</v>
      </c>
      <c r="CR13" s="230">
        <v>29370600</v>
      </c>
      <c r="CS13" s="230">
        <v>-8676450</v>
      </c>
      <c r="CT13" s="229">
        <v>-0.2954</v>
      </c>
      <c r="CU13" s="230">
        <v>113387850</v>
      </c>
      <c r="CV13" s="230">
        <v>145489500</v>
      </c>
      <c r="CW13" s="230">
        <v>-32101650</v>
      </c>
      <c r="CX13" s="229">
        <v>-0.22059999999999999</v>
      </c>
      <c r="CY13" s="228">
        <v>21.81</v>
      </c>
      <c r="CZ13" s="228">
        <v>21.78</v>
      </c>
      <c r="DA13" s="228">
        <v>0.03</v>
      </c>
      <c r="DB13" s="228">
        <v>0.03</v>
      </c>
      <c r="DC13" s="228">
        <v>31.64</v>
      </c>
      <c r="DD13" s="228">
        <v>31.66</v>
      </c>
      <c r="DE13" s="228">
        <v>-9.83</v>
      </c>
      <c r="DF13" s="228">
        <v>-0.02</v>
      </c>
      <c r="DG13" s="228">
        <v>22.28</v>
      </c>
      <c r="DH13" s="228">
        <v>21.93</v>
      </c>
      <c r="DI13" s="228">
        <v>0.35</v>
      </c>
      <c r="DJ13" s="228">
        <v>0.35</v>
      </c>
      <c r="DK13" s="228">
        <v>21.11</v>
      </c>
      <c r="DL13" s="228">
        <v>21.59</v>
      </c>
      <c r="DM13" s="228">
        <v>-0.48</v>
      </c>
      <c r="DN13" s="228">
        <v>-0.48</v>
      </c>
      <c r="DO13" s="228">
        <v>1.02</v>
      </c>
      <c r="DP13" s="228">
        <v>0.75</v>
      </c>
      <c r="DQ13" s="228">
        <v>0.27</v>
      </c>
      <c r="DR13" s="229">
        <v>0.36</v>
      </c>
      <c r="DS13" s="228">
        <v>400</v>
      </c>
      <c r="DT13" s="228">
        <v>370</v>
      </c>
      <c r="DU13" s="228">
        <v>0.69</v>
      </c>
      <c r="DV13" s="228">
        <v>0.75</v>
      </c>
      <c r="DW13" s="228">
        <v>-0.06</v>
      </c>
      <c r="DX13" s="229">
        <v>-0.08</v>
      </c>
      <c r="DY13" s="229">
        <v>0.87780000000000002</v>
      </c>
      <c r="DZ13" s="230">
        <v>64227600</v>
      </c>
      <c r="EA13" s="229">
        <v>-1.4E-2</v>
      </c>
      <c r="EB13" s="229">
        <v>0.87780000000000002</v>
      </c>
      <c r="EC13" s="228">
        <v>-4.0199999999999996</v>
      </c>
      <c r="ED13" s="229">
        <v>-1.0699999999999999E-2</v>
      </c>
      <c r="EE13" s="230">
        <v>4062231</v>
      </c>
      <c r="EF13" s="230">
        <v>3153307</v>
      </c>
      <c r="EG13" s="229">
        <v>0.28820000000000001</v>
      </c>
      <c r="EH13" s="229">
        <v>0.61629999999999996</v>
      </c>
      <c r="EI13" s="231">
        <v>109832.96000000001</v>
      </c>
      <c r="EJ13" s="231">
        <v>74321.13</v>
      </c>
      <c r="EK13" s="231">
        <v>139817.62</v>
      </c>
      <c r="EL13" s="228">
        <v>0</v>
      </c>
      <c r="EM13" s="231">
        <v>323971.71000000002</v>
      </c>
      <c r="EN13" s="231">
        <v>327864.65000000002</v>
      </c>
      <c r="EO13" s="231">
        <v>-3892.94</v>
      </c>
      <c r="EP13" s="229">
        <v>-1.1900000000000001E-2</v>
      </c>
      <c r="EQ13" s="231">
        <v>79919</v>
      </c>
      <c r="ER13" s="231">
        <v>79371</v>
      </c>
      <c r="ES13" s="231">
        <v>268163</v>
      </c>
      <c r="ET13" s="231">
        <v>454398477</v>
      </c>
      <c r="EU13" s="231">
        <v>427453</v>
      </c>
      <c r="EV13" s="231">
        <v>559480</v>
      </c>
      <c r="EW13" s="231">
        <v>-132027</v>
      </c>
      <c r="EX13" s="229">
        <v>-0.23599999999999999</v>
      </c>
      <c r="EY13" s="229">
        <v>0.2495</v>
      </c>
    </row>
    <row r="14" spans="1:155" ht="17.25" thickBot="1" x14ac:dyDescent="0.3">
      <c r="A14" s="226">
        <v>45869</v>
      </c>
      <c r="B14" s="227" t="s">
        <v>170</v>
      </c>
      <c r="C14" s="227" t="s">
        <v>208</v>
      </c>
      <c r="D14" s="231">
        <v>1274.3</v>
      </c>
      <c r="E14" s="231">
        <v>1296.8</v>
      </c>
      <c r="F14" s="228">
        <v>-22.5</v>
      </c>
      <c r="G14" s="229">
        <v>-1.7399999999999999E-2</v>
      </c>
      <c r="H14" s="231">
        <v>1270.3</v>
      </c>
      <c r="I14" s="231">
        <v>1292.0999999999999</v>
      </c>
      <c r="J14" s="228">
        <v>-21.8</v>
      </c>
      <c r="K14" s="229">
        <v>-1.6899999999999998E-2</v>
      </c>
      <c r="L14" s="231">
        <v>1271.3</v>
      </c>
      <c r="M14" s="231">
        <v>1290.5</v>
      </c>
      <c r="N14" s="228">
        <v>-19.2</v>
      </c>
      <c r="O14" s="229">
        <v>-1.49E-2</v>
      </c>
      <c r="P14" s="231">
        <v>1274.3</v>
      </c>
      <c r="Q14" s="231">
        <v>1296.8</v>
      </c>
      <c r="R14" s="228">
        <v>-22.5</v>
      </c>
      <c r="S14" s="229">
        <v>-1.7399999999999999E-2</v>
      </c>
      <c r="T14" s="231">
        <v>1278.5</v>
      </c>
      <c r="U14" s="231">
        <v>1301.7</v>
      </c>
      <c r="V14" s="228">
        <v>-23.2</v>
      </c>
      <c r="W14" s="229">
        <v>-1.78E-2</v>
      </c>
      <c r="X14" s="228">
        <v>4</v>
      </c>
      <c r="Y14" s="228">
        <v>-1.6</v>
      </c>
      <c r="Z14" s="228">
        <v>5.6</v>
      </c>
      <c r="AA14" s="229">
        <v>3.0999999999999999E-3</v>
      </c>
      <c r="AB14" s="228">
        <v>1</v>
      </c>
      <c r="AC14" s="228">
        <v>-1.6</v>
      </c>
      <c r="AD14" s="228">
        <v>2.6</v>
      </c>
      <c r="AE14" s="229">
        <v>8.0000000000000004E-4</v>
      </c>
      <c r="AF14" s="228">
        <v>4</v>
      </c>
      <c r="AG14" s="228">
        <v>4.7</v>
      </c>
      <c r="AH14" s="228">
        <v>-0.7</v>
      </c>
      <c r="AI14" s="229">
        <v>3.0999999999999999E-3</v>
      </c>
      <c r="AJ14" s="228">
        <v>8.1999999999999993</v>
      </c>
      <c r="AK14" s="228">
        <v>9.6</v>
      </c>
      <c r="AL14" s="228">
        <v>-1.4</v>
      </c>
      <c r="AM14" s="229">
        <v>6.4999999999999997E-3</v>
      </c>
      <c r="AN14" s="231">
        <v>1274.23</v>
      </c>
      <c r="AO14" s="231">
        <v>1275.68</v>
      </c>
      <c r="AP14" s="228">
        <v>0</v>
      </c>
      <c r="AQ14" s="230">
        <v>12257</v>
      </c>
      <c r="AR14" s="230">
        <v>11961</v>
      </c>
      <c r="AS14" s="228">
        <v>296</v>
      </c>
      <c r="AT14" s="229">
        <v>2.47E-2</v>
      </c>
      <c r="AU14" s="230">
        <v>4600</v>
      </c>
      <c r="AV14" s="230">
        <v>5414</v>
      </c>
      <c r="AW14" s="228">
        <v>-814</v>
      </c>
      <c r="AX14" s="229">
        <v>-0.15040000000000001</v>
      </c>
      <c r="AY14" s="230">
        <v>7592</v>
      </c>
      <c r="AZ14" s="230">
        <v>6500</v>
      </c>
      <c r="BA14" s="230">
        <v>1092</v>
      </c>
      <c r="BB14" s="229">
        <v>0.16800000000000001</v>
      </c>
      <c r="BC14" s="228">
        <v>65</v>
      </c>
      <c r="BD14" s="228">
        <v>47</v>
      </c>
      <c r="BE14" s="228">
        <v>18</v>
      </c>
      <c r="BF14" s="229">
        <v>0.38300000000000001</v>
      </c>
      <c r="BG14" s="230">
        <v>13261</v>
      </c>
      <c r="BH14" s="230">
        <v>19512</v>
      </c>
      <c r="BI14" s="230">
        <v>-6251</v>
      </c>
      <c r="BJ14" s="229">
        <v>-0.32040000000000002</v>
      </c>
      <c r="BK14" s="230">
        <v>12438</v>
      </c>
      <c r="BL14" s="230">
        <v>9955</v>
      </c>
      <c r="BM14" s="230">
        <v>2483</v>
      </c>
      <c r="BN14" s="229">
        <v>0.24940000000000001</v>
      </c>
      <c r="BO14" s="230">
        <v>37956</v>
      </c>
      <c r="BP14" s="230">
        <v>41428</v>
      </c>
      <c r="BQ14" s="230">
        <v>-3472</v>
      </c>
      <c r="BR14" s="229">
        <v>-8.3799999999999999E-2</v>
      </c>
      <c r="BS14" s="230">
        <v>2021750</v>
      </c>
      <c r="BT14" s="230">
        <v>1495665</v>
      </c>
      <c r="BU14" s="230">
        <v>526085</v>
      </c>
      <c r="BV14" s="229">
        <v>0.35170000000000001</v>
      </c>
      <c r="BW14" s="230">
        <v>11280000</v>
      </c>
      <c r="BX14" s="230">
        <v>12285625</v>
      </c>
      <c r="BY14" s="230">
        <v>-1005625</v>
      </c>
      <c r="BZ14" s="229">
        <v>-8.1900000000000001E-2</v>
      </c>
      <c r="CA14" s="230">
        <v>1113125</v>
      </c>
      <c r="CB14" s="230">
        <v>1976250</v>
      </c>
      <c r="CC14" s="230">
        <v>-863125</v>
      </c>
      <c r="CD14" s="229">
        <v>-0.43669999999999998</v>
      </c>
      <c r="CE14" s="230">
        <v>11190000</v>
      </c>
      <c r="CF14" s="230">
        <v>10228125</v>
      </c>
      <c r="CG14" s="230">
        <v>961875</v>
      </c>
      <c r="CH14" s="229">
        <v>9.4E-2</v>
      </c>
      <c r="CI14" s="230">
        <v>90000</v>
      </c>
      <c r="CJ14" s="230">
        <v>81250</v>
      </c>
      <c r="CK14" s="230">
        <v>8750</v>
      </c>
      <c r="CL14" s="229">
        <v>0.1077</v>
      </c>
      <c r="CM14" s="230">
        <v>2474375</v>
      </c>
      <c r="CN14" s="230">
        <v>12161875</v>
      </c>
      <c r="CO14" s="230">
        <v>-9687500</v>
      </c>
      <c r="CP14" s="229">
        <v>-0.79649999999999999</v>
      </c>
      <c r="CQ14" s="230">
        <v>1470000</v>
      </c>
      <c r="CR14" s="230">
        <v>5516875</v>
      </c>
      <c r="CS14" s="230">
        <v>-4046875</v>
      </c>
      <c r="CT14" s="229">
        <v>-0.73350000000000004</v>
      </c>
      <c r="CU14" s="230">
        <v>15224375</v>
      </c>
      <c r="CV14" s="230">
        <v>29964375</v>
      </c>
      <c r="CW14" s="230">
        <v>-14740000</v>
      </c>
      <c r="CX14" s="229">
        <v>-0.4919</v>
      </c>
      <c r="CY14" s="228">
        <v>24.46</v>
      </c>
      <c r="CZ14" s="228">
        <v>24.12</v>
      </c>
      <c r="DA14" s="228">
        <v>0.34</v>
      </c>
      <c r="DB14" s="228">
        <v>0.34</v>
      </c>
      <c r="DC14" s="228">
        <v>25.08</v>
      </c>
      <c r="DD14" s="228">
        <v>25.03</v>
      </c>
      <c r="DE14" s="228">
        <v>-0.62</v>
      </c>
      <c r="DF14" s="228">
        <v>0.05</v>
      </c>
      <c r="DG14" s="228">
        <v>24.27</v>
      </c>
      <c r="DH14" s="228">
        <v>23.86</v>
      </c>
      <c r="DI14" s="228">
        <v>0.41</v>
      </c>
      <c r="DJ14" s="228">
        <v>0.41</v>
      </c>
      <c r="DK14" s="228">
        <v>24.78</v>
      </c>
      <c r="DL14" s="228">
        <v>24.83</v>
      </c>
      <c r="DM14" s="228">
        <v>-0.05</v>
      </c>
      <c r="DN14" s="228">
        <v>-0.05</v>
      </c>
      <c r="DO14" s="228">
        <v>0.59</v>
      </c>
      <c r="DP14" s="228">
        <v>0.45</v>
      </c>
      <c r="DQ14" s="228">
        <v>0.14000000000000001</v>
      </c>
      <c r="DR14" s="229">
        <v>0.31109999999999999</v>
      </c>
      <c r="DS14" s="231">
        <v>1300</v>
      </c>
      <c r="DT14" s="231">
        <v>1100</v>
      </c>
      <c r="DU14" s="228">
        <v>0.94</v>
      </c>
      <c r="DV14" s="228">
        <v>0.51</v>
      </c>
      <c r="DW14" s="228">
        <v>0.43</v>
      </c>
      <c r="DX14" s="229">
        <v>0.84309999999999996</v>
      </c>
      <c r="DY14" s="229">
        <v>0.91020000000000001</v>
      </c>
      <c r="DZ14" s="230">
        <v>10309375</v>
      </c>
      <c r="EA14" s="229">
        <v>2.3999999999999998E-3</v>
      </c>
      <c r="EB14" s="229">
        <v>0.91020000000000001</v>
      </c>
      <c r="EC14" s="228">
        <v>1.45</v>
      </c>
      <c r="ED14" s="229">
        <v>1.1000000000000001E-3</v>
      </c>
      <c r="EE14" s="230">
        <v>917943</v>
      </c>
      <c r="EF14" s="230">
        <v>705059</v>
      </c>
      <c r="EG14" s="229">
        <v>0.3019</v>
      </c>
      <c r="EH14" s="229">
        <v>0.45400000000000001</v>
      </c>
      <c r="EI14" s="231">
        <v>108998.76</v>
      </c>
      <c r="EJ14" s="231">
        <v>98471.64</v>
      </c>
      <c r="EK14" s="231">
        <v>97685.15</v>
      </c>
      <c r="EL14" s="228">
        <v>0</v>
      </c>
      <c r="EM14" s="231">
        <v>305155.55</v>
      </c>
      <c r="EN14" s="231">
        <v>336174.21</v>
      </c>
      <c r="EO14" s="231">
        <v>-31018.66</v>
      </c>
      <c r="EP14" s="229">
        <v>-9.2299999999999993E-2</v>
      </c>
      <c r="EQ14" s="231">
        <v>32625</v>
      </c>
      <c r="ER14" s="231">
        <v>18228</v>
      </c>
      <c r="ES14" s="231">
        <v>143745</v>
      </c>
      <c r="ET14" s="231">
        <v>121939493</v>
      </c>
      <c r="EU14" s="231">
        <v>194597</v>
      </c>
      <c r="EV14" s="231">
        <v>390068</v>
      </c>
      <c r="EW14" s="231">
        <v>-195471</v>
      </c>
      <c r="EX14" s="229">
        <v>-0.50109999999999999</v>
      </c>
      <c r="EY14" s="229">
        <v>0.1249</v>
      </c>
    </row>
    <row r="15" spans="1:155" ht="17.25" thickBot="1" x14ac:dyDescent="0.3">
      <c r="A15" s="226">
        <v>45869</v>
      </c>
      <c r="B15" s="227" t="s">
        <v>162</v>
      </c>
      <c r="C15" s="227" t="s">
        <v>209</v>
      </c>
      <c r="D15" s="231">
        <v>5424.5</v>
      </c>
      <c r="E15" s="231">
        <v>5439</v>
      </c>
      <c r="F15" s="228">
        <v>-14.5</v>
      </c>
      <c r="G15" s="229">
        <v>-2.7000000000000001E-3</v>
      </c>
      <c r="H15" s="231">
        <v>5468.5</v>
      </c>
      <c r="I15" s="231">
        <v>5481</v>
      </c>
      <c r="J15" s="228">
        <v>-12.5</v>
      </c>
      <c r="K15" s="229">
        <v>-2.3E-3</v>
      </c>
      <c r="L15" s="231">
        <v>5460.5</v>
      </c>
      <c r="M15" s="231">
        <v>5482</v>
      </c>
      <c r="N15" s="228">
        <v>-21.5</v>
      </c>
      <c r="O15" s="229">
        <v>-3.8999999999999998E-3</v>
      </c>
      <c r="P15" s="231">
        <v>5424.5</v>
      </c>
      <c r="Q15" s="231">
        <v>5439</v>
      </c>
      <c r="R15" s="228">
        <v>-14.5</v>
      </c>
      <c r="S15" s="229">
        <v>-2.7000000000000001E-3</v>
      </c>
      <c r="T15" s="231">
        <v>5457</v>
      </c>
      <c r="U15" s="231">
        <v>5468</v>
      </c>
      <c r="V15" s="228">
        <v>-11</v>
      </c>
      <c r="W15" s="229">
        <v>-2E-3</v>
      </c>
      <c r="X15" s="228">
        <v>-44</v>
      </c>
      <c r="Y15" s="228">
        <v>1</v>
      </c>
      <c r="Z15" s="228">
        <v>-45</v>
      </c>
      <c r="AA15" s="229">
        <v>-8.0000000000000002E-3</v>
      </c>
      <c r="AB15" s="228">
        <v>-8</v>
      </c>
      <c r="AC15" s="228">
        <v>1</v>
      </c>
      <c r="AD15" s="228">
        <v>-9</v>
      </c>
      <c r="AE15" s="229">
        <v>-1.5E-3</v>
      </c>
      <c r="AF15" s="228">
        <v>-44</v>
      </c>
      <c r="AG15" s="228">
        <v>-42</v>
      </c>
      <c r="AH15" s="228">
        <v>-2</v>
      </c>
      <c r="AI15" s="229">
        <v>-8.0000000000000002E-3</v>
      </c>
      <c r="AJ15" s="228">
        <v>-11.5</v>
      </c>
      <c r="AK15" s="228">
        <v>-13</v>
      </c>
      <c r="AL15" s="228">
        <v>1.5</v>
      </c>
      <c r="AM15" s="229">
        <v>-2.0999999999999999E-3</v>
      </c>
      <c r="AN15" s="231">
        <v>5461.22</v>
      </c>
      <c r="AO15" s="231">
        <v>5417.34</v>
      </c>
      <c r="AP15" s="228">
        <v>0</v>
      </c>
      <c r="AQ15" s="230">
        <v>7405</v>
      </c>
      <c r="AR15" s="230">
        <v>10481</v>
      </c>
      <c r="AS15" s="230">
        <v>-3076</v>
      </c>
      <c r="AT15" s="229">
        <v>-0.29349999999999998</v>
      </c>
      <c r="AU15" s="230">
        <v>2689</v>
      </c>
      <c r="AV15" s="230">
        <v>4223</v>
      </c>
      <c r="AW15" s="230">
        <v>-1534</v>
      </c>
      <c r="AX15" s="229">
        <v>-0.36320000000000002</v>
      </c>
      <c r="AY15" s="230">
        <v>4683</v>
      </c>
      <c r="AZ15" s="230">
        <v>6211</v>
      </c>
      <c r="BA15" s="230">
        <v>-1528</v>
      </c>
      <c r="BB15" s="229">
        <v>-0.246</v>
      </c>
      <c r="BC15" s="228">
        <v>33</v>
      </c>
      <c r="BD15" s="228">
        <v>47</v>
      </c>
      <c r="BE15" s="228">
        <v>-14</v>
      </c>
      <c r="BF15" s="229">
        <v>-0.2979</v>
      </c>
      <c r="BG15" s="230">
        <v>11483</v>
      </c>
      <c r="BH15" s="230">
        <v>20381</v>
      </c>
      <c r="BI15" s="230">
        <v>-8898</v>
      </c>
      <c r="BJ15" s="229">
        <v>-0.43659999999999999</v>
      </c>
      <c r="BK15" s="230">
        <v>7573</v>
      </c>
      <c r="BL15" s="230">
        <v>6790</v>
      </c>
      <c r="BM15" s="228">
        <v>783</v>
      </c>
      <c r="BN15" s="229">
        <v>0.1153</v>
      </c>
      <c r="BO15" s="230">
        <v>26461</v>
      </c>
      <c r="BP15" s="230">
        <v>37652</v>
      </c>
      <c r="BQ15" s="230">
        <v>-11191</v>
      </c>
      <c r="BR15" s="229">
        <v>-0.29720000000000002</v>
      </c>
      <c r="BS15" s="230">
        <v>316649</v>
      </c>
      <c r="BT15" s="230">
        <v>274872</v>
      </c>
      <c r="BU15" s="230">
        <v>41777</v>
      </c>
      <c r="BV15" s="229">
        <v>0.152</v>
      </c>
      <c r="BW15" s="230">
        <v>3021550</v>
      </c>
      <c r="BX15" s="230">
        <v>3301200</v>
      </c>
      <c r="BY15" s="230">
        <v>-279650</v>
      </c>
      <c r="BZ15" s="229">
        <v>-8.4699999999999998E-2</v>
      </c>
      <c r="CA15" s="230">
        <v>222600</v>
      </c>
      <c r="CB15" s="230">
        <v>401800</v>
      </c>
      <c r="CC15" s="230">
        <v>-179200</v>
      </c>
      <c r="CD15" s="229">
        <v>-0.44600000000000001</v>
      </c>
      <c r="CE15" s="230">
        <v>3003175</v>
      </c>
      <c r="CF15" s="230">
        <v>2884350</v>
      </c>
      <c r="CG15" s="230">
        <v>118825</v>
      </c>
      <c r="CH15" s="229">
        <v>4.1200000000000001E-2</v>
      </c>
      <c r="CI15" s="230">
        <v>18375</v>
      </c>
      <c r="CJ15" s="230">
        <v>15050</v>
      </c>
      <c r="CK15" s="230">
        <v>3325</v>
      </c>
      <c r="CL15" s="229">
        <v>0.22090000000000001</v>
      </c>
      <c r="CM15" s="230">
        <v>707175</v>
      </c>
      <c r="CN15" s="230">
        <v>1957375</v>
      </c>
      <c r="CO15" s="230">
        <v>-1250200</v>
      </c>
      <c r="CP15" s="229">
        <v>-0.63870000000000005</v>
      </c>
      <c r="CQ15" s="230">
        <v>519400</v>
      </c>
      <c r="CR15" s="230">
        <v>1035475</v>
      </c>
      <c r="CS15" s="230">
        <v>-516075</v>
      </c>
      <c r="CT15" s="229">
        <v>-0.49840000000000001</v>
      </c>
      <c r="CU15" s="230">
        <v>4248125</v>
      </c>
      <c r="CV15" s="230">
        <v>6294050</v>
      </c>
      <c r="CW15" s="230">
        <v>-2045925</v>
      </c>
      <c r="CX15" s="229">
        <v>-0.3251</v>
      </c>
      <c r="CY15" s="228">
        <v>26.55</v>
      </c>
      <c r="CZ15" s="228">
        <v>25.89</v>
      </c>
      <c r="DA15" s="228">
        <v>0.66</v>
      </c>
      <c r="DB15" s="228">
        <v>0.66</v>
      </c>
      <c r="DC15" s="228">
        <v>29.35</v>
      </c>
      <c r="DD15" s="228">
        <v>29.42</v>
      </c>
      <c r="DE15" s="228">
        <v>-2.8</v>
      </c>
      <c r="DF15" s="228">
        <v>-7.0000000000000007E-2</v>
      </c>
      <c r="DG15" s="228">
        <v>26.42</v>
      </c>
      <c r="DH15" s="228">
        <v>26.09</v>
      </c>
      <c r="DI15" s="228">
        <v>0.33</v>
      </c>
      <c r="DJ15" s="228">
        <v>0.33</v>
      </c>
      <c r="DK15" s="228">
        <v>26.77</v>
      </c>
      <c r="DL15" s="228">
        <v>25.36</v>
      </c>
      <c r="DM15" s="228">
        <v>1.41</v>
      </c>
      <c r="DN15" s="228">
        <v>1.41</v>
      </c>
      <c r="DO15" s="228">
        <v>0.73</v>
      </c>
      <c r="DP15" s="228">
        <v>0.53</v>
      </c>
      <c r="DQ15" s="228">
        <v>0.2</v>
      </c>
      <c r="DR15" s="229">
        <v>0.37740000000000001</v>
      </c>
      <c r="DS15" s="231">
        <v>5800</v>
      </c>
      <c r="DT15" s="231">
        <v>5000</v>
      </c>
      <c r="DU15" s="228">
        <v>0.66</v>
      </c>
      <c r="DV15" s="228">
        <v>0.33</v>
      </c>
      <c r="DW15" s="228">
        <v>0.33</v>
      </c>
      <c r="DX15" s="229">
        <v>1</v>
      </c>
      <c r="DY15" s="229">
        <v>0.93140000000000001</v>
      </c>
      <c r="DZ15" s="230">
        <v>2899400</v>
      </c>
      <c r="EA15" s="229">
        <v>-6.6E-3</v>
      </c>
      <c r="EB15" s="229">
        <v>0.93140000000000001</v>
      </c>
      <c r="EC15" s="228">
        <v>-43.88</v>
      </c>
      <c r="ED15" s="229">
        <v>-8.0000000000000002E-3</v>
      </c>
      <c r="EE15" s="230">
        <v>147647</v>
      </c>
      <c r="EF15" s="230">
        <v>142717</v>
      </c>
      <c r="EG15" s="229">
        <v>3.4500000000000003E-2</v>
      </c>
      <c r="EH15" s="229">
        <v>0.46629999999999999</v>
      </c>
      <c r="EI15" s="231">
        <v>114747.87</v>
      </c>
      <c r="EJ15" s="231">
        <v>71489.88</v>
      </c>
      <c r="EK15" s="231">
        <v>70410.009999999995</v>
      </c>
      <c r="EL15" s="228">
        <v>0</v>
      </c>
      <c r="EM15" s="231">
        <v>256647.76</v>
      </c>
      <c r="EN15" s="231">
        <v>368186.21</v>
      </c>
      <c r="EO15" s="231">
        <v>-111538.45</v>
      </c>
      <c r="EP15" s="229">
        <v>-0.3029</v>
      </c>
      <c r="EQ15" s="231">
        <v>40355</v>
      </c>
      <c r="ER15" s="231">
        <v>27733</v>
      </c>
      <c r="ES15" s="231">
        <v>163910</v>
      </c>
      <c r="ET15" s="231">
        <v>27919827</v>
      </c>
      <c r="EU15" s="231">
        <v>231999</v>
      </c>
      <c r="EV15" s="231">
        <v>348742</v>
      </c>
      <c r="EW15" s="231">
        <v>-116743</v>
      </c>
      <c r="EX15" s="229">
        <v>-0.33479999999999999</v>
      </c>
      <c r="EY15" s="229">
        <v>0.1522</v>
      </c>
    </row>
    <row r="16" spans="1:155" ht="17.25" thickBot="1" x14ac:dyDescent="0.3">
      <c r="A16" s="226">
        <v>45869</v>
      </c>
      <c r="B16" s="227" t="s">
        <v>616</v>
      </c>
      <c r="C16" s="227" t="s">
        <v>669</v>
      </c>
      <c r="D16" s="228">
        <v>309.7</v>
      </c>
      <c r="E16" s="228">
        <v>305.3</v>
      </c>
      <c r="F16" s="228">
        <v>4.4000000000000004</v>
      </c>
      <c r="G16" s="229">
        <v>1.44E-2</v>
      </c>
      <c r="H16" s="228">
        <v>307.8</v>
      </c>
      <c r="I16" s="228">
        <v>303.45</v>
      </c>
      <c r="J16" s="228">
        <v>4.3499999999999996</v>
      </c>
      <c r="K16" s="229">
        <v>1.43E-2</v>
      </c>
      <c r="L16" s="228">
        <v>307.8</v>
      </c>
      <c r="M16" s="228">
        <v>303.55</v>
      </c>
      <c r="N16" s="228">
        <v>4.25</v>
      </c>
      <c r="O16" s="229">
        <v>1.4E-2</v>
      </c>
      <c r="P16" s="228">
        <v>309.7</v>
      </c>
      <c r="Q16" s="228">
        <v>305.3</v>
      </c>
      <c r="R16" s="228">
        <v>4.4000000000000004</v>
      </c>
      <c r="S16" s="229">
        <v>1.44E-2</v>
      </c>
      <c r="T16" s="228">
        <v>311.14999999999998</v>
      </c>
      <c r="U16" s="228">
        <v>306.75</v>
      </c>
      <c r="V16" s="228">
        <v>4.4000000000000004</v>
      </c>
      <c r="W16" s="229">
        <v>1.43E-2</v>
      </c>
      <c r="X16" s="228">
        <v>1.9</v>
      </c>
      <c r="Y16" s="228">
        <v>0.1</v>
      </c>
      <c r="Z16" s="228">
        <v>1.8</v>
      </c>
      <c r="AA16" s="229">
        <v>6.1999999999999998E-3</v>
      </c>
      <c r="AB16" s="228">
        <v>0</v>
      </c>
      <c r="AC16" s="228">
        <v>0.1</v>
      </c>
      <c r="AD16" s="228">
        <v>-0.1</v>
      </c>
      <c r="AE16" s="229">
        <v>0</v>
      </c>
      <c r="AF16" s="228">
        <v>1.9</v>
      </c>
      <c r="AG16" s="228">
        <v>1.85</v>
      </c>
      <c r="AH16" s="228">
        <v>0.05</v>
      </c>
      <c r="AI16" s="229">
        <v>6.1999999999999998E-3</v>
      </c>
      <c r="AJ16" s="228">
        <v>3.35</v>
      </c>
      <c r="AK16" s="228">
        <v>3.3</v>
      </c>
      <c r="AL16" s="228">
        <v>0.05</v>
      </c>
      <c r="AM16" s="229">
        <v>1.09E-2</v>
      </c>
      <c r="AN16" s="228">
        <v>307.10000000000002</v>
      </c>
      <c r="AO16" s="228">
        <v>309.02</v>
      </c>
      <c r="AP16" s="228">
        <v>0</v>
      </c>
      <c r="AQ16" s="230">
        <v>31346</v>
      </c>
      <c r="AR16" s="230">
        <v>30859</v>
      </c>
      <c r="AS16" s="228">
        <v>487</v>
      </c>
      <c r="AT16" s="229">
        <v>1.5800000000000002E-2</v>
      </c>
      <c r="AU16" s="230">
        <v>12464</v>
      </c>
      <c r="AV16" s="230">
        <v>14812</v>
      </c>
      <c r="AW16" s="230">
        <v>-2348</v>
      </c>
      <c r="AX16" s="229">
        <v>-0.1585</v>
      </c>
      <c r="AY16" s="230">
        <v>18467</v>
      </c>
      <c r="AZ16" s="230">
        <v>15904</v>
      </c>
      <c r="BA16" s="230">
        <v>2563</v>
      </c>
      <c r="BB16" s="229">
        <v>0.16120000000000001</v>
      </c>
      <c r="BC16" s="228">
        <v>415</v>
      </c>
      <c r="BD16" s="228">
        <v>143</v>
      </c>
      <c r="BE16" s="228">
        <v>272</v>
      </c>
      <c r="BF16" s="229">
        <v>1.9020999999999999</v>
      </c>
      <c r="BG16" s="230">
        <v>44160</v>
      </c>
      <c r="BH16" s="230">
        <v>32865</v>
      </c>
      <c r="BI16" s="230">
        <v>11295</v>
      </c>
      <c r="BJ16" s="229">
        <v>0.34370000000000001</v>
      </c>
      <c r="BK16" s="230">
        <v>22964</v>
      </c>
      <c r="BL16" s="230">
        <v>23420</v>
      </c>
      <c r="BM16" s="228">
        <v>-456</v>
      </c>
      <c r="BN16" s="229">
        <v>-1.95E-2</v>
      </c>
      <c r="BO16" s="230">
        <v>98470</v>
      </c>
      <c r="BP16" s="230">
        <v>87144</v>
      </c>
      <c r="BQ16" s="230">
        <v>11326</v>
      </c>
      <c r="BR16" s="229">
        <v>0.13</v>
      </c>
      <c r="BS16" s="230">
        <v>34597893</v>
      </c>
      <c r="BT16" s="230">
        <v>22469860</v>
      </c>
      <c r="BU16" s="230">
        <v>12128033</v>
      </c>
      <c r="BV16" s="229">
        <v>0.53969999999999996</v>
      </c>
      <c r="BW16" s="230">
        <v>160205200</v>
      </c>
      <c r="BX16" s="230">
        <v>170048275</v>
      </c>
      <c r="BY16" s="230">
        <v>-9843075</v>
      </c>
      <c r="BZ16" s="229">
        <v>-5.79E-2</v>
      </c>
      <c r="CA16" s="230">
        <v>11807325</v>
      </c>
      <c r="CB16" s="230">
        <v>26895675</v>
      </c>
      <c r="CC16" s="230">
        <v>-15088350</v>
      </c>
      <c r="CD16" s="229">
        <v>-0.56100000000000005</v>
      </c>
      <c r="CE16" s="230">
        <v>158524675</v>
      </c>
      <c r="CF16" s="230">
        <v>141666075</v>
      </c>
      <c r="CG16" s="230">
        <v>16858600</v>
      </c>
      <c r="CH16" s="229">
        <v>0.11899999999999999</v>
      </c>
      <c r="CI16" s="230">
        <v>1680525</v>
      </c>
      <c r="CJ16" s="230">
        <v>1486525</v>
      </c>
      <c r="CK16" s="230">
        <v>194000</v>
      </c>
      <c r="CL16" s="229">
        <v>0.1305</v>
      </c>
      <c r="CM16" s="230">
        <v>38501725</v>
      </c>
      <c r="CN16" s="230">
        <v>81244775</v>
      </c>
      <c r="CO16" s="230">
        <v>-42743050</v>
      </c>
      <c r="CP16" s="229">
        <v>-0.52610000000000001</v>
      </c>
      <c r="CQ16" s="230">
        <v>30188825</v>
      </c>
      <c r="CR16" s="230">
        <v>76533000</v>
      </c>
      <c r="CS16" s="230">
        <v>-46344175</v>
      </c>
      <c r="CT16" s="229">
        <v>-0.60550000000000004</v>
      </c>
      <c r="CU16" s="230">
        <v>228895750</v>
      </c>
      <c r="CV16" s="230">
        <v>327826050</v>
      </c>
      <c r="CW16" s="230">
        <v>-98930300</v>
      </c>
      <c r="CX16" s="229">
        <v>-0.30180000000000001</v>
      </c>
      <c r="CY16" s="228">
        <v>36.270000000000003</v>
      </c>
      <c r="CZ16" s="228">
        <v>35.68</v>
      </c>
      <c r="DA16" s="228">
        <v>0.59</v>
      </c>
      <c r="DB16" s="228">
        <v>0.59</v>
      </c>
      <c r="DC16" s="228">
        <v>50.17</v>
      </c>
      <c r="DD16" s="228">
        <v>50.26</v>
      </c>
      <c r="DE16" s="228">
        <v>-13.9</v>
      </c>
      <c r="DF16" s="228">
        <v>-0.09</v>
      </c>
      <c r="DG16" s="228">
        <v>35.450000000000003</v>
      </c>
      <c r="DH16" s="228">
        <v>35.01</v>
      </c>
      <c r="DI16" s="228">
        <v>0.44</v>
      </c>
      <c r="DJ16" s="228">
        <v>0.44</v>
      </c>
      <c r="DK16" s="228">
        <v>37.909999999999997</v>
      </c>
      <c r="DL16" s="228">
        <v>36.520000000000003</v>
      </c>
      <c r="DM16" s="228">
        <v>1.39</v>
      </c>
      <c r="DN16" s="228">
        <v>1.39</v>
      </c>
      <c r="DO16" s="228">
        <v>0.78</v>
      </c>
      <c r="DP16" s="228">
        <v>0.94</v>
      </c>
      <c r="DQ16" s="228">
        <v>-0.16</v>
      </c>
      <c r="DR16" s="229">
        <v>-0.17019999999999999</v>
      </c>
      <c r="DS16" s="228">
        <v>310</v>
      </c>
      <c r="DT16" s="228">
        <v>300</v>
      </c>
      <c r="DU16" s="228">
        <v>0.52</v>
      </c>
      <c r="DV16" s="228">
        <v>0.71</v>
      </c>
      <c r="DW16" s="228">
        <v>-0.19</v>
      </c>
      <c r="DX16" s="229">
        <v>-0.2676</v>
      </c>
      <c r="DY16" s="229">
        <v>0.93140000000000001</v>
      </c>
      <c r="DZ16" s="230">
        <v>143152600</v>
      </c>
      <c r="EA16" s="229">
        <v>6.1999999999999998E-3</v>
      </c>
      <c r="EB16" s="229">
        <v>0.93140000000000001</v>
      </c>
      <c r="EC16" s="228">
        <v>1.92</v>
      </c>
      <c r="ED16" s="229">
        <v>6.3E-3</v>
      </c>
      <c r="EE16" s="230">
        <v>12017470</v>
      </c>
      <c r="EF16" s="230">
        <v>9474616</v>
      </c>
      <c r="EG16" s="229">
        <v>0.26840000000000003</v>
      </c>
      <c r="EH16" s="229">
        <v>0.3473</v>
      </c>
      <c r="EI16" s="231">
        <v>343317.84</v>
      </c>
      <c r="EJ16" s="231">
        <v>166680.59</v>
      </c>
      <c r="EK16" s="231">
        <v>234336.62</v>
      </c>
      <c r="EL16" s="228">
        <v>0</v>
      </c>
      <c r="EM16" s="231">
        <v>744335.05</v>
      </c>
      <c r="EN16" s="231">
        <v>650258.29</v>
      </c>
      <c r="EO16" s="231">
        <v>94076.76</v>
      </c>
      <c r="EP16" s="229">
        <v>0.1447</v>
      </c>
      <c r="EQ16" s="231">
        <v>118996</v>
      </c>
      <c r="ER16" s="231">
        <v>84964</v>
      </c>
      <c r="ES16" s="231">
        <v>496180</v>
      </c>
      <c r="ET16" s="231">
        <v>1814577127</v>
      </c>
      <c r="EU16" s="231">
        <v>700140</v>
      </c>
      <c r="EV16" s="231">
        <v>975310</v>
      </c>
      <c r="EW16" s="231">
        <v>-275170</v>
      </c>
      <c r="EX16" s="229">
        <v>-0.28210000000000002</v>
      </c>
      <c r="EY16" s="229">
        <v>0.12609999999999999</v>
      </c>
    </row>
    <row r="17" spans="1:155" ht="17.25" thickBot="1" x14ac:dyDescent="0.3">
      <c r="A17" s="226">
        <v>45869</v>
      </c>
      <c r="B17" s="227" t="s">
        <v>157</v>
      </c>
      <c r="C17" s="227" t="s">
        <v>219</v>
      </c>
      <c r="D17" s="231">
        <v>2752.8</v>
      </c>
      <c r="E17" s="231">
        <v>2766.3</v>
      </c>
      <c r="F17" s="228">
        <v>-13.5</v>
      </c>
      <c r="G17" s="229">
        <v>-4.8999999999999998E-3</v>
      </c>
      <c r="H17" s="231">
        <v>2746.4</v>
      </c>
      <c r="I17" s="231">
        <v>2758.6</v>
      </c>
      <c r="J17" s="228">
        <v>-12.2</v>
      </c>
      <c r="K17" s="229">
        <v>-4.4000000000000003E-3</v>
      </c>
      <c r="L17" s="231">
        <v>2746.4</v>
      </c>
      <c r="M17" s="231">
        <v>2760.4</v>
      </c>
      <c r="N17" s="228">
        <v>-14</v>
      </c>
      <c r="O17" s="229">
        <v>-5.1000000000000004E-3</v>
      </c>
      <c r="P17" s="231">
        <v>2752.8</v>
      </c>
      <c r="Q17" s="231">
        <v>2766.3</v>
      </c>
      <c r="R17" s="228">
        <v>-13.5</v>
      </c>
      <c r="S17" s="229">
        <v>-4.8999999999999998E-3</v>
      </c>
      <c r="T17" s="231">
        <v>2766.9</v>
      </c>
      <c r="U17" s="231">
        <v>2780.8</v>
      </c>
      <c r="V17" s="228">
        <v>-13.9</v>
      </c>
      <c r="W17" s="229">
        <v>-5.0000000000000001E-3</v>
      </c>
      <c r="X17" s="228">
        <v>6.4</v>
      </c>
      <c r="Y17" s="228">
        <v>1.8</v>
      </c>
      <c r="Z17" s="228">
        <v>4.5999999999999996</v>
      </c>
      <c r="AA17" s="229">
        <v>2.3E-3</v>
      </c>
      <c r="AB17" s="228">
        <v>0</v>
      </c>
      <c r="AC17" s="228">
        <v>1.8</v>
      </c>
      <c r="AD17" s="228">
        <v>-1.8</v>
      </c>
      <c r="AE17" s="229">
        <v>0</v>
      </c>
      <c r="AF17" s="228">
        <v>6.4</v>
      </c>
      <c r="AG17" s="228">
        <v>7.7</v>
      </c>
      <c r="AH17" s="228">
        <v>-1.3</v>
      </c>
      <c r="AI17" s="229">
        <v>2.3E-3</v>
      </c>
      <c r="AJ17" s="228">
        <v>20.5</v>
      </c>
      <c r="AK17" s="228">
        <v>22.2</v>
      </c>
      <c r="AL17" s="228">
        <v>-1.7</v>
      </c>
      <c r="AM17" s="229">
        <v>7.4999999999999997E-3</v>
      </c>
      <c r="AN17" s="231">
        <v>2743.66</v>
      </c>
      <c r="AO17" s="231">
        <v>2751.03</v>
      </c>
      <c r="AP17" s="228">
        <v>0</v>
      </c>
      <c r="AQ17" s="230">
        <v>15396</v>
      </c>
      <c r="AR17" s="230">
        <v>24458</v>
      </c>
      <c r="AS17" s="230">
        <v>-9062</v>
      </c>
      <c r="AT17" s="229">
        <v>-0.3705</v>
      </c>
      <c r="AU17" s="230">
        <v>5450</v>
      </c>
      <c r="AV17" s="230">
        <v>11299</v>
      </c>
      <c r="AW17" s="230">
        <v>-5849</v>
      </c>
      <c r="AX17" s="229">
        <v>-0.51770000000000005</v>
      </c>
      <c r="AY17" s="230">
        <v>9920</v>
      </c>
      <c r="AZ17" s="230">
        <v>13122</v>
      </c>
      <c r="BA17" s="230">
        <v>-3202</v>
      </c>
      <c r="BB17" s="229">
        <v>-0.24399999999999999</v>
      </c>
      <c r="BC17" s="228">
        <v>26</v>
      </c>
      <c r="BD17" s="228">
        <v>37</v>
      </c>
      <c r="BE17" s="228">
        <v>-11</v>
      </c>
      <c r="BF17" s="229">
        <v>-0.29730000000000001</v>
      </c>
      <c r="BG17" s="230">
        <v>6614</v>
      </c>
      <c r="BH17" s="230">
        <v>22308</v>
      </c>
      <c r="BI17" s="230">
        <v>-15694</v>
      </c>
      <c r="BJ17" s="229">
        <v>-0.70350000000000001</v>
      </c>
      <c r="BK17" s="230">
        <v>3136</v>
      </c>
      <c r="BL17" s="230">
        <v>4952</v>
      </c>
      <c r="BM17" s="230">
        <v>-1816</v>
      </c>
      <c r="BN17" s="229">
        <v>-0.36670000000000003</v>
      </c>
      <c r="BO17" s="230">
        <v>25146</v>
      </c>
      <c r="BP17" s="230">
        <v>51718</v>
      </c>
      <c r="BQ17" s="230">
        <v>-26572</v>
      </c>
      <c r="BR17" s="229">
        <v>-0.51380000000000003</v>
      </c>
      <c r="BS17" s="230">
        <v>586693</v>
      </c>
      <c r="BT17" s="230">
        <v>794593</v>
      </c>
      <c r="BU17" s="230">
        <v>-207900</v>
      </c>
      <c r="BV17" s="229">
        <v>-0.2616</v>
      </c>
      <c r="BW17" s="230">
        <v>12934000</v>
      </c>
      <c r="BX17" s="230">
        <v>12995000</v>
      </c>
      <c r="BY17" s="230">
        <v>-61000</v>
      </c>
      <c r="BZ17" s="229">
        <v>-4.7000000000000002E-3</v>
      </c>
      <c r="CA17" s="230">
        <v>425500</v>
      </c>
      <c r="CB17" s="230">
        <v>1170750</v>
      </c>
      <c r="CC17" s="230">
        <v>-745250</v>
      </c>
      <c r="CD17" s="229">
        <v>-0.63660000000000005</v>
      </c>
      <c r="CE17" s="230">
        <v>12911750</v>
      </c>
      <c r="CF17" s="230">
        <v>11804250</v>
      </c>
      <c r="CG17" s="230">
        <v>1107500</v>
      </c>
      <c r="CH17" s="229">
        <v>9.3799999999999994E-2</v>
      </c>
      <c r="CI17" s="230">
        <v>22250</v>
      </c>
      <c r="CJ17" s="230">
        <v>20000</v>
      </c>
      <c r="CK17" s="230">
        <v>2250</v>
      </c>
      <c r="CL17" s="229">
        <v>0.1125</v>
      </c>
      <c r="CM17" s="230">
        <v>512000</v>
      </c>
      <c r="CN17" s="230">
        <v>1922750</v>
      </c>
      <c r="CO17" s="230">
        <v>-1410750</v>
      </c>
      <c r="CP17" s="229">
        <v>-0.73370000000000002</v>
      </c>
      <c r="CQ17" s="230">
        <v>395500</v>
      </c>
      <c r="CR17" s="230">
        <v>1009000</v>
      </c>
      <c r="CS17" s="230">
        <v>-613500</v>
      </c>
      <c r="CT17" s="229">
        <v>-0.60799999999999998</v>
      </c>
      <c r="CU17" s="230">
        <v>13841500</v>
      </c>
      <c r="CV17" s="230">
        <v>15926750</v>
      </c>
      <c r="CW17" s="230">
        <v>-2085250</v>
      </c>
      <c r="CX17" s="229">
        <v>-0.13089999999999999</v>
      </c>
      <c r="CY17" s="228">
        <v>23.6</v>
      </c>
      <c r="CZ17" s="228">
        <v>24.36</v>
      </c>
      <c r="DA17" s="228">
        <v>-0.76</v>
      </c>
      <c r="DB17" s="228">
        <v>-0.76</v>
      </c>
      <c r="DC17" s="228">
        <v>27.04</v>
      </c>
      <c r="DD17" s="228">
        <v>27.1</v>
      </c>
      <c r="DE17" s="228">
        <v>-3.44</v>
      </c>
      <c r="DF17" s="228">
        <v>-0.06</v>
      </c>
      <c r="DG17" s="228">
        <v>23.36</v>
      </c>
      <c r="DH17" s="228">
        <v>24.25</v>
      </c>
      <c r="DI17" s="228">
        <v>-0.89</v>
      </c>
      <c r="DJ17" s="228">
        <v>-0.89</v>
      </c>
      <c r="DK17" s="228">
        <v>24.18</v>
      </c>
      <c r="DL17" s="228">
        <v>24.98</v>
      </c>
      <c r="DM17" s="228">
        <v>-0.8</v>
      </c>
      <c r="DN17" s="228">
        <v>-0.8</v>
      </c>
      <c r="DO17" s="228">
        <v>0.77</v>
      </c>
      <c r="DP17" s="228">
        <v>0.52</v>
      </c>
      <c r="DQ17" s="228">
        <v>0.25</v>
      </c>
      <c r="DR17" s="229">
        <v>0.48080000000000001</v>
      </c>
      <c r="DS17" s="231">
        <v>3160</v>
      </c>
      <c r="DT17" s="231">
        <v>2600</v>
      </c>
      <c r="DU17" s="228">
        <v>0.47</v>
      </c>
      <c r="DV17" s="228">
        <v>0.22</v>
      </c>
      <c r="DW17" s="228">
        <v>0.25</v>
      </c>
      <c r="DX17" s="229">
        <v>1.1364000000000001</v>
      </c>
      <c r="DY17" s="229">
        <v>0.96819999999999995</v>
      </c>
      <c r="DZ17" s="230">
        <v>11824250</v>
      </c>
      <c r="EA17" s="229">
        <v>2.3E-3</v>
      </c>
      <c r="EB17" s="229">
        <v>0.96819999999999995</v>
      </c>
      <c r="EC17" s="228">
        <v>7.37</v>
      </c>
      <c r="ED17" s="229">
        <v>2.7000000000000001E-3</v>
      </c>
      <c r="EE17" s="230">
        <v>306006</v>
      </c>
      <c r="EF17" s="230">
        <v>432299</v>
      </c>
      <c r="EG17" s="229">
        <v>-0.29210000000000003</v>
      </c>
      <c r="EH17" s="229">
        <v>0.52159999999999995</v>
      </c>
      <c r="EI17" s="231">
        <v>47320.69</v>
      </c>
      <c r="EJ17" s="231">
        <v>21496.35</v>
      </c>
      <c r="EK17" s="231">
        <v>105787.92</v>
      </c>
      <c r="EL17" s="228">
        <v>0</v>
      </c>
      <c r="EM17" s="231">
        <v>174604.96</v>
      </c>
      <c r="EN17" s="231">
        <v>363046.84</v>
      </c>
      <c r="EO17" s="231">
        <v>-188441.88</v>
      </c>
      <c r="EP17" s="229">
        <v>-0.51910000000000001</v>
      </c>
      <c r="EQ17" s="231">
        <v>14894</v>
      </c>
      <c r="ER17" s="231">
        <v>10695</v>
      </c>
      <c r="ES17" s="231">
        <v>356050</v>
      </c>
      <c r="ET17" s="231">
        <v>77020742</v>
      </c>
      <c r="EU17" s="231">
        <v>381639</v>
      </c>
      <c r="EV17" s="231">
        <v>443222</v>
      </c>
      <c r="EW17" s="231">
        <v>-61583</v>
      </c>
      <c r="EX17" s="229">
        <v>-0.1389</v>
      </c>
      <c r="EY17" s="229">
        <v>0.1797</v>
      </c>
    </row>
    <row r="18" spans="1:155" ht="17.25" thickBot="1" x14ac:dyDescent="0.3">
      <c r="A18" s="226">
        <v>45869</v>
      </c>
      <c r="B18" s="227" t="s">
        <v>221</v>
      </c>
      <c r="C18" s="227" t="s">
        <v>222</v>
      </c>
      <c r="D18" s="231">
        <v>1476.2</v>
      </c>
      <c r="E18" s="231">
        <v>1485</v>
      </c>
      <c r="F18" s="228">
        <v>-8.8000000000000007</v>
      </c>
      <c r="G18" s="229">
        <v>-5.8999999999999999E-3</v>
      </c>
      <c r="H18" s="231">
        <v>1467.9</v>
      </c>
      <c r="I18" s="231">
        <v>1476.5</v>
      </c>
      <c r="J18" s="228">
        <v>-8.6</v>
      </c>
      <c r="K18" s="229">
        <v>-5.7999999999999996E-3</v>
      </c>
      <c r="L18" s="231">
        <v>1468.1</v>
      </c>
      <c r="M18" s="231">
        <v>1477.4</v>
      </c>
      <c r="N18" s="228">
        <v>-9.3000000000000007</v>
      </c>
      <c r="O18" s="229">
        <v>-6.3E-3</v>
      </c>
      <c r="P18" s="231">
        <v>1476.2</v>
      </c>
      <c r="Q18" s="231">
        <v>1485</v>
      </c>
      <c r="R18" s="228">
        <v>-8.8000000000000007</v>
      </c>
      <c r="S18" s="229">
        <v>-5.8999999999999999E-3</v>
      </c>
      <c r="T18" s="231">
        <v>1484.6</v>
      </c>
      <c r="U18" s="231">
        <v>1495</v>
      </c>
      <c r="V18" s="228">
        <v>-10.4</v>
      </c>
      <c r="W18" s="229">
        <v>-7.0000000000000001E-3</v>
      </c>
      <c r="X18" s="228">
        <v>8.3000000000000007</v>
      </c>
      <c r="Y18" s="228">
        <v>0.9</v>
      </c>
      <c r="Z18" s="228">
        <v>7.4</v>
      </c>
      <c r="AA18" s="229">
        <v>5.7000000000000002E-3</v>
      </c>
      <c r="AB18" s="228">
        <v>0.2</v>
      </c>
      <c r="AC18" s="228">
        <v>0.9</v>
      </c>
      <c r="AD18" s="228">
        <v>-0.7</v>
      </c>
      <c r="AE18" s="229">
        <v>1E-4</v>
      </c>
      <c r="AF18" s="228">
        <v>8.3000000000000007</v>
      </c>
      <c r="AG18" s="228">
        <v>8.5</v>
      </c>
      <c r="AH18" s="228">
        <v>-0.2</v>
      </c>
      <c r="AI18" s="229">
        <v>5.7000000000000002E-3</v>
      </c>
      <c r="AJ18" s="228">
        <v>16.7</v>
      </c>
      <c r="AK18" s="228">
        <v>18.5</v>
      </c>
      <c r="AL18" s="228">
        <v>-1.8</v>
      </c>
      <c r="AM18" s="229">
        <v>1.14E-2</v>
      </c>
      <c r="AN18" s="231">
        <v>1471.77</v>
      </c>
      <c r="AO18" s="231">
        <v>1478.99</v>
      </c>
      <c r="AP18" s="228">
        <v>0</v>
      </c>
      <c r="AQ18" s="230">
        <v>19818</v>
      </c>
      <c r="AR18" s="230">
        <v>25373</v>
      </c>
      <c r="AS18" s="230">
        <v>-5555</v>
      </c>
      <c r="AT18" s="229">
        <v>-0.21890000000000001</v>
      </c>
      <c r="AU18" s="230">
        <v>7869</v>
      </c>
      <c r="AV18" s="230">
        <v>12306</v>
      </c>
      <c r="AW18" s="230">
        <v>-4437</v>
      </c>
      <c r="AX18" s="229">
        <v>-0.36059999999999998</v>
      </c>
      <c r="AY18" s="230">
        <v>11321</v>
      </c>
      <c r="AZ18" s="230">
        <v>12870</v>
      </c>
      <c r="BA18" s="230">
        <v>-1549</v>
      </c>
      <c r="BB18" s="229">
        <v>-0.12039999999999999</v>
      </c>
      <c r="BC18" s="228">
        <v>628</v>
      </c>
      <c r="BD18" s="228">
        <v>197</v>
      </c>
      <c r="BE18" s="228">
        <v>431</v>
      </c>
      <c r="BF18" s="229">
        <v>2.1878000000000002</v>
      </c>
      <c r="BG18" s="230">
        <v>19567</v>
      </c>
      <c r="BH18" s="230">
        <v>16937</v>
      </c>
      <c r="BI18" s="230">
        <v>2630</v>
      </c>
      <c r="BJ18" s="229">
        <v>0.15529999999999999</v>
      </c>
      <c r="BK18" s="230">
        <v>12063</v>
      </c>
      <c r="BL18" s="230">
        <v>7846</v>
      </c>
      <c r="BM18" s="230">
        <v>4217</v>
      </c>
      <c r="BN18" s="229">
        <v>0.53749999999999998</v>
      </c>
      <c r="BO18" s="230">
        <v>51448</v>
      </c>
      <c r="BP18" s="230">
        <v>50156</v>
      </c>
      <c r="BQ18" s="230">
        <v>1292</v>
      </c>
      <c r="BR18" s="229">
        <v>2.58E-2</v>
      </c>
      <c r="BS18" s="230">
        <v>2389698</v>
      </c>
      <c r="BT18" s="230">
        <v>1682813</v>
      </c>
      <c r="BU18" s="230">
        <v>706885</v>
      </c>
      <c r="BV18" s="229">
        <v>0.42009999999999997</v>
      </c>
      <c r="BW18" s="230">
        <v>19672800</v>
      </c>
      <c r="BX18" s="230">
        <v>20891850</v>
      </c>
      <c r="BY18" s="230">
        <v>-1219050</v>
      </c>
      <c r="BZ18" s="229">
        <v>-5.8400000000000001E-2</v>
      </c>
      <c r="CA18" s="230">
        <v>1372000</v>
      </c>
      <c r="CB18" s="230">
        <v>3078600</v>
      </c>
      <c r="CC18" s="230">
        <v>-1706600</v>
      </c>
      <c r="CD18" s="229">
        <v>-0.55430000000000001</v>
      </c>
      <c r="CE18" s="230">
        <v>18849250</v>
      </c>
      <c r="CF18" s="230">
        <v>17046750</v>
      </c>
      <c r="CG18" s="230">
        <v>1802500</v>
      </c>
      <c r="CH18" s="229">
        <v>0.1057</v>
      </c>
      <c r="CI18" s="230">
        <v>823550</v>
      </c>
      <c r="CJ18" s="230">
        <v>766500</v>
      </c>
      <c r="CK18" s="230">
        <v>57050</v>
      </c>
      <c r="CL18" s="229">
        <v>7.4399999999999994E-2</v>
      </c>
      <c r="CM18" s="230">
        <v>3955000</v>
      </c>
      <c r="CN18" s="230">
        <v>13291600</v>
      </c>
      <c r="CO18" s="230">
        <v>-9336600</v>
      </c>
      <c r="CP18" s="229">
        <v>-0.70240000000000002</v>
      </c>
      <c r="CQ18" s="230">
        <v>2645650</v>
      </c>
      <c r="CR18" s="230">
        <v>5482400</v>
      </c>
      <c r="CS18" s="230">
        <v>-2836750</v>
      </c>
      <c r="CT18" s="229">
        <v>-0.51739999999999997</v>
      </c>
      <c r="CU18" s="230">
        <v>26273450</v>
      </c>
      <c r="CV18" s="230">
        <v>39665850</v>
      </c>
      <c r="CW18" s="230">
        <v>-13392400</v>
      </c>
      <c r="CX18" s="229">
        <v>-0.33760000000000001</v>
      </c>
      <c r="CY18" s="228">
        <v>21.98</v>
      </c>
      <c r="CZ18" s="228">
        <v>22.33</v>
      </c>
      <c r="DA18" s="228">
        <v>-0.35</v>
      </c>
      <c r="DB18" s="228">
        <v>-0.35</v>
      </c>
      <c r="DC18" s="228">
        <v>30.46</v>
      </c>
      <c r="DD18" s="228">
        <v>30.52</v>
      </c>
      <c r="DE18" s="228">
        <v>-8.48</v>
      </c>
      <c r="DF18" s="228">
        <v>-0.06</v>
      </c>
      <c r="DG18" s="228">
        <v>22.32</v>
      </c>
      <c r="DH18" s="228">
        <v>22.5</v>
      </c>
      <c r="DI18" s="228">
        <v>-0.18</v>
      </c>
      <c r="DJ18" s="228">
        <v>-0.18</v>
      </c>
      <c r="DK18" s="228">
        <v>21.4</v>
      </c>
      <c r="DL18" s="228">
        <v>22.07</v>
      </c>
      <c r="DM18" s="228">
        <v>-0.67</v>
      </c>
      <c r="DN18" s="228">
        <v>-0.67</v>
      </c>
      <c r="DO18" s="228">
        <v>0.67</v>
      </c>
      <c r="DP18" s="228">
        <v>0.41</v>
      </c>
      <c r="DQ18" s="228">
        <v>0.26</v>
      </c>
      <c r="DR18" s="229">
        <v>0.6341</v>
      </c>
      <c r="DS18" s="231">
        <v>1820</v>
      </c>
      <c r="DT18" s="231">
        <v>1500</v>
      </c>
      <c r="DU18" s="228">
        <v>0.62</v>
      </c>
      <c r="DV18" s="228">
        <v>0.46</v>
      </c>
      <c r="DW18" s="228">
        <v>0.16</v>
      </c>
      <c r="DX18" s="229">
        <v>0.3478</v>
      </c>
      <c r="DY18" s="229">
        <v>0.93479999999999996</v>
      </c>
      <c r="DZ18" s="230">
        <v>17813250</v>
      </c>
      <c r="EA18" s="229">
        <v>5.4999999999999997E-3</v>
      </c>
      <c r="EB18" s="229">
        <v>0.93479999999999996</v>
      </c>
      <c r="EC18" s="228">
        <v>7.22</v>
      </c>
      <c r="ED18" s="229">
        <v>4.8999999999999998E-3</v>
      </c>
      <c r="EE18" s="230">
        <v>1597533</v>
      </c>
      <c r="EF18" s="230">
        <v>1167043</v>
      </c>
      <c r="EG18" s="229">
        <v>0.36890000000000001</v>
      </c>
      <c r="EH18" s="229">
        <v>0.66849999999999998</v>
      </c>
      <c r="EI18" s="231">
        <v>106530.5</v>
      </c>
      <c r="EJ18" s="231">
        <v>63684.43</v>
      </c>
      <c r="EK18" s="231">
        <v>102407.62</v>
      </c>
      <c r="EL18" s="228">
        <v>0</v>
      </c>
      <c r="EM18" s="231">
        <v>272622.55</v>
      </c>
      <c r="EN18" s="231">
        <v>265633.76</v>
      </c>
      <c r="EO18" s="231">
        <v>6988.79</v>
      </c>
      <c r="EP18" s="229">
        <v>2.63E-2</v>
      </c>
      <c r="EQ18" s="231">
        <v>62522</v>
      </c>
      <c r="ER18" s="231">
        <v>39228</v>
      </c>
      <c r="ES18" s="231">
        <v>290479</v>
      </c>
      <c r="ET18" s="231">
        <v>211721976</v>
      </c>
      <c r="EU18" s="231">
        <v>392230</v>
      </c>
      <c r="EV18" s="231">
        <v>617897</v>
      </c>
      <c r="EW18" s="231">
        <v>-225667</v>
      </c>
      <c r="EX18" s="229">
        <v>-0.36520000000000002</v>
      </c>
      <c r="EY18" s="229">
        <v>0.1241</v>
      </c>
    </row>
    <row r="19" spans="1:155" ht="17.25" thickBot="1" x14ac:dyDescent="0.3">
      <c r="A19" s="226">
        <v>45869</v>
      </c>
      <c r="B19" s="227" t="s">
        <v>172</v>
      </c>
      <c r="C19" s="227" t="s">
        <v>224</v>
      </c>
      <c r="D19" s="231">
        <v>2028.7</v>
      </c>
      <c r="E19" s="231">
        <v>2034.4</v>
      </c>
      <c r="F19" s="228">
        <v>-5.7</v>
      </c>
      <c r="G19" s="229">
        <v>-2.8E-3</v>
      </c>
      <c r="H19" s="231">
        <v>2018.2</v>
      </c>
      <c r="I19" s="231">
        <v>2025.8</v>
      </c>
      <c r="J19" s="228">
        <v>-7.6</v>
      </c>
      <c r="K19" s="229">
        <v>-3.8E-3</v>
      </c>
      <c r="L19" s="231">
        <v>2017.8</v>
      </c>
      <c r="M19" s="231">
        <v>2023.1</v>
      </c>
      <c r="N19" s="228">
        <v>-5.3</v>
      </c>
      <c r="O19" s="229">
        <v>-2.5999999999999999E-3</v>
      </c>
      <c r="P19" s="231">
        <v>2028.7</v>
      </c>
      <c r="Q19" s="231">
        <v>2034.4</v>
      </c>
      <c r="R19" s="228">
        <v>-5.7</v>
      </c>
      <c r="S19" s="229">
        <v>-2.8E-3</v>
      </c>
      <c r="T19" s="231">
        <v>2040.8</v>
      </c>
      <c r="U19" s="231">
        <v>2046.5</v>
      </c>
      <c r="V19" s="228">
        <v>-5.7</v>
      </c>
      <c r="W19" s="229">
        <v>-2.8E-3</v>
      </c>
      <c r="X19" s="228">
        <v>10.5</v>
      </c>
      <c r="Y19" s="228">
        <v>-2.7</v>
      </c>
      <c r="Z19" s="228">
        <v>13.2</v>
      </c>
      <c r="AA19" s="229">
        <v>5.1999999999999998E-3</v>
      </c>
      <c r="AB19" s="228">
        <v>-0.4</v>
      </c>
      <c r="AC19" s="228">
        <v>-2.7</v>
      </c>
      <c r="AD19" s="228">
        <v>2.2999999999999998</v>
      </c>
      <c r="AE19" s="229">
        <v>-2.0000000000000001E-4</v>
      </c>
      <c r="AF19" s="228">
        <v>10.5</v>
      </c>
      <c r="AG19" s="228">
        <v>8.6</v>
      </c>
      <c r="AH19" s="228">
        <v>1.9</v>
      </c>
      <c r="AI19" s="229">
        <v>5.1999999999999998E-3</v>
      </c>
      <c r="AJ19" s="228">
        <v>22.6</v>
      </c>
      <c r="AK19" s="228">
        <v>20.7</v>
      </c>
      <c r="AL19" s="228">
        <v>1.9</v>
      </c>
      <c r="AM19" s="229">
        <v>1.12E-2</v>
      </c>
      <c r="AN19" s="231">
        <v>2018.18</v>
      </c>
      <c r="AO19" s="231">
        <v>2029.08</v>
      </c>
      <c r="AP19" s="228">
        <v>0</v>
      </c>
      <c r="AQ19" s="230">
        <v>67160</v>
      </c>
      <c r="AR19" s="230">
        <v>102189</v>
      </c>
      <c r="AS19" s="230">
        <v>-35029</v>
      </c>
      <c r="AT19" s="229">
        <v>-0.34279999999999999</v>
      </c>
      <c r="AU19" s="230">
        <v>31373</v>
      </c>
      <c r="AV19" s="230">
        <v>52137</v>
      </c>
      <c r="AW19" s="230">
        <v>-20764</v>
      </c>
      <c r="AX19" s="229">
        <v>-0.39829999999999999</v>
      </c>
      <c r="AY19" s="230">
        <v>35380</v>
      </c>
      <c r="AZ19" s="230">
        <v>49767</v>
      </c>
      <c r="BA19" s="230">
        <v>-14387</v>
      </c>
      <c r="BB19" s="229">
        <v>-0.28910000000000002</v>
      </c>
      <c r="BC19" s="228">
        <v>407</v>
      </c>
      <c r="BD19" s="228">
        <v>285</v>
      </c>
      <c r="BE19" s="228">
        <v>122</v>
      </c>
      <c r="BF19" s="229">
        <v>0.42809999999999998</v>
      </c>
      <c r="BG19" s="230">
        <v>67412</v>
      </c>
      <c r="BH19" s="230">
        <v>67296</v>
      </c>
      <c r="BI19" s="228">
        <v>116</v>
      </c>
      <c r="BJ19" s="229">
        <v>1.6999999999999999E-3</v>
      </c>
      <c r="BK19" s="230">
        <v>66560</v>
      </c>
      <c r="BL19" s="230">
        <v>54585</v>
      </c>
      <c r="BM19" s="230">
        <v>11975</v>
      </c>
      <c r="BN19" s="229">
        <v>0.21940000000000001</v>
      </c>
      <c r="BO19" s="230">
        <v>201132</v>
      </c>
      <c r="BP19" s="230">
        <v>224070</v>
      </c>
      <c r="BQ19" s="230">
        <v>-22938</v>
      </c>
      <c r="BR19" s="229">
        <v>-0.1024</v>
      </c>
      <c r="BS19" s="230">
        <v>11269394</v>
      </c>
      <c r="BT19" s="230">
        <v>7674304</v>
      </c>
      <c r="BU19" s="230">
        <v>3595090</v>
      </c>
      <c r="BV19" s="229">
        <v>0.46850000000000003</v>
      </c>
      <c r="BW19" s="230">
        <v>103714050</v>
      </c>
      <c r="BX19" s="230">
        <v>105955300</v>
      </c>
      <c r="BY19" s="230">
        <v>-2241250</v>
      </c>
      <c r="BZ19" s="229">
        <v>-2.12E-2</v>
      </c>
      <c r="CA19" s="230">
        <v>1992100</v>
      </c>
      <c r="CB19" s="230">
        <v>12621400</v>
      </c>
      <c r="CC19" s="230">
        <v>-10629300</v>
      </c>
      <c r="CD19" s="229">
        <v>-0.84219999999999995</v>
      </c>
      <c r="CE19" s="230">
        <v>102663000</v>
      </c>
      <c r="CF19" s="230">
        <v>92310900</v>
      </c>
      <c r="CG19" s="230">
        <v>10352100</v>
      </c>
      <c r="CH19" s="229">
        <v>0.11210000000000001</v>
      </c>
      <c r="CI19" s="230">
        <v>1051050</v>
      </c>
      <c r="CJ19" s="230">
        <v>1023000</v>
      </c>
      <c r="CK19" s="230">
        <v>28050</v>
      </c>
      <c r="CL19" s="229">
        <v>2.7400000000000001E-2</v>
      </c>
      <c r="CM19" s="230">
        <v>8599800</v>
      </c>
      <c r="CN19" s="230">
        <v>29855100</v>
      </c>
      <c r="CO19" s="230">
        <v>-21255300</v>
      </c>
      <c r="CP19" s="229">
        <v>-0.71189999999999998</v>
      </c>
      <c r="CQ19" s="230">
        <v>10793200</v>
      </c>
      <c r="CR19" s="230">
        <v>23194600</v>
      </c>
      <c r="CS19" s="230">
        <v>-12401400</v>
      </c>
      <c r="CT19" s="229">
        <v>-0.53469999999999995</v>
      </c>
      <c r="CU19" s="230">
        <v>123107050</v>
      </c>
      <c r="CV19" s="230">
        <v>159005000</v>
      </c>
      <c r="CW19" s="230">
        <v>-35897950</v>
      </c>
      <c r="CX19" s="229">
        <v>-0.2258</v>
      </c>
      <c r="CY19" s="228">
        <v>15.83</v>
      </c>
      <c r="CZ19" s="228">
        <v>16.36</v>
      </c>
      <c r="DA19" s="228">
        <v>-0.53</v>
      </c>
      <c r="DB19" s="228">
        <v>-0.53</v>
      </c>
      <c r="DC19" s="228">
        <v>23</v>
      </c>
      <c r="DD19" s="228">
        <v>23.06</v>
      </c>
      <c r="DE19" s="228">
        <v>-7.17</v>
      </c>
      <c r="DF19" s="228">
        <v>-0.06</v>
      </c>
      <c r="DG19" s="228">
        <v>15.07</v>
      </c>
      <c r="DH19" s="228">
        <v>15.39</v>
      </c>
      <c r="DI19" s="228">
        <v>-0.32</v>
      </c>
      <c r="DJ19" s="228">
        <v>-0.32</v>
      </c>
      <c r="DK19" s="228">
        <v>16.600000000000001</v>
      </c>
      <c r="DL19" s="228">
        <v>17.29</v>
      </c>
      <c r="DM19" s="228">
        <v>-0.69</v>
      </c>
      <c r="DN19" s="228">
        <v>-0.69</v>
      </c>
      <c r="DO19" s="228">
        <v>1.26</v>
      </c>
      <c r="DP19" s="228">
        <v>0.78</v>
      </c>
      <c r="DQ19" s="228">
        <v>0.48</v>
      </c>
      <c r="DR19" s="229">
        <v>0.61539999999999995</v>
      </c>
      <c r="DS19" s="231">
        <v>2040</v>
      </c>
      <c r="DT19" s="231">
        <v>2000</v>
      </c>
      <c r="DU19" s="228">
        <v>0.99</v>
      </c>
      <c r="DV19" s="228">
        <v>0.81</v>
      </c>
      <c r="DW19" s="228">
        <v>0.18</v>
      </c>
      <c r="DX19" s="229">
        <v>0.22220000000000001</v>
      </c>
      <c r="DY19" s="229">
        <v>0.98119999999999996</v>
      </c>
      <c r="DZ19" s="230">
        <v>93333900</v>
      </c>
      <c r="EA19" s="229">
        <v>5.4000000000000003E-3</v>
      </c>
      <c r="EB19" s="229">
        <v>0.98119999999999996</v>
      </c>
      <c r="EC19" s="228">
        <v>10.9</v>
      </c>
      <c r="ED19" s="229">
        <v>5.4000000000000003E-3</v>
      </c>
      <c r="EE19" s="230">
        <v>4771350</v>
      </c>
      <c r="EF19" s="230">
        <v>5350639</v>
      </c>
      <c r="EG19" s="229">
        <v>-0.10829999999999999</v>
      </c>
      <c r="EH19" s="229">
        <v>0.4234</v>
      </c>
      <c r="EI19" s="231">
        <v>762697.29</v>
      </c>
      <c r="EJ19" s="231">
        <v>732561.32</v>
      </c>
      <c r="EK19" s="231">
        <v>747649.25</v>
      </c>
      <c r="EL19" s="228">
        <v>0</v>
      </c>
      <c r="EM19" s="231">
        <v>2242907.86</v>
      </c>
      <c r="EN19" s="231">
        <v>2496589.84</v>
      </c>
      <c r="EO19" s="231">
        <v>-253681.98</v>
      </c>
      <c r="EP19" s="229">
        <v>-0.1016</v>
      </c>
      <c r="EQ19" s="231">
        <v>177459</v>
      </c>
      <c r="ER19" s="231">
        <v>211115</v>
      </c>
      <c r="ES19" s="231">
        <v>2104174</v>
      </c>
      <c r="ET19" s="231">
        <v>1324758679</v>
      </c>
      <c r="EU19" s="231">
        <v>2492749</v>
      </c>
      <c r="EV19" s="231">
        <v>3220413</v>
      </c>
      <c r="EW19" s="231">
        <v>-727664</v>
      </c>
      <c r="EX19" s="229">
        <v>-0.22600000000000001</v>
      </c>
      <c r="EY19" s="229">
        <v>9.2899999999999996E-2</v>
      </c>
    </row>
    <row r="20" spans="1:155" ht="17.25" thickBot="1" x14ac:dyDescent="0.3">
      <c r="A20" s="226">
        <v>45869</v>
      </c>
      <c r="B20" s="227" t="s">
        <v>175</v>
      </c>
      <c r="C20" s="227" t="s">
        <v>225</v>
      </c>
      <c r="D20" s="228">
        <v>760</v>
      </c>
      <c r="E20" s="228">
        <v>761.7</v>
      </c>
      <c r="F20" s="228">
        <v>-1.7</v>
      </c>
      <c r="G20" s="229">
        <v>-2.2000000000000001E-3</v>
      </c>
      <c r="H20" s="228">
        <v>755.5</v>
      </c>
      <c r="I20" s="228">
        <v>757.45</v>
      </c>
      <c r="J20" s="228">
        <v>-1.95</v>
      </c>
      <c r="K20" s="229">
        <v>-2.5999999999999999E-3</v>
      </c>
      <c r="L20" s="228">
        <v>756.65</v>
      </c>
      <c r="M20" s="228">
        <v>757.3</v>
      </c>
      <c r="N20" s="228">
        <v>-0.65</v>
      </c>
      <c r="O20" s="229">
        <v>-8.9999999999999998E-4</v>
      </c>
      <c r="P20" s="228">
        <v>760</v>
      </c>
      <c r="Q20" s="228">
        <v>761.7</v>
      </c>
      <c r="R20" s="228">
        <v>-1.7</v>
      </c>
      <c r="S20" s="229">
        <v>-2.2000000000000001E-3</v>
      </c>
      <c r="T20" s="228">
        <v>765.7</v>
      </c>
      <c r="U20" s="228">
        <v>766.7</v>
      </c>
      <c r="V20" s="228">
        <v>-1</v>
      </c>
      <c r="W20" s="229">
        <v>-1.2999999999999999E-3</v>
      </c>
      <c r="X20" s="228">
        <v>4.5</v>
      </c>
      <c r="Y20" s="228">
        <v>-0.15</v>
      </c>
      <c r="Z20" s="228">
        <v>4.6500000000000004</v>
      </c>
      <c r="AA20" s="229">
        <v>6.0000000000000001E-3</v>
      </c>
      <c r="AB20" s="228">
        <v>1.1499999999999999</v>
      </c>
      <c r="AC20" s="228">
        <v>-0.15</v>
      </c>
      <c r="AD20" s="228">
        <v>1.3</v>
      </c>
      <c r="AE20" s="229">
        <v>1.5E-3</v>
      </c>
      <c r="AF20" s="228">
        <v>4.5</v>
      </c>
      <c r="AG20" s="228">
        <v>4.25</v>
      </c>
      <c r="AH20" s="228">
        <v>0.25</v>
      </c>
      <c r="AI20" s="229">
        <v>6.0000000000000001E-3</v>
      </c>
      <c r="AJ20" s="228">
        <v>10.199999999999999</v>
      </c>
      <c r="AK20" s="228">
        <v>9.25</v>
      </c>
      <c r="AL20" s="228">
        <v>0.95</v>
      </c>
      <c r="AM20" s="229">
        <v>1.35E-2</v>
      </c>
      <c r="AN20" s="228">
        <v>755.55</v>
      </c>
      <c r="AO20" s="228">
        <v>759.35</v>
      </c>
      <c r="AP20" s="228">
        <v>0</v>
      </c>
      <c r="AQ20" s="230">
        <v>11686</v>
      </c>
      <c r="AR20" s="230">
        <v>20317</v>
      </c>
      <c r="AS20" s="230">
        <v>-8631</v>
      </c>
      <c r="AT20" s="229">
        <v>-0.42480000000000001</v>
      </c>
      <c r="AU20" s="230">
        <v>5237</v>
      </c>
      <c r="AV20" s="230">
        <v>10052</v>
      </c>
      <c r="AW20" s="230">
        <v>-4815</v>
      </c>
      <c r="AX20" s="229">
        <v>-0.47899999999999998</v>
      </c>
      <c r="AY20" s="230">
        <v>6398</v>
      </c>
      <c r="AZ20" s="230">
        <v>10238</v>
      </c>
      <c r="BA20" s="230">
        <v>-3840</v>
      </c>
      <c r="BB20" s="229">
        <v>-0.37509999999999999</v>
      </c>
      <c r="BC20" s="228">
        <v>51</v>
      </c>
      <c r="BD20" s="228">
        <v>27</v>
      </c>
      <c r="BE20" s="228">
        <v>24</v>
      </c>
      <c r="BF20" s="229">
        <v>0.88890000000000002</v>
      </c>
      <c r="BG20" s="230">
        <v>7522</v>
      </c>
      <c r="BH20" s="230">
        <v>7415</v>
      </c>
      <c r="BI20" s="228">
        <v>107</v>
      </c>
      <c r="BJ20" s="229">
        <v>1.44E-2</v>
      </c>
      <c r="BK20" s="230">
        <v>6331</v>
      </c>
      <c r="BL20" s="230">
        <v>3721</v>
      </c>
      <c r="BM20" s="230">
        <v>2610</v>
      </c>
      <c r="BN20" s="229">
        <v>0.70140000000000002</v>
      </c>
      <c r="BO20" s="230">
        <v>25539</v>
      </c>
      <c r="BP20" s="230">
        <v>31453</v>
      </c>
      <c r="BQ20" s="230">
        <v>-5914</v>
      </c>
      <c r="BR20" s="229">
        <v>-0.188</v>
      </c>
      <c r="BS20" s="230">
        <v>1839036</v>
      </c>
      <c r="BT20" s="230">
        <v>2070046</v>
      </c>
      <c r="BU20" s="230">
        <v>-231010</v>
      </c>
      <c r="BV20" s="229">
        <v>-0.1116</v>
      </c>
      <c r="BW20" s="230">
        <v>28716600</v>
      </c>
      <c r="BX20" s="230">
        <v>29797900</v>
      </c>
      <c r="BY20" s="230">
        <v>-1081300</v>
      </c>
      <c r="BZ20" s="229">
        <v>-3.6299999999999999E-2</v>
      </c>
      <c r="CA20" s="230">
        <v>1293600</v>
      </c>
      <c r="CB20" s="230">
        <v>4244900</v>
      </c>
      <c r="CC20" s="230">
        <v>-2951300</v>
      </c>
      <c r="CD20" s="229">
        <v>-0.69530000000000003</v>
      </c>
      <c r="CE20" s="230">
        <v>28508700</v>
      </c>
      <c r="CF20" s="230">
        <v>25350600</v>
      </c>
      <c r="CG20" s="230">
        <v>3158100</v>
      </c>
      <c r="CH20" s="229">
        <v>0.1246</v>
      </c>
      <c r="CI20" s="230">
        <v>207900</v>
      </c>
      <c r="CJ20" s="230">
        <v>202400</v>
      </c>
      <c r="CK20" s="230">
        <v>5500</v>
      </c>
      <c r="CL20" s="229">
        <v>2.7199999999999998E-2</v>
      </c>
      <c r="CM20" s="230">
        <v>3190000</v>
      </c>
      <c r="CN20" s="230">
        <v>16654000</v>
      </c>
      <c r="CO20" s="230">
        <v>-13464000</v>
      </c>
      <c r="CP20" s="229">
        <v>-0.8085</v>
      </c>
      <c r="CQ20" s="230">
        <v>2624600</v>
      </c>
      <c r="CR20" s="230">
        <v>8556900</v>
      </c>
      <c r="CS20" s="230">
        <v>-5932300</v>
      </c>
      <c r="CT20" s="229">
        <v>-0.69330000000000003</v>
      </c>
      <c r="CU20" s="230">
        <v>34531200</v>
      </c>
      <c r="CV20" s="230">
        <v>55008800</v>
      </c>
      <c r="CW20" s="230">
        <v>-20477600</v>
      </c>
      <c r="CX20" s="229">
        <v>-0.37230000000000002</v>
      </c>
      <c r="CY20" s="228">
        <v>21.9</v>
      </c>
      <c r="CZ20" s="228">
        <v>21.85</v>
      </c>
      <c r="DA20" s="228">
        <v>0.05</v>
      </c>
      <c r="DB20" s="228">
        <v>0.05</v>
      </c>
      <c r="DC20" s="228">
        <v>27.49</v>
      </c>
      <c r="DD20" s="228">
        <v>27.56</v>
      </c>
      <c r="DE20" s="228">
        <v>-5.59</v>
      </c>
      <c r="DF20" s="228">
        <v>-7.0000000000000007E-2</v>
      </c>
      <c r="DG20" s="228">
        <v>21.85</v>
      </c>
      <c r="DH20" s="228">
        <v>21.94</v>
      </c>
      <c r="DI20" s="228">
        <v>-0.09</v>
      </c>
      <c r="DJ20" s="228">
        <v>-0.09</v>
      </c>
      <c r="DK20" s="228">
        <v>21.96</v>
      </c>
      <c r="DL20" s="228">
        <v>21.71</v>
      </c>
      <c r="DM20" s="228">
        <v>0.25</v>
      </c>
      <c r="DN20" s="228">
        <v>0.25</v>
      </c>
      <c r="DO20" s="228">
        <v>0.82</v>
      </c>
      <c r="DP20" s="228">
        <v>0.51</v>
      </c>
      <c r="DQ20" s="228">
        <v>0.31</v>
      </c>
      <c r="DR20" s="229">
        <v>0.60780000000000001</v>
      </c>
      <c r="DS20" s="228">
        <v>820</v>
      </c>
      <c r="DT20" s="228">
        <v>700</v>
      </c>
      <c r="DU20" s="228">
        <v>0.84</v>
      </c>
      <c r="DV20" s="228">
        <v>0.5</v>
      </c>
      <c r="DW20" s="228">
        <v>0.34</v>
      </c>
      <c r="DX20" s="229">
        <v>0.68</v>
      </c>
      <c r="DY20" s="229">
        <v>0.95689999999999997</v>
      </c>
      <c r="DZ20" s="230">
        <v>25553000</v>
      </c>
      <c r="EA20" s="229">
        <v>4.4000000000000003E-3</v>
      </c>
      <c r="EB20" s="229">
        <v>0.95689999999999997</v>
      </c>
      <c r="EC20" s="228">
        <v>3.8</v>
      </c>
      <c r="ED20" s="229">
        <v>5.0000000000000001E-3</v>
      </c>
      <c r="EE20" s="230">
        <v>909243</v>
      </c>
      <c r="EF20" s="230">
        <v>1193790</v>
      </c>
      <c r="EG20" s="229">
        <v>-0.2384</v>
      </c>
      <c r="EH20" s="229">
        <v>0.49440000000000001</v>
      </c>
      <c r="EI20" s="231">
        <v>64818.74</v>
      </c>
      <c r="EJ20" s="231">
        <v>52618.67</v>
      </c>
      <c r="EK20" s="231">
        <v>97395.39</v>
      </c>
      <c r="EL20" s="228">
        <v>0</v>
      </c>
      <c r="EM20" s="231">
        <v>214832.8</v>
      </c>
      <c r="EN20" s="231">
        <v>263838.46000000002</v>
      </c>
      <c r="EO20" s="231">
        <v>-49005.66</v>
      </c>
      <c r="EP20" s="229">
        <v>-0.1857</v>
      </c>
      <c r="EQ20" s="231">
        <v>25356</v>
      </c>
      <c r="ER20" s="231">
        <v>19449</v>
      </c>
      <c r="ES20" s="231">
        <v>218258</v>
      </c>
      <c r="ET20" s="231">
        <v>213821216</v>
      </c>
      <c r="EU20" s="231">
        <v>263063</v>
      </c>
      <c r="EV20" s="231">
        <v>425750</v>
      </c>
      <c r="EW20" s="231">
        <v>-162687</v>
      </c>
      <c r="EX20" s="229">
        <v>-0.3821</v>
      </c>
      <c r="EY20" s="229">
        <v>0.1615</v>
      </c>
    </row>
    <row r="21" spans="1:155" ht="17.25" thickBot="1" x14ac:dyDescent="0.3">
      <c r="A21" s="226">
        <v>45869</v>
      </c>
      <c r="B21" s="227" t="s">
        <v>162</v>
      </c>
      <c r="C21" s="227" t="s">
        <v>226</v>
      </c>
      <c r="D21" s="231">
        <v>4225</v>
      </c>
      <c r="E21" s="231">
        <v>4221.2</v>
      </c>
      <c r="F21" s="228">
        <v>3.8</v>
      </c>
      <c r="G21" s="229">
        <v>8.9999999999999998E-4</v>
      </c>
      <c r="H21" s="231">
        <v>4260.7</v>
      </c>
      <c r="I21" s="231">
        <v>4251.3</v>
      </c>
      <c r="J21" s="228">
        <v>9.4</v>
      </c>
      <c r="K21" s="229">
        <v>2.2000000000000001E-3</v>
      </c>
      <c r="L21" s="231">
        <v>4260.2</v>
      </c>
      <c r="M21" s="231">
        <v>4252.6000000000004</v>
      </c>
      <c r="N21" s="228">
        <v>7.6</v>
      </c>
      <c r="O21" s="229">
        <v>1.8E-3</v>
      </c>
      <c r="P21" s="231">
        <v>4225</v>
      </c>
      <c r="Q21" s="231">
        <v>4221.2</v>
      </c>
      <c r="R21" s="228">
        <v>3.8</v>
      </c>
      <c r="S21" s="229">
        <v>8.9999999999999998E-4</v>
      </c>
      <c r="T21" s="231">
        <v>4218</v>
      </c>
      <c r="U21" s="231">
        <v>4216.5</v>
      </c>
      <c r="V21" s="228">
        <v>1.5</v>
      </c>
      <c r="W21" s="229">
        <v>4.0000000000000002E-4</v>
      </c>
      <c r="X21" s="228">
        <v>-35.700000000000003</v>
      </c>
      <c r="Y21" s="228">
        <v>1.3</v>
      </c>
      <c r="Z21" s="228">
        <v>-37</v>
      </c>
      <c r="AA21" s="229">
        <v>-8.3999999999999995E-3</v>
      </c>
      <c r="AB21" s="228">
        <v>-0.5</v>
      </c>
      <c r="AC21" s="228">
        <v>1.3</v>
      </c>
      <c r="AD21" s="228">
        <v>-1.8</v>
      </c>
      <c r="AE21" s="229">
        <v>-1E-4</v>
      </c>
      <c r="AF21" s="228">
        <v>-35.700000000000003</v>
      </c>
      <c r="AG21" s="228">
        <v>-30.1</v>
      </c>
      <c r="AH21" s="228">
        <v>-5.6</v>
      </c>
      <c r="AI21" s="229">
        <v>-8.3999999999999995E-3</v>
      </c>
      <c r="AJ21" s="228">
        <v>-42.7</v>
      </c>
      <c r="AK21" s="228">
        <v>-34.799999999999997</v>
      </c>
      <c r="AL21" s="228">
        <v>-7.9</v>
      </c>
      <c r="AM21" s="229">
        <v>-0.01</v>
      </c>
      <c r="AN21" s="231">
        <v>4252.6499999999996</v>
      </c>
      <c r="AO21" s="231">
        <v>4219.72</v>
      </c>
      <c r="AP21" s="228">
        <v>0</v>
      </c>
      <c r="AQ21" s="230">
        <v>15243</v>
      </c>
      <c r="AR21" s="230">
        <v>29462</v>
      </c>
      <c r="AS21" s="230">
        <v>-14219</v>
      </c>
      <c r="AT21" s="229">
        <v>-0.48259999999999997</v>
      </c>
      <c r="AU21" s="230">
        <v>5720</v>
      </c>
      <c r="AV21" s="230">
        <v>12459</v>
      </c>
      <c r="AW21" s="230">
        <v>-6739</v>
      </c>
      <c r="AX21" s="229">
        <v>-0.54090000000000005</v>
      </c>
      <c r="AY21" s="230">
        <v>9094</v>
      </c>
      <c r="AZ21" s="230">
        <v>16628</v>
      </c>
      <c r="BA21" s="230">
        <v>-7534</v>
      </c>
      <c r="BB21" s="229">
        <v>-0.4531</v>
      </c>
      <c r="BC21" s="228">
        <v>429</v>
      </c>
      <c r="BD21" s="228">
        <v>375</v>
      </c>
      <c r="BE21" s="228">
        <v>54</v>
      </c>
      <c r="BF21" s="229">
        <v>0.14399999999999999</v>
      </c>
      <c r="BG21" s="230">
        <v>20707</v>
      </c>
      <c r="BH21" s="230">
        <v>44212</v>
      </c>
      <c r="BI21" s="230">
        <v>-23505</v>
      </c>
      <c r="BJ21" s="229">
        <v>-0.53159999999999996</v>
      </c>
      <c r="BK21" s="230">
        <v>9247</v>
      </c>
      <c r="BL21" s="230">
        <v>19178</v>
      </c>
      <c r="BM21" s="230">
        <v>-9931</v>
      </c>
      <c r="BN21" s="229">
        <v>-0.51780000000000004</v>
      </c>
      <c r="BO21" s="230">
        <v>45197</v>
      </c>
      <c r="BP21" s="230">
        <v>92852</v>
      </c>
      <c r="BQ21" s="230">
        <v>-47655</v>
      </c>
      <c r="BR21" s="229">
        <v>-0.51319999999999999</v>
      </c>
      <c r="BS21" s="230">
        <v>469501</v>
      </c>
      <c r="BT21" s="230">
        <v>565296</v>
      </c>
      <c r="BU21" s="230">
        <v>-95795</v>
      </c>
      <c r="BV21" s="229">
        <v>-0.16950000000000001</v>
      </c>
      <c r="BW21" s="230">
        <v>6548100</v>
      </c>
      <c r="BX21" s="230">
        <v>7336200</v>
      </c>
      <c r="BY21" s="230">
        <v>-788100</v>
      </c>
      <c r="BZ21" s="229">
        <v>-0.1074</v>
      </c>
      <c r="CA21" s="230">
        <v>571800</v>
      </c>
      <c r="CB21" s="230">
        <v>884700</v>
      </c>
      <c r="CC21" s="230">
        <v>-312900</v>
      </c>
      <c r="CD21" s="229">
        <v>-0.35370000000000001</v>
      </c>
      <c r="CE21" s="230">
        <v>6442350</v>
      </c>
      <c r="CF21" s="230">
        <v>6363300</v>
      </c>
      <c r="CG21" s="230">
        <v>79050</v>
      </c>
      <c r="CH21" s="229">
        <v>1.24E-2</v>
      </c>
      <c r="CI21" s="230">
        <v>105750</v>
      </c>
      <c r="CJ21" s="230">
        <v>88200</v>
      </c>
      <c r="CK21" s="230">
        <v>17550</v>
      </c>
      <c r="CL21" s="229">
        <v>0.19900000000000001</v>
      </c>
      <c r="CM21" s="230">
        <v>1139850</v>
      </c>
      <c r="CN21" s="230">
        <v>3423000</v>
      </c>
      <c r="CO21" s="230">
        <v>-2283150</v>
      </c>
      <c r="CP21" s="229">
        <v>-0.66700000000000004</v>
      </c>
      <c r="CQ21" s="230">
        <v>773100</v>
      </c>
      <c r="CR21" s="230">
        <v>1993800</v>
      </c>
      <c r="CS21" s="230">
        <v>-1220700</v>
      </c>
      <c r="CT21" s="229">
        <v>-0.61219999999999997</v>
      </c>
      <c r="CU21" s="230">
        <v>8461050</v>
      </c>
      <c r="CV21" s="230">
        <v>12753000</v>
      </c>
      <c r="CW21" s="230">
        <v>-4291950</v>
      </c>
      <c r="CX21" s="229">
        <v>-0.33650000000000002</v>
      </c>
      <c r="CY21" s="228">
        <v>28.42</v>
      </c>
      <c r="CZ21" s="228">
        <v>28.86</v>
      </c>
      <c r="DA21" s="228">
        <v>-0.44</v>
      </c>
      <c r="DB21" s="228">
        <v>-0.44</v>
      </c>
      <c r="DC21" s="228">
        <v>30.37</v>
      </c>
      <c r="DD21" s="228">
        <v>30.44</v>
      </c>
      <c r="DE21" s="228">
        <v>-1.95</v>
      </c>
      <c r="DF21" s="228">
        <v>-7.0000000000000007E-2</v>
      </c>
      <c r="DG21" s="228">
        <v>28.35</v>
      </c>
      <c r="DH21" s="228">
        <v>28.85</v>
      </c>
      <c r="DI21" s="228">
        <v>-0.5</v>
      </c>
      <c r="DJ21" s="228">
        <v>-0.5</v>
      </c>
      <c r="DK21" s="228">
        <v>28.57</v>
      </c>
      <c r="DL21" s="228">
        <v>28.89</v>
      </c>
      <c r="DM21" s="228">
        <v>-0.32</v>
      </c>
      <c r="DN21" s="228">
        <v>-0.32</v>
      </c>
      <c r="DO21" s="228">
        <v>0.68</v>
      </c>
      <c r="DP21" s="228">
        <v>0.57999999999999996</v>
      </c>
      <c r="DQ21" s="228">
        <v>0.1</v>
      </c>
      <c r="DR21" s="229">
        <v>0.1724</v>
      </c>
      <c r="DS21" s="231">
        <v>4500</v>
      </c>
      <c r="DT21" s="231">
        <v>3700</v>
      </c>
      <c r="DU21" s="228">
        <v>0.45</v>
      </c>
      <c r="DV21" s="228">
        <v>0.43</v>
      </c>
      <c r="DW21" s="228">
        <v>0.02</v>
      </c>
      <c r="DX21" s="229">
        <v>4.65E-2</v>
      </c>
      <c r="DY21" s="229">
        <v>0.91969999999999996</v>
      </c>
      <c r="DZ21" s="230">
        <v>6451500</v>
      </c>
      <c r="EA21" s="229">
        <v>-8.3000000000000001E-3</v>
      </c>
      <c r="EB21" s="229">
        <v>0.91969999999999996</v>
      </c>
      <c r="EC21" s="228">
        <v>-32.93</v>
      </c>
      <c r="ED21" s="229">
        <v>-7.7000000000000002E-3</v>
      </c>
      <c r="EE21" s="230">
        <v>216529</v>
      </c>
      <c r="EF21" s="230">
        <v>225310</v>
      </c>
      <c r="EG21" s="229">
        <v>-3.9E-2</v>
      </c>
      <c r="EH21" s="229">
        <v>0.4612</v>
      </c>
      <c r="EI21" s="231">
        <v>137641.87</v>
      </c>
      <c r="EJ21" s="231">
        <v>58707.18</v>
      </c>
      <c r="EK21" s="231">
        <v>96760.48</v>
      </c>
      <c r="EL21" s="228">
        <v>0</v>
      </c>
      <c r="EM21" s="231">
        <v>293109.53000000003</v>
      </c>
      <c r="EN21" s="231">
        <v>603802.64</v>
      </c>
      <c r="EO21" s="231">
        <v>-310693.11</v>
      </c>
      <c r="EP21" s="229">
        <v>-0.51459999999999995</v>
      </c>
      <c r="EQ21" s="231">
        <v>51580</v>
      </c>
      <c r="ER21" s="231">
        <v>31986</v>
      </c>
      <c r="ES21" s="231">
        <v>276650</v>
      </c>
      <c r="ET21" s="231">
        <v>26104531</v>
      </c>
      <c r="EU21" s="231">
        <v>360216</v>
      </c>
      <c r="EV21" s="231">
        <v>546131</v>
      </c>
      <c r="EW21" s="231">
        <v>-185915</v>
      </c>
      <c r="EX21" s="229">
        <v>-0.34039999999999998</v>
      </c>
      <c r="EY21" s="229">
        <v>0.3241</v>
      </c>
    </row>
    <row r="22" spans="1:155" ht="17.25" thickBot="1" x14ac:dyDescent="0.3">
      <c r="A22" s="226">
        <v>45869</v>
      </c>
      <c r="B22" s="227" t="s">
        <v>227</v>
      </c>
      <c r="C22" s="227" t="s">
        <v>228</v>
      </c>
      <c r="D22" s="228">
        <v>680.2</v>
      </c>
      <c r="E22" s="228">
        <v>687.4</v>
      </c>
      <c r="F22" s="228">
        <v>-7.2</v>
      </c>
      <c r="G22" s="229">
        <v>-1.0500000000000001E-2</v>
      </c>
      <c r="H22" s="228">
        <v>683.05</v>
      </c>
      <c r="I22" s="228">
        <v>688.8</v>
      </c>
      <c r="J22" s="228">
        <v>-5.75</v>
      </c>
      <c r="K22" s="229">
        <v>-8.3000000000000001E-3</v>
      </c>
      <c r="L22" s="228">
        <v>682.35</v>
      </c>
      <c r="M22" s="228">
        <v>688.7</v>
      </c>
      <c r="N22" s="228">
        <v>-6.35</v>
      </c>
      <c r="O22" s="229">
        <v>-9.1999999999999998E-3</v>
      </c>
      <c r="P22" s="228">
        <v>680.2</v>
      </c>
      <c r="Q22" s="228">
        <v>687.4</v>
      </c>
      <c r="R22" s="228">
        <v>-7.2</v>
      </c>
      <c r="S22" s="229">
        <v>-1.0500000000000001E-2</v>
      </c>
      <c r="T22" s="228">
        <v>684.25</v>
      </c>
      <c r="U22" s="228">
        <v>691.25</v>
      </c>
      <c r="V22" s="228">
        <v>-7</v>
      </c>
      <c r="W22" s="229">
        <v>-1.01E-2</v>
      </c>
      <c r="X22" s="228">
        <v>-2.85</v>
      </c>
      <c r="Y22" s="228">
        <v>-0.1</v>
      </c>
      <c r="Z22" s="228">
        <v>-2.75</v>
      </c>
      <c r="AA22" s="229">
        <v>-4.1999999999999997E-3</v>
      </c>
      <c r="AB22" s="228">
        <v>-0.7</v>
      </c>
      <c r="AC22" s="228">
        <v>-0.1</v>
      </c>
      <c r="AD22" s="228">
        <v>-0.6</v>
      </c>
      <c r="AE22" s="229">
        <v>-1E-3</v>
      </c>
      <c r="AF22" s="228">
        <v>-2.85</v>
      </c>
      <c r="AG22" s="228">
        <v>-1.4</v>
      </c>
      <c r="AH22" s="228">
        <v>-1.45</v>
      </c>
      <c r="AI22" s="229">
        <v>-4.1999999999999997E-3</v>
      </c>
      <c r="AJ22" s="228">
        <v>1.2</v>
      </c>
      <c r="AK22" s="228">
        <v>2.4500000000000002</v>
      </c>
      <c r="AL22" s="228">
        <v>-1.25</v>
      </c>
      <c r="AM22" s="229">
        <v>1.8E-3</v>
      </c>
      <c r="AN22" s="228">
        <v>685.2</v>
      </c>
      <c r="AO22" s="228">
        <v>682.97</v>
      </c>
      <c r="AP22" s="228">
        <v>0</v>
      </c>
      <c r="AQ22" s="230">
        <v>14296</v>
      </c>
      <c r="AR22" s="230">
        <v>21779</v>
      </c>
      <c r="AS22" s="230">
        <v>-7483</v>
      </c>
      <c r="AT22" s="229">
        <v>-0.34360000000000002</v>
      </c>
      <c r="AU22" s="230">
        <v>4997</v>
      </c>
      <c r="AV22" s="230">
        <v>10446</v>
      </c>
      <c r="AW22" s="230">
        <v>-5449</v>
      </c>
      <c r="AX22" s="229">
        <v>-0.52159999999999995</v>
      </c>
      <c r="AY22" s="230">
        <v>9151</v>
      </c>
      <c r="AZ22" s="230">
        <v>11193</v>
      </c>
      <c r="BA22" s="230">
        <v>-2042</v>
      </c>
      <c r="BB22" s="229">
        <v>-0.18240000000000001</v>
      </c>
      <c r="BC22" s="228">
        <v>148</v>
      </c>
      <c r="BD22" s="228">
        <v>140</v>
      </c>
      <c r="BE22" s="228">
        <v>8</v>
      </c>
      <c r="BF22" s="229">
        <v>5.7099999999999998E-2</v>
      </c>
      <c r="BG22" s="230">
        <v>7605</v>
      </c>
      <c r="BH22" s="230">
        <v>8056</v>
      </c>
      <c r="BI22" s="228">
        <v>-451</v>
      </c>
      <c r="BJ22" s="229">
        <v>-5.6000000000000001E-2</v>
      </c>
      <c r="BK22" s="230">
        <v>7701</v>
      </c>
      <c r="BL22" s="230">
        <v>5510</v>
      </c>
      <c r="BM22" s="230">
        <v>2191</v>
      </c>
      <c r="BN22" s="229">
        <v>0.39760000000000001</v>
      </c>
      <c r="BO22" s="230">
        <v>29602</v>
      </c>
      <c r="BP22" s="230">
        <v>35345</v>
      </c>
      <c r="BQ22" s="230">
        <v>-5743</v>
      </c>
      <c r="BR22" s="229">
        <v>-0.16250000000000001</v>
      </c>
      <c r="BS22" s="230">
        <v>6461649</v>
      </c>
      <c r="BT22" s="230">
        <v>2876564</v>
      </c>
      <c r="BU22" s="230">
        <v>3585085</v>
      </c>
      <c r="BV22" s="229">
        <v>1.2463</v>
      </c>
      <c r="BW22" s="230">
        <v>45635800</v>
      </c>
      <c r="BX22" s="230">
        <v>49302400</v>
      </c>
      <c r="BY22" s="230">
        <v>-3666600</v>
      </c>
      <c r="BZ22" s="229">
        <v>-7.4399999999999994E-2</v>
      </c>
      <c r="CA22" s="230">
        <v>2353400</v>
      </c>
      <c r="CB22" s="230">
        <v>4894400</v>
      </c>
      <c r="CC22" s="230">
        <v>-2541000</v>
      </c>
      <c r="CD22" s="229">
        <v>-0.51919999999999999</v>
      </c>
      <c r="CE22" s="230">
        <v>45334800</v>
      </c>
      <c r="CF22" s="230">
        <v>44144800</v>
      </c>
      <c r="CG22" s="230">
        <v>1190000</v>
      </c>
      <c r="CH22" s="229">
        <v>2.7E-2</v>
      </c>
      <c r="CI22" s="230">
        <v>301000</v>
      </c>
      <c r="CJ22" s="230">
        <v>263200</v>
      </c>
      <c r="CK22" s="230">
        <v>37800</v>
      </c>
      <c r="CL22" s="229">
        <v>0.14360000000000001</v>
      </c>
      <c r="CM22" s="230">
        <v>4545800</v>
      </c>
      <c r="CN22" s="230">
        <v>15016400</v>
      </c>
      <c r="CO22" s="230">
        <v>-10470600</v>
      </c>
      <c r="CP22" s="229">
        <v>-0.69730000000000003</v>
      </c>
      <c r="CQ22" s="230">
        <v>3917200</v>
      </c>
      <c r="CR22" s="230">
        <v>8745800</v>
      </c>
      <c r="CS22" s="230">
        <v>-4828600</v>
      </c>
      <c r="CT22" s="229">
        <v>-0.55210000000000004</v>
      </c>
      <c r="CU22" s="230">
        <v>54098800</v>
      </c>
      <c r="CV22" s="230">
        <v>73064600</v>
      </c>
      <c r="CW22" s="230">
        <v>-18965800</v>
      </c>
      <c r="CX22" s="229">
        <v>-0.2596</v>
      </c>
      <c r="CY22" s="228">
        <v>27.77</v>
      </c>
      <c r="CZ22" s="228">
        <v>27.23</v>
      </c>
      <c r="DA22" s="228">
        <v>0.54</v>
      </c>
      <c r="DB22" s="228">
        <v>0.54</v>
      </c>
      <c r="DC22" s="228">
        <v>35.29</v>
      </c>
      <c r="DD22" s="228">
        <v>35.36</v>
      </c>
      <c r="DE22" s="228">
        <v>-7.52</v>
      </c>
      <c r="DF22" s="228">
        <v>-7.0000000000000007E-2</v>
      </c>
      <c r="DG22" s="228">
        <v>28.05</v>
      </c>
      <c r="DH22" s="228">
        <v>27.35</v>
      </c>
      <c r="DI22" s="228">
        <v>0.7</v>
      </c>
      <c r="DJ22" s="228">
        <v>0.7</v>
      </c>
      <c r="DK22" s="228">
        <v>27.48</v>
      </c>
      <c r="DL22" s="228">
        <v>27.08</v>
      </c>
      <c r="DM22" s="228">
        <v>0.4</v>
      </c>
      <c r="DN22" s="228">
        <v>0.4</v>
      </c>
      <c r="DO22" s="228">
        <v>0.86</v>
      </c>
      <c r="DP22" s="228">
        <v>0.57999999999999996</v>
      </c>
      <c r="DQ22" s="228">
        <v>0.28000000000000003</v>
      </c>
      <c r="DR22" s="229">
        <v>0.48280000000000001</v>
      </c>
      <c r="DS22" s="228">
        <v>730</v>
      </c>
      <c r="DT22" s="228">
        <v>670</v>
      </c>
      <c r="DU22" s="228">
        <v>1.01</v>
      </c>
      <c r="DV22" s="228">
        <v>0.68</v>
      </c>
      <c r="DW22" s="228">
        <v>0.33</v>
      </c>
      <c r="DX22" s="229">
        <v>0.48530000000000001</v>
      </c>
      <c r="DY22" s="229">
        <v>0.95099999999999996</v>
      </c>
      <c r="DZ22" s="230">
        <v>44408000</v>
      </c>
      <c r="EA22" s="229">
        <v>-3.2000000000000002E-3</v>
      </c>
      <c r="EB22" s="229">
        <v>0.95099999999999996</v>
      </c>
      <c r="EC22" s="228">
        <v>-2.23</v>
      </c>
      <c r="ED22" s="229">
        <v>-3.3E-3</v>
      </c>
      <c r="EE22" s="230">
        <v>3699620</v>
      </c>
      <c r="EF22" s="230">
        <v>1585368</v>
      </c>
      <c r="EG22" s="229">
        <v>1.3335999999999999</v>
      </c>
      <c r="EH22" s="229">
        <v>0.5726</v>
      </c>
      <c r="EI22" s="231">
        <v>76192.39</v>
      </c>
      <c r="EJ22" s="231">
        <v>73211.8</v>
      </c>
      <c r="EK22" s="231">
        <v>136855.72</v>
      </c>
      <c r="EL22" s="228">
        <v>0</v>
      </c>
      <c r="EM22" s="231">
        <v>286259.90999999997</v>
      </c>
      <c r="EN22" s="231">
        <v>342614.8</v>
      </c>
      <c r="EO22" s="231">
        <v>-56354.89</v>
      </c>
      <c r="EP22" s="229">
        <v>-0.16450000000000001</v>
      </c>
      <c r="EQ22" s="231">
        <v>32659</v>
      </c>
      <c r="ER22" s="231">
        <v>25781</v>
      </c>
      <c r="ES22" s="231">
        <v>310427</v>
      </c>
      <c r="ET22" s="231">
        <v>291659008</v>
      </c>
      <c r="EU22" s="231">
        <v>368867</v>
      </c>
      <c r="EV22" s="231">
        <v>504606</v>
      </c>
      <c r="EW22" s="231">
        <v>-135739</v>
      </c>
      <c r="EX22" s="229">
        <v>-0.26900000000000002</v>
      </c>
      <c r="EY22" s="229">
        <v>0.1855</v>
      </c>
    </row>
    <row r="23" spans="1:155" ht="17.25" thickBot="1" x14ac:dyDescent="0.3">
      <c r="A23" s="226">
        <v>45869</v>
      </c>
      <c r="B23" s="227" t="s">
        <v>168</v>
      </c>
      <c r="C23" s="227" t="s">
        <v>230</v>
      </c>
      <c r="D23" s="231">
        <v>2532.5</v>
      </c>
      <c r="E23" s="231">
        <v>2450.8000000000002</v>
      </c>
      <c r="F23" s="228">
        <v>81.7</v>
      </c>
      <c r="G23" s="229">
        <v>3.3300000000000003E-2</v>
      </c>
      <c r="H23" s="231">
        <v>2521.1999999999998</v>
      </c>
      <c r="I23" s="231">
        <v>2437.4</v>
      </c>
      <c r="J23" s="228">
        <v>83.8</v>
      </c>
      <c r="K23" s="229">
        <v>3.44E-2</v>
      </c>
      <c r="L23" s="231">
        <v>2516.3000000000002</v>
      </c>
      <c r="M23" s="231">
        <v>2436.6999999999998</v>
      </c>
      <c r="N23" s="228">
        <v>79.599999999999994</v>
      </c>
      <c r="O23" s="229">
        <v>3.27E-2</v>
      </c>
      <c r="P23" s="231">
        <v>2532.5</v>
      </c>
      <c r="Q23" s="231">
        <v>2450.8000000000002</v>
      </c>
      <c r="R23" s="228">
        <v>81.7</v>
      </c>
      <c r="S23" s="229">
        <v>3.3300000000000003E-2</v>
      </c>
      <c r="T23" s="231">
        <v>2546.1</v>
      </c>
      <c r="U23" s="231">
        <v>2462.9</v>
      </c>
      <c r="V23" s="228">
        <v>83.2</v>
      </c>
      <c r="W23" s="229">
        <v>3.3799999999999997E-2</v>
      </c>
      <c r="X23" s="228">
        <v>11.3</v>
      </c>
      <c r="Y23" s="228">
        <v>-0.7</v>
      </c>
      <c r="Z23" s="228">
        <v>12</v>
      </c>
      <c r="AA23" s="229">
        <v>4.4999999999999997E-3</v>
      </c>
      <c r="AB23" s="228">
        <v>-4.9000000000000004</v>
      </c>
      <c r="AC23" s="228">
        <v>-0.7</v>
      </c>
      <c r="AD23" s="228">
        <v>-4.2</v>
      </c>
      <c r="AE23" s="229">
        <v>-1.9E-3</v>
      </c>
      <c r="AF23" s="228">
        <v>11.3</v>
      </c>
      <c r="AG23" s="228">
        <v>13.4</v>
      </c>
      <c r="AH23" s="228">
        <v>-2.1</v>
      </c>
      <c r="AI23" s="229">
        <v>4.4999999999999997E-3</v>
      </c>
      <c r="AJ23" s="228">
        <v>24.9</v>
      </c>
      <c r="AK23" s="228">
        <v>25.5</v>
      </c>
      <c r="AL23" s="228">
        <v>-0.6</v>
      </c>
      <c r="AM23" s="229">
        <v>9.9000000000000008E-3</v>
      </c>
      <c r="AN23" s="231">
        <v>2498.67</v>
      </c>
      <c r="AO23" s="231">
        <v>2510.06</v>
      </c>
      <c r="AP23" s="228">
        <v>0</v>
      </c>
      <c r="AQ23" s="230">
        <v>51439</v>
      </c>
      <c r="AR23" s="230">
        <v>46343</v>
      </c>
      <c r="AS23" s="230">
        <v>5096</v>
      </c>
      <c r="AT23" s="229">
        <v>0.11</v>
      </c>
      <c r="AU23" s="230">
        <v>16380</v>
      </c>
      <c r="AV23" s="230">
        <v>19522</v>
      </c>
      <c r="AW23" s="230">
        <v>-3142</v>
      </c>
      <c r="AX23" s="229">
        <v>-0.16089999999999999</v>
      </c>
      <c r="AY23" s="230">
        <v>34589</v>
      </c>
      <c r="AZ23" s="230">
        <v>26651</v>
      </c>
      <c r="BA23" s="230">
        <v>7938</v>
      </c>
      <c r="BB23" s="229">
        <v>0.29780000000000001</v>
      </c>
      <c r="BC23" s="228">
        <v>470</v>
      </c>
      <c r="BD23" s="228">
        <v>170</v>
      </c>
      <c r="BE23" s="228">
        <v>300</v>
      </c>
      <c r="BF23" s="229">
        <v>1.7646999999999999</v>
      </c>
      <c r="BG23" s="230">
        <v>219747</v>
      </c>
      <c r="BH23" s="230">
        <v>55538</v>
      </c>
      <c r="BI23" s="230">
        <v>164209</v>
      </c>
      <c r="BJ23" s="229">
        <v>2.9567000000000001</v>
      </c>
      <c r="BK23" s="230">
        <v>97771</v>
      </c>
      <c r="BL23" s="230">
        <v>38788</v>
      </c>
      <c r="BM23" s="230">
        <v>58983</v>
      </c>
      <c r="BN23" s="229">
        <v>1.5206999999999999</v>
      </c>
      <c r="BO23" s="230">
        <v>368957</v>
      </c>
      <c r="BP23" s="230">
        <v>140669</v>
      </c>
      <c r="BQ23" s="230">
        <v>228288</v>
      </c>
      <c r="BR23" s="229">
        <v>1.6229</v>
      </c>
      <c r="BS23" s="230">
        <v>5718163</v>
      </c>
      <c r="BT23" s="230">
        <v>1263180</v>
      </c>
      <c r="BU23" s="230">
        <v>4454983</v>
      </c>
      <c r="BV23" s="229">
        <v>3.5268000000000002</v>
      </c>
      <c r="BW23" s="230">
        <v>15723900</v>
      </c>
      <c r="BX23" s="230">
        <v>16987800</v>
      </c>
      <c r="BY23" s="230">
        <v>-1263900</v>
      </c>
      <c r="BZ23" s="229">
        <v>-7.4399999999999994E-2</v>
      </c>
      <c r="CA23" s="230">
        <v>2531100</v>
      </c>
      <c r="CB23" s="230">
        <v>2216400</v>
      </c>
      <c r="CC23" s="230">
        <v>314700</v>
      </c>
      <c r="CD23" s="229">
        <v>0.14199999999999999</v>
      </c>
      <c r="CE23" s="230">
        <v>15616200</v>
      </c>
      <c r="CF23" s="230">
        <v>14662500</v>
      </c>
      <c r="CG23" s="230">
        <v>953700</v>
      </c>
      <c r="CH23" s="229">
        <v>6.5000000000000002E-2</v>
      </c>
      <c r="CI23" s="230">
        <v>107700</v>
      </c>
      <c r="CJ23" s="230">
        <v>108900</v>
      </c>
      <c r="CK23" s="230">
        <v>-1200</v>
      </c>
      <c r="CL23" s="229">
        <v>-1.0999999999999999E-2</v>
      </c>
      <c r="CM23" s="230">
        <v>3243900</v>
      </c>
      <c r="CN23" s="230">
        <v>9710100</v>
      </c>
      <c r="CO23" s="230">
        <v>-6466200</v>
      </c>
      <c r="CP23" s="229">
        <v>-0.66590000000000005</v>
      </c>
      <c r="CQ23" s="230">
        <v>3040500</v>
      </c>
      <c r="CR23" s="230">
        <v>6704700</v>
      </c>
      <c r="CS23" s="230">
        <v>-3664200</v>
      </c>
      <c r="CT23" s="229">
        <v>-0.54649999999999999</v>
      </c>
      <c r="CU23" s="230">
        <v>22008300</v>
      </c>
      <c r="CV23" s="230">
        <v>33402600</v>
      </c>
      <c r="CW23" s="230">
        <v>-11394300</v>
      </c>
      <c r="CX23" s="229">
        <v>-0.34110000000000001</v>
      </c>
      <c r="CY23" s="228">
        <v>19.489999999999998</v>
      </c>
      <c r="CZ23" s="228">
        <v>22.07</v>
      </c>
      <c r="DA23" s="228">
        <v>-2.58</v>
      </c>
      <c r="DB23" s="228">
        <v>-2.58</v>
      </c>
      <c r="DC23" s="228">
        <v>23.36</v>
      </c>
      <c r="DD23" s="228">
        <v>22.97</v>
      </c>
      <c r="DE23" s="228">
        <v>-3.87</v>
      </c>
      <c r="DF23" s="228">
        <v>0.39</v>
      </c>
      <c r="DG23" s="228">
        <v>19.14</v>
      </c>
      <c r="DH23" s="228">
        <v>21.64</v>
      </c>
      <c r="DI23" s="228">
        <v>-2.5</v>
      </c>
      <c r="DJ23" s="228">
        <v>-2.5</v>
      </c>
      <c r="DK23" s="228">
        <v>20.22</v>
      </c>
      <c r="DL23" s="228">
        <v>22.72</v>
      </c>
      <c r="DM23" s="228">
        <v>-2.5</v>
      </c>
      <c r="DN23" s="228">
        <v>-2.5</v>
      </c>
      <c r="DO23" s="228">
        <v>0.94</v>
      </c>
      <c r="DP23" s="228">
        <v>0.69</v>
      </c>
      <c r="DQ23" s="228">
        <v>0.25</v>
      </c>
      <c r="DR23" s="229">
        <v>0.36230000000000001</v>
      </c>
      <c r="DS23" s="231">
        <v>2560</v>
      </c>
      <c r="DT23" s="231">
        <v>2400</v>
      </c>
      <c r="DU23" s="228">
        <v>0.44</v>
      </c>
      <c r="DV23" s="228">
        <v>0.7</v>
      </c>
      <c r="DW23" s="228">
        <v>-0.26</v>
      </c>
      <c r="DX23" s="229">
        <v>-0.37140000000000001</v>
      </c>
      <c r="DY23" s="229">
        <v>0.86129999999999995</v>
      </c>
      <c r="DZ23" s="230">
        <v>14771400</v>
      </c>
      <c r="EA23" s="229">
        <v>6.4000000000000003E-3</v>
      </c>
      <c r="EB23" s="229">
        <v>0.86129999999999995</v>
      </c>
      <c r="EC23" s="228">
        <v>11.39</v>
      </c>
      <c r="ED23" s="229">
        <v>4.5999999999999999E-3</v>
      </c>
      <c r="EE23" s="230">
        <v>1916013</v>
      </c>
      <c r="EF23" s="230">
        <v>612973</v>
      </c>
      <c r="EG23" s="229">
        <v>2.1257999999999999</v>
      </c>
      <c r="EH23" s="229">
        <v>0.33510000000000001</v>
      </c>
      <c r="EI23" s="231">
        <v>1697240.39</v>
      </c>
      <c r="EJ23" s="231">
        <v>721912.42</v>
      </c>
      <c r="EK23" s="231">
        <v>386812.69</v>
      </c>
      <c r="EL23" s="228">
        <v>0</v>
      </c>
      <c r="EM23" s="231">
        <v>2805965.5</v>
      </c>
      <c r="EN23" s="231">
        <v>1034185.51</v>
      </c>
      <c r="EO23" s="231">
        <v>1771779.99</v>
      </c>
      <c r="EP23" s="229">
        <v>1.7132000000000001</v>
      </c>
      <c r="EQ23" s="231">
        <v>84167</v>
      </c>
      <c r="ER23" s="231">
        <v>72820</v>
      </c>
      <c r="ES23" s="231">
        <v>398222</v>
      </c>
      <c r="ET23" s="231">
        <v>179035680</v>
      </c>
      <c r="EU23" s="231">
        <v>555210</v>
      </c>
      <c r="EV23" s="231">
        <v>815757</v>
      </c>
      <c r="EW23" s="231">
        <v>-260547</v>
      </c>
      <c r="EX23" s="229">
        <v>-0.31940000000000002</v>
      </c>
      <c r="EY23" s="229">
        <v>0.1229</v>
      </c>
    </row>
    <row r="24" spans="1:155" ht="17.25" thickBot="1" x14ac:dyDescent="0.3">
      <c r="A24" s="226">
        <v>45869</v>
      </c>
      <c r="B24" s="227" t="s">
        <v>172</v>
      </c>
      <c r="C24" s="227" t="s">
        <v>232</v>
      </c>
      <c r="D24" s="231">
        <v>1477.4</v>
      </c>
      <c r="E24" s="231">
        <v>1477.6</v>
      </c>
      <c r="F24" s="228">
        <v>-0.2</v>
      </c>
      <c r="G24" s="229">
        <v>-1E-4</v>
      </c>
      <c r="H24" s="231">
        <v>1481.4</v>
      </c>
      <c r="I24" s="231">
        <v>1482.4</v>
      </c>
      <c r="J24" s="228">
        <v>-1</v>
      </c>
      <c r="K24" s="229">
        <v>-6.9999999999999999E-4</v>
      </c>
      <c r="L24" s="231">
        <v>1479.3</v>
      </c>
      <c r="M24" s="231">
        <v>1480.7</v>
      </c>
      <c r="N24" s="228">
        <v>-1.4</v>
      </c>
      <c r="O24" s="229">
        <v>-8.9999999999999998E-4</v>
      </c>
      <c r="P24" s="231">
        <v>1477.4</v>
      </c>
      <c r="Q24" s="231">
        <v>1477.6</v>
      </c>
      <c r="R24" s="228">
        <v>-0.2</v>
      </c>
      <c r="S24" s="229">
        <v>-1E-4</v>
      </c>
      <c r="T24" s="231">
        <v>1486.5</v>
      </c>
      <c r="U24" s="231">
        <v>1485.4</v>
      </c>
      <c r="V24" s="228">
        <v>1.1000000000000001</v>
      </c>
      <c r="W24" s="229">
        <v>6.9999999999999999E-4</v>
      </c>
      <c r="X24" s="228">
        <v>-4</v>
      </c>
      <c r="Y24" s="228">
        <v>-1.7</v>
      </c>
      <c r="Z24" s="228">
        <v>-2.2999999999999998</v>
      </c>
      <c r="AA24" s="229">
        <v>-2.7000000000000001E-3</v>
      </c>
      <c r="AB24" s="228">
        <v>-2.1</v>
      </c>
      <c r="AC24" s="228">
        <v>-1.7</v>
      </c>
      <c r="AD24" s="228">
        <v>-0.4</v>
      </c>
      <c r="AE24" s="229">
        <v>-1.4E-3</v>
      </c>
      <c r="AF24" s="228">
        <v>-4</v>
      </c>
      <c r="AG24" s="228">
        <v>-4.8</v>
      </c>
      <c r="AH24" s="228">
        <v>0.8</v>
      </c>
      <c r="AI24" s="229">
        <v>-2.7000000000000001E-3</v>
      </c>
      <c r="AJ24" s="228">
        <v>5.0999999999999996</v>
      </c>
      <c r="AK24" s="228">
        <v>3</v>
      </c>
      <c r="AL24" s="228">
        <v>2.1</v>
      </c>
      <c r="AM24" s="229">
        <v>3.3999999999999998E-3</v>
      </c>
      <c r="AN24" s="231">
        <v>1475.21</v>
      </c>
      <c r="AO24" s="231">
        <v>1474.5</v>
      </c>
      <c r="AP24" s="228">
        <v>0</v>
      </c>
      <c r="AQ24" s="230">
        <v>44777</v>
      </c>
      <c r="AR24" s="230">
        <v>56313</v>
      </c>
      <c r="AS24" s="230">
        <v>-11536</v>
      </c>
      <c r="AT24" s="229">
        <v>-0.2049</v>
      </c>
      <c r="AU24" s="230">
        <v>15828</v>
      </c>
      <c r="AV24" s="230">
        <v>27234</v>
      </c>
      <c r="AW24" s="230">
        <v>-11406</v>
      </c>
      <c r="AX24" s="229">
        <v>-0.41880000000000001</v>
      </c>
      <c r="AY24" s="230">
        <v>28190</v>
      </c>
      <c r="AZ24" s="230">
        <v>28865</v>
      </c>
      <c r="BA24" s="228">
        <v>-675</v>
      </c>
      <c r="BB24" s="229">
        <v>-2.3400000000000001E-2</v>
      </c>
      <c r="BC24" s="228">
        <v>759</v>
      </c>
      <c r="BD24" s="228">
        <v>214</v>
      </c>
      <c r="BE24" s="228">
        <v>545</v>
      </c>
      <c r="BF24" s="229">
        <v>2.5467</v>
      </c>
      <c r="BG24" s="230">
        <v>50671</v>
      </c>
      <c r="BH24" s="230">
        <v>37303</v>
      </c>
      <c r="BI24" s="230">
        <v>13368</v>
      </c>
      <c r="BJ24" s="229">
        <v>0.3584</v>
      </c>
      <c r="BK24" s="230">
        <v>46094</v>
      </c>
      <c r="BL24" s="230">
        <v>30916</v>
      </c>
      <c r="BM24" s="230">
        <v>15178</v>
      </c>
      <c r="BN24" s="229">
        <v>0.4909</v>
      </c>
      <c r="BO24" s="230">
        <v>141542</v>
      </c>
      <c r="BP24" s="230">
        <v>124532</v>
      </c>
      <c r="BQ24" s="230">
        <v>17010</v>
      </c>
      <c r="BR24" s="229">
        <v>0.1366</v>
      </c>
      <c r="BS24" s="230">
        <v>12513144</v>
      </c>
      <c r="BT24" s="230">
        <v>7334368</v>
      </c>
      <c r="BU24" s="230">
        <v>5178776</v>
      </c>
      <c r="BV24" s="229">
        <v>0.70609999999999995</v>
      </c>
      <c r="BW24" s="230">
        <v>94227000</v>
      </c>
      <c r="BX24" s="230">
        <v>94367000</v>
      </c>
      <c r="BY24" s="230">
        <v>-140000</v>
      </c>
      <c r="BZ24" s="229">
        <v>-1.5E-3</v>
      </c>
      <c r="CA24" s="230">
        <v>3841600</v>
      </c>
      <c r="CB24" s="230">
        <v>6659100</v>
      </c>
      <c r="CC24" s="230">
        <v>-2817500</v>
      </c>
      <c r="CD24" s="229">
        <v>-0.42309999999999998</v>
      </c>
      <c r="CE24" s="230">
        <v>93604000</v>
      </c>
      <c r="CF24" s="230">
        <v>87249400</v>
      </c>
      <c r="CG24" s="230">
        <v>6354600</v>
      </c>
      <c r="CH24" s="229">
        <v>7.2800000000000004E-2</v>
      </c>
      <c r="CI24" s="230">
        <v>623000</v>
      </c>
      <c r="CJ24" s="230">
        <v>458500</v>
      </c>
      <c r="CK24" s="230">
        <v>164500</v>
      </c>
      <c r="CL24" s="229">
        <v>0.35880000000000001</v>
      </c>
      <c r="CM24" s="230">
        <v>6947500</v>
      </c>
      <c r="CN24" s="230">
        <v>21938700</v>
      </c>
      <c r="CO24" s="230">
        <v>-14991200</v>
      </c>
      <c r="CP24" s="229">
        <v>-0.68330000000000002</v>
      </c>
      <c r="CQ24" s="230">
        <v>7024500</v>
      </c>
      <c r="CR24" s="230">
        <v>21036400</v>
      </c>
      <c r="CS24" s="230">
        <v>-14011900</v>
      </c>
      <c r="CT24" s="229">
        <v>-0.66610000000000003</v>
      </c>
      <c r="CU24" s="230">
        <v>108199000</v>
      </c>
      <c r="CV24" s="230">
        <v>137342100</v>
      </c>
      <c r="CW24" s="230">
        <v>-29143100</v>
      </c>
      <c r="CX24" s="229">
        <v>-0.2122</v>
      </c>
      <c r="CY24" s="228">
        <v>15.37</v>
      </c>
      <c r="CZ24" s="228">
        <v>16.12</v>
      </c>
      <c r="DA24" s="228">
        <v>-0.75</v>
      </c>
      <c r="DB24" s="228">
        <v>-0.75</v>
      </c>
      <c r="DC24" s="228">
        <v>22.66</v>
      </c>
      <c r="DD24" s="228">
        <v>22.72</v>
      </c>
      <c r="DE24" s="228">
        <v>-7.29</v>
      </c>
      <c r="DF24" s="228">
        <v>-0.06</v>
      </c>
      <c r="DG24" s="228">
        <v>15.36</v>
      </c>
      <c r="DH24" s="228">
        <v>15.65</v>
      </c>
      <c r="DI24" s="228">
        <v>-0.28999999999999998</v>
      </c>
      <c r="DJ24" s="228">
        <v>-0.28999999999999998</v>
      </c>
      <c r="DK24" s="228">
        <v>15.38</v>
      </c>
      <c r="DL24" s="228">
        <v>16.77</v>
      </c>
      <c r="DM24" s="228">
        <v>-1.39</v>
      </c>
      <c r="DN24" s="228">
        <v>-1.39</v>
      </c>
      <c r="DO24" s="228">
        <v>1.01</v>
      </c>
      <c r="DP24" s="228">
        <v>0.96</v>
      </c>
      <c r="DQ24" s="228">
        <v>0.05</v>
      </c>
      <c r="DR24" s="229">
        <v>5.21E-2</v>
      </c>
      <c r="DS24" s="231">
        <v>1490</v>
      </c>
      <c r="DT24" s="231">
        <v>1400</v>
      </c>
      <c r="DU24" s="228">
        <v>0.91</v>
      </c>
      <c r="DV24" s="228">
        <v>0.83</v>
      </c>
      <c r="DW24" s="228">
        <v>0.08</v>
      </c>
      <c r="DX24" s="229">
        <v>9.64E-2</v>
      </c>
      <c r="DY24" s="229">
        <v>0.96079999999999999</v>
      </c>
      <c r="DZ24" s="230">
        <v>87707900</v>
      </c>
      <c r="EA24" s="229">
        <v>-1.2999999999999999E-3</v>
      </c>
      <c r="EB24" s="229">
        <v>0.96079999999999999</v>
      </c>
      <c r="EC24" s="228">
        <v>-0.71</v>
      </c>
      <c r="ED24" s="229">
        <v>-5.0000000000000001E-4</v>
      </c>
      <c r="EE24" s="230">
        <v>6713694</v>
      </c>
      <c r="EF24" s="230">
        <v>4958888</v>
      </c>
      <c r="EG24" s="229">
        <v>0.35389999999999999</v>
      </c>
      <c r="EH24" s="229">
        <v>0.53649999999999998</v>
      </c>
      <c r="EI24" s="231">
        <v>534004.59</v>
      </c>
      <c r="EJ24" s="231">
        <v>474145.84</v>
      </c>
      <c r="EK24" s="231">
        <v>462312.16</v>
      </c>
      <c r="EL24" s="228">
        <v>0</v>
      </c>
      <c r="EM24" s="231">
        <v>1470462.59</v>
      </c>
      <c r="EN24" s="231">
        <v>1292092.99</v>
      </c>
      <c r="EO24" s="231">
        <v>178369.6</v>
      </c>
      <c r="EP24" s="229">
        <v>0.13800000000000001</v>
      </c>
      <c r="EQ24" s="231">
        <v>104573</v>
      </c>
      <c r="ER24" s="231">
        <v>100363</v>
      </c>
      <c r="ES24" s="231">
        <v>1392166</v>
      </c>
      <c r="ET24" s="231">
        <v>1159424540</v>
      </c>
      <c r="EU24" s="231">
        <v>1597103</v>
      </c>
      <c r="EV24" s="231">
        <v>2020847</v>
      </c>
      <c r="EW24" s="231">
        <v>-423744</v>
      </c>
      <c r="EX24" s="229">
        <v>-0.2097</v>
      </c>
      <c r="EY24" s="229">
        <v>9.3299999999999994E-2</v>
      </c>
    </row>
    <row r="25" spans="1:155" ht="17.25" thickBot="1" x14ac:dyDescent="0.3">
      <c r="A25" s="226">
        <v>45869</v>
      </c>
      <c r="B25" s="227" t="s">
        <v>172</v>
      </c>
      <c r="C25" s="227" t="s">
        <v>239</v>
      </c>
      <c r="D25" s="228">
        <v>803.7</v>
      </c>
      <c r="E25" s="228">
        <v>806.75</v>
      </c>
      <c r="F25" s="228">
        <v>-3.05</v>
      </c>
      <c r="G25" s="229">
        <v>-3.8E-3</v>
      </c>
      <c r="H25" s="228">
        <v>798.9</v>
      </c>
      <c r="I25" s="228">
        <v>801.9</v>
      </c>
      <c r="J25" s="228">
        <v>-3</v>
      </c>
      <c r="K25" s="229">
        <v>-3.7000000000000002E-3</v>
      </c>
      <c r="L25" s="228">
        <v>798.7</v>
      </c>
      <c r="M25" s="228">
        <v>802.55</v>
      </c>
      <c r="N25" s="228">
        <v>-3.85</v>
      </c>
      <c r="O25" s="229">
        <v>-4.7999999999999996E-3</v>
      </c>
      <c r="P25" s="228">
        <v>803.7</v>
      </c>
      <c r="Q25" s="228">
        <v>806.75</v>
      </c>
      <c r="R25" s="228">
        <v>-3.05</v>
      </c>
      <c r="S25" s="229">
        <v>-3.8E-3</v>
      </c>
      <c r="T25" s="228">
        <v>808.2</v>
      </c>
      <c r="U25" s="228">
        <v>811.3</v>
      </c>
      <c r="V25" s="228">
        <v>-3.1</v>
      </c>
      <c r="W25" s="229">
        <v>-3.8E-3</v>
      </c>
      <c r="X25" s="228">
        <v>4.8</v>
      </c>
      <c r="Y25" s="228">
        <v>0.65</v>
      </c>
      <c r="Z25" s="228">
        <v>4.1500000000000004</v>
      </c>
      <c r="AA25" s="229">
        <v>6.0000000000000001E-3</v>
      </c>
      <c r="AB25" s="228">
        <v>-0.2</v>
      </c>
      <c r="AC25" s="228">
        <v>0.65</v>
      </c>
      <c r="AD25" s="228">
        <v>-0.85</v>
      </c>
      <c r="AE25" s="229">
        <v>-2.9999999999999997E-4</v>
      </c>
      <c r="AF25" s="228">
        <v>4.8</v>
      </c>
      <c r="AG25" s="228">
        <v>4.8499999999999996</v>
      </c>
      <c r="AH25" s="228">
        <v>-0.05</v>
      </c>
      <c r="AI25" s="229">
        <v>6.0000000000000001E-3</v>
      </c>
      <c r="AJ25" s="228">
        <v>9.3000000000000007</v>
      </c>
      <c r="AK25" s="228">
        <v>9.4</v>
      </c>
      <c r="AL25" s="228">
        <v>-0.1</v>
      </c>
      <c r="AM25" s="229">
        <v>1.1599999999999999E-2</v>
      </c>
      <c r="AN25" s="228">
        <v>798.26</v>
      </c>
      <c r="AO25" s="228">
        <v>803.09</v>
      </c>
      <c r="AP25" s="228">
        <v>0</v>
      </c>
      <c r="AQ25" s="230">
        <v>37984</v>
      </c>
      <c r="AR25" s="230">
        <v>29400</v>
      </c>
      <c r="AS25" s="230">
        <v>8584</v>
      </c>
      <c r="AT25" s="229">
        <v>0.29199999999999998</v>
      </c>
      <c r="AU25" s="230">
        <v>15790</v>
      </c>
      <c r="AV25" s="230">
        <v>13274</v>
      </c>
      <c r="AW25" s="230">
        <v>2516</v>
      </c>
      <c r="AX25" s="229">
        <v>0.1895</v>
      </c>
      <c r="AY25" s="230">
        <v>21814</v>
      </c>
      <c r="AZ25" s="230">
        <v>15862</v>
      </c>
      <c r="BA25" s="230">
        <v>5952</v>
      </c>
      <c r="BB25" s="229">
        <v>0.37519999999999998</v>
      </c>
      <c r="BC25" s="228">
        <v>380</v>
      </c>
      <c r="BD25" s="228">
        <v>264</v>
      </c>
      <c r="BE25" s="228">
        <v>116</v>
      </c>
      <c r="BF25" s="229">
        <v>0.43940000000000001</v>
      </c>
      <c r="BG25" s="230">
        <v>21659</v>
      </c>
      <c r="BH25" s="230">
        <v>32731</v>
      </c>
      <c r="BI25" s="230">
        <v>-11072</v>
      </c>
      <c r="BJ25" s="229">
        <v>-0.33829999999999999</v>
      </c>
      <c r="BK25" s="230">
        <v>16816</v>
      </c>
      <c r="BL25" s="230">
        <v>26141</v>
      </c>
      <c r="BM25" s="230">
        <v>-9325</v>
      </c>
      <c r="BN25" s="229">
        <v>-0.35670000000000002</v>
      </c>
      <c r="BO25" s="230">
        <v>76459</v>
      </c>
      <c r="BP25" s="230">
        <v>88272</v>
      </c>
      <c r="BQ25" s="230">
        <v>-11813</v>
      </c>
      <c r="BR25" s="229">
        <v>-0.1338</v>
      </c>
      <c r="BS25" s="230">
        <v>4546754</v>
      </c>
      <c r="BT25" s="230">
        <v>3398386</v>
      </c>
      <c r="BU25" s="230">
        <v>1148368</v>
      </c>
      <c r="BV25" s="229">
        <v>0.33789999999999998</v>
      </c>
      <c r="BW25" s="230">
        <v>48841100</v>
      </c>
      <c r="BX25" s="230">
        <v>49076300</v>
      </c>
      <c r="BY25" s="230">
        <v>-235200</v>
      </c>
      <c r="BZ25" s="229">
        <v>-4.7999999999999996E-3</v>
      </c>
      <c r="CA25" s="230">
        <v>2640400</v>
      </c>
      <c r="CB25" s="230">
        <v>9389800</v>
      </c>
      <c r="CC25" s="230">
        <v>-6749400</v>
      </c>
      <c r="CD25" s="229">
        <v>-0.71879999999999999</v>
      </c>
      <c r="CE25" s="230">
        <v>48033300</v>
      </c>
      <c r="CF25" s="230">
        <v>38997700</v>
      </c>
      <c r="CG25" s="230">
        <v>9035600</v>
      </c>
      <c r="CH25" s="229">
        <v>0.23169999999999999</v>
      </c>
      <c r="CI25" s="230">
        <v>807800</v>
      </c>
      <c r="CJ25" s="230">
        <v>688800</v>
      </c>
      <c r="CK25" s="230">
        <v>119000</v>
      </c>
      <c r="CL25" s="229">
        <v>0.17280000000000001</v>
      </c>
      <c r="CM25" s="230">
        <v>7520800</v>
      </c>
      <c r="CN25" s="230">
        <v>22636600</v>
      </c>
      <c r="CO25" s="230">
        <v>-15115800</v>
      </c>
      <c r="CP25" s="229">
        <v>-0.66779999999999995</v>
      </c>
      <c r="CQ25" s="230">
        <v>6482700</v>
      </c>
      <c r="CR25" s="230">
        <v>12148500</v>
      </c>
      <c r="CS25" s="230">
        <v>-5665800</v>
      </c>
      <c r="CT25" s="229">
        <v>-0.46639999999999998</v>
      </c>
      <c r="CU25" s="230">
        <v>62844600</v>
      </c>
      <c r="CV25" s="230">
        <v>83861400</v>
      </c>
      <c r="CW25" s="230">
        <v>-21016800</v>
      </c>
      <c r="CX25" s="229">
        <v>-0.25059999999999999</v>
      </c>
      <c r="CY25" s="228">
        <v>30.98</v>
      </c>
      <c r="CZ25" s="228">
        <v>32.630000000000003</v>
      </c>
      <c r="DA25" s="228">
        <v>-1.65</v>
      </c>
      <c r="DB25" s="228">
        <v>-1.65</v>
      </c>
      <c r="DC25" s="228">
        <v>51.6</v>
      </c>
      <c r="DD25" s="228">
        <v>51.72</v>
      </c>
      <c r="DE25" s="228">
        <v>-20.62</v>
      </c>
      <c r="DF25" s="228">
        <v>-0.12</v>
      </c>
      <c r="DG25" s="228">
        <v>30.91</v>
      </c>
      <c r="DH25" s="228">
        <v>32.5</v>
      </c>
      <c r="DI25" s="228">
        <v>-1.59</v>
      </c>
      <c r="DJ25" s="228">
        <v>-1.59</v>
      </c>
      <c r="DK25" s="228">
        <v>31.07</v>
      </c>
      <c r="DL25" s="228">
        <v>32.81</v>
      </c>
      <c r="DM25" s="228">
        <v>-1.74</v>
      </c>
      <c r="DN25" s="228">
        <v>-1.74</v>
      </c>
      <c r="DO25" s="228">
        <v>0.86</v>
      </c>
      <c r="DP25" s="228">
        <v>0.54</v>
      </c>
      <c r="DQ25" s="228">
        <v>0.32</v>
      </c>
      <c r="DR25" s="229">
        <v>0.59260000000000002</v>
      </c>
      <c r="DS25" s="228">
        <v>900</v>
      </c>
      <c r="DT25" s="228">
        <v>800</v>
      </c>
      <c r="DU25" s="228">
        <v>0.78</v>
      </c>
      <c r="DV25" s="228">
        <v>0.8</v>
      </c>
      <c r="DW25" s="228">
        <v>-0.02</v>
      </c>
      <c r="DX25" s="229">
        <v>-2.5000000000000001E-2</v>
      </c>
      <c r="DY25" s="229">
        <v>0.94869999999999999</v>
      </c>
      <c r="DZ25" s="230">
        <v>39686500</v>
      </c>
      <c r="EA25" s="229">
        <v>6.3E-3</v>
      </c>
      <c r="EB25" s="229">
        <v>0.94869999999999999</v>
      </c>
      <c r="EC25" s="228">
        <v>4.83</v>
      </c>
      <c r="ED25" s="229">
        <v>6.1000000000000004E-3</v>
      </c>
      <c r="EE25" s="230">
        <v>2408125</v>
      </c>
      <c r="EF25" s="230">
        <v>1276443</v>
      </c>
      <c r="EG25" s="229">
        <v>0.88660000000000005</v>
      </c>
      <c r="EH25" s="229">
        <v>0.52959999999999996</v>
      </c>
      <c r="EI25" s="231">
        <v>128395.61</v>
      </c>
      <c r="EJ25" s="231">
        <v>95464.92</v>
      </c>
      <c r="EK25" s="231">
        <v>213012.8</v>
      </c>
      <c r="EL25" s="228">
        <v>0</v>
      </c>
      <c r="EM25" s="231">
        <v>436873.33</v>
      </c>
      <c r="EN25" s="231">
        <v>509545.85</v>
      </c>
      <c r="EO25" s="231">
        <v>-72672.52</v>
      </c>
      <c r="EP25" s="229">
        <v>-0.1426</v>
      </c>
      <c r="EQ25" s="231">
        <v>64973</v>
      </c>
      <c r="ER25" s="231">
        <v>51993</v>
      </c>
      <c r="ES25" s="231">
        <v>392572</v>
      </c>
      <c r="ET25" s="231">
        <v>125014099</v>
      </c>
      <c r="EU25" s="231">
        <v>509539</v>
      </c>
      <c r="EV25" s="231">
        <v>693104</v>
      </c>
      <c r="EW25" s="231">
        <v>-183565</v>
      </c>
      <c r="EX25" s="229">
        <v>-0.26479999999999998</v>
      </c>
      <c r="EY25" s="229">
        <v>0.50270000000000004</v>
      </c>
    </row>
    <row r="26" spans="1:155" ht="17.25" thickBot="1" x14ac:dyDescent="0.3">
      <c r="A26" s="226">
        <v>45869</v>
      </c>
      <c r="B26" s="227" t="s">
        <v>221</v>
      </c>
      <c r="C26" s="227" t="s">
        <v>240</v>
      </c>
      <c r="D26" s="231">
        <v>1515</v>
      </c>
      <c r="E26" s="231">
        <v>1525</v>
      </c>
      <c r="F26" s="228">
        <v>-10</v>
      </c>
      <c r="G26" s="229">
        <v>-6.6E-3</v>
      </c>
      <c r="H26" s="231">
        <v>1509</v>
      </c>
      <c r="I26" s="231">
        <v>1519</v>
      </c>
      <c r="J26" s="228">
        <v>-10</v>
      </c>
      <c r="K26" s="229">
        <v>-6.6E-3</v>
      </c>
      <c r="L26" s="231">
        <v>1510</v>
      </c>
      <c r="M26" s="231">
        <v>1520.2</v>
      </c>
      <c r="N26" s="228">
        <v>-10.199999999999999</v>
      </c>
      <c r="O26" s="229">
        <v>-6.7000000000000002E-3</v>
      </c>
      <c r="P26" s="231">
        <v>1515</v>
      </c>
      <c r="Q26" s="231">
        <v>1525</v>
      </c>
      <c r="R26" s="228">
        <v>-10</v>
      </c>
      <c r="S26" s="229">
        <v>-6.6E-3</v>
      </c>
      <c r="T26" s="231">
        <v>1523.4</v>
      </c>
      <c r="U26" s="231">
        <v>1533.4</v>
      </c>
      <c r="V26" s="228">
        <v>-10</v>
      </c>
      <c r="W26" s="229">
        <v>-6.4999999999999997E-3</v>
      </c>
      <c r="X26" s="228">
        <v>6</v>
      </c>
      <c r="Y26" s="228">
        <v>1.2</v>
      </c>
      <c r="Z26" s="228">
        <v>4.8</v>
      </c>
      <c r="AA26" s="229">
        <v>4.0000000000000001E-3</v>
      </c>
      <c r="AB26" s="228">
        <v>1</v>
      </c>
      <c r="AC26" s="228">
        <v>1.2</v>
      </c>
      <c r="AD26" s="228">
        <v>-0.2</v>
      </c>
      <c r="AE26" s="229">
        <v>6.9999999999999999E-4</v>
      </c>
      <c r="AF26" s="228">
        <v>6</v>
      </c>
      <c r="AG26" s="228">
        <v>6</v>
      </c>
      <c r="AH26" s="228">
        <v>0</v>
      </c>
      <c r="AI26" s="229">
        <v>4.0000000000000001E-3</v>
      </c>
      <c r="AJ26" s="228">
        <v>14.4</v>
      </c>
      <c r="AK26" s="228">
        <v>14.4</v>
      </c>
      <c r="AL26" s="228">
        <v>0</v>
      </c>
      <c r="AM26" s="229">
        <v>9.4999999999999998E-3</v>
      </c>
      <c r="AN26" s="231">
        <v>1508.1</v>
      </c>
      <c r="AO26" s="231">
        <v>1516.39</v>
      </c>
      <c r="AP26" s="228">
        <v>0</v>
      </c>
      <c r="AQ26" s="230">
        <v>86187</v>
      </c>
      <c r="AR26" s="230">
        <v>74382</v>
      </c>
      <c r="AS26" s="230">
        <v>11805</v>
      </c>
      <c r="AT26" s="229">
        <v>0.15870000000000001</v>
      </c>
      <c r="AU26" s="230">
        <v>31485</v>
      </c>
      <c r="AV26" s="230">
        <v>36398</v>
      </c>
      <c r="AW26" s="230">
        <v>-4913</v>
      </c>
      <c r="AX26" s="229">
        <v>-0.13500000000000001</v>
      </c>
      <c r="AY26" s="230">
        <v>53003</v>
      </c>
      <c r="AZ26" s="230">
        <v>37338</v>
      </c>
      <c r="BA26" s="230">
        <v>15665</v>
      </c>
      <c r="BB26" s="229">
        <v>0.41949999999999998</v>
      </c>
      <c r="BC26" s="230">
        <v>1699</v>
      </c>
      <c r="BD26" s="228">
        <v>646</v>
      </c>
      <c r="BE26" s="230">
        <v>1053</v>
      </c>
      <c r="BF26" s="229">
        <v>1.63</v>
      </c>
      <c r="BG26" s="230">
        <v>58298</v>
      </c>
      <c r="BH26" s="230">
        <v>53554</v>
      </c>
      <c r="BI26" s="230">
        <v>4744</v>
      </c>
      <c r="BJ26" s="229">
        <v>8.8599999999999998E-2</v>
      </c>
      <c r="BK26" s="230">
        <v>32944</v>
      </c>
      <c r="BL26" s="230">
        <v>27434</v>
      </c>
      <c r="BM26" s="230">
        <v>5510</v>
      </c>
      <c r="BN26" s="229">
        <v>0.20080000000000001</v>
      </c>
      <c r="BO26" s="230">
        <v>177429</v>
      </c>
      <c r="BP26" s="230">
        <v>155370</v>
      </c>
      <c r="BQ26" s="230">
        <v>22059</v>
      </c>
      <c r="BR26" s="229">
        <v>0.14199999999999999</v>
      </c>
      <c r="BS26" s="230">
        <v>7679028</v>
      </c>
      <c r="BT26" s="230">
        <v>5878968</v>
      </c>
      <c r="BU26" s="230">
        <v>1800060</v>
      </c>
      <c r="BV26" s="229">
        <v>0.30620000000000003</v>
      </c>
      <c r="BW26" s="230">
        <v>68042800</v>
      </c>
      <c r="BX26" s="230">
        <v>74082800</v>
      </c>
      <c r="BY26" s="230">
        <v>-6040000</v>
      </c>
      <c r="BZ26" s="229">
        <v>-8.1500000000000003E-2</v>
      </c>
      <c r="CA26" s="230">
        <v>7051200</v>
      </c>
      <c r="CB26" s="230">
        <v>15438000</v>
      </c>
      <c r="CC26" s="230">
        <v>-8386800</v>
      </c>
      <c r="CD26" s="229">
        <v>-0.54330000000000001</v>
      </c>
      <c r="CE26" s="230">
        <v>64422000</v>
      </c>
      <c r="CF26" s="230">
        <v>54961600</v>
      </c>
      <c r="CG26" s="230">
        <v>9460400</v>
      </c>
      <c r="CH26" s="229">
        <v>0.1721</v>
      </c>
      <c r="CI26" s="230">
        <v>3620800</v>
      </c>
      <c r="CJ26" s="230">
        <v>3683200</v>
      </c>
      <c r="CK26" s="230">
        <v>-62400</v>
      </c>
      <c r="CL26" s="229">
        <v>-1.6899999999999998E-2</v>
      </c>
      <c r="CM26" s="230">
        <v>10949600</v>
      </c>
      <c r="CN26" s="230">
        <v>28765200</v>
      </c>
      <c r="CO26" s="230">
        <v>-17815600</v>
      </c>
      <c r="CP26" s="229">
        <v>-0.61929999999999996</v>
      </c>
      <c r="CQ26" s="230">
        <v>6822400</v>
      </c>
      <c r="CR26" s="230">
        <v>14200000</v>
      </c>
      <c r="CS26" s="230">
        <v>-7377600</v>
      </c>
      <c r="CT26" s="229">
        <v>-0.51949999999999996</v>
      </c>
      <c r="CU26" s="230">
        <v>85814800</v>
      </c>
      <c r="CV26" s="230">
        <v>117048000</v>
      </c>
      <c r="CW26" s="230">
        <v>-31233200</v>
      </c>
      <c r="CX26" s="229">
        <v>-0.26679999999999998</v>
      </c>
      <c r="CY26" s="228">
        <v>22.7</v>
      </c>
      <c r="CZ26" s="228">
        <v>23.02</v>
      </c>
      <c r="DA26" s="228">
        <v>-0.32</v>
      </c>
      <c r="DB26" s="228">
        <v>-0.32</v>
      </c>
      <c r="DC26" s="228">
        <v>29.38</v>
      </c>
      <c r="DD26" s="228">
        <v>29.44</v>
      </c>
      <c r="DE26" s="228">
        <v>-6.68</v>
      </c>
      <c r="DF26" s="228">
        <v>-0.06</v>
      </c>
      <c r="DG26" s="228">
        <v>22.56</v>
      </c>
      <c r="DH26" s="228">
        <v>23.03</v>
      </c>
      <c r="DI26" s="228">
        <v>-0.47</v>
      </c>
      <c r="DJ26" s="228">
        <v>-0.47</v>
      </c>
      <c r="DK26" s="228">
        <v>22.97</v>
      </c>
      <c r="DL26" s="228">
        <v>23</v>
      </c>
      <c r="DM26" s="228">
        <v>-0.03</v>
      </c>
      <c r="DN26" s="228">
        <v>-0.03</v>
      </c>
      <c r="DO26" s="228">
        <v>0.62</v>
      </c>
      <c r="DP26" s="228">
        <v>0.49</v>
      </c>
      <c r="DQ26" s="228">
        <v>0.13</v>
      </c>
      <c r="DR26" s="229">
        <v>0.26529999999999998</v>
      </c>
      <c r="DS26" s="231">
        <v>1700</v>
      </c>
      <c r="DT26" s="231">
        <v>1500</v>
      </c>
      <c r="DU26" s="228">
        <v>0.56999999999999995</v>
      </c>
      <c r="DV26" s="228">
        <v>0.51</v>
      </c>
      <c r="DW26" s="228">
        <v>0.06</v>
      </c>
      <c r="DX26" s="229">
        <v>0.1176</v>
      </c>
      <c r="DY26" s="229">
        <v>0.90610000000000002</v>
      </c>
      <c r="DZ26" s="230">
        <v>58644800</v>
      </c>
      <c r="EA26" s="229">
        <v>3.3E-3</v>
      </c>
      <c r="EB26" s="229">
        <v>0.90610000000000002</v>
      </c>
      <c r="EC26" s="228">
        <v>8.2899999999999991</v>
      </c>
      <c r="ED26" s="229">
        <v>5.4999999999999997E-3</v>
      </c>
      <c r="EE26" s="230">
        <v>4601616</v>
      </c>
      <c r="EF26" s="230">
        <v>4342489</v>
      </c>
      <c r="EG26" s="229">
        <v>5.9700000000000003E-2</v>
      </c>
      <c r="EH26" s="229">
        <v>0.59919999999999995</v>
      </c>
      <c r="EI26" s="231">
        <v>369574.86</v>
      </c>
      <c r="EJ26" s="231">
        <v>199265.32</v>
      </c>
      <c r="EK26" s="231">
        <v>521773.36</v>
      </c>
      <c r="EL26" s="228">
        <v>0</v>
      </c>
      <c r="EM26" s="231">
        <v>1090613.54</v>
      </c>
      <c r="EN26" s="231">
        <v>956060.02</v>
      </c>
      <c r="EO26" s="231">
        <v>134553.51999999999</v>
      </c>
      <c r="EP26" s="229">
        <v>0.14069999999999999</v>
      </c>
      <c r="EQ26" s="231">
        <v>176687</v>
      </c>
      <c r="ER26" s="231">
        <v>102510</v>
      </c>
      <c r="ES26" s="231">
        <v>1031153</v>
      </c>
      <c r="ET26" s="231">
        <v>632343512</v>
      </c>
      <c r="EU26" s="231">
        <v>1310350</v>
      </c>
      <c r="EV26" s="231">
        <v>1816857</v>
      </c>
      <c r="EW26" s="231">
        <v>-506507</v>
      </c>
      <c r="EX26" s="229">
        <v>-0.27879999999999999</v>
      </c>
      <c r="EY26" s="229">
        <v>0.13569999999999999</v>
      </c>
    </row>
    <row r="27" spans="1:155" ht="17.25" thickBot="1" x14ac:dyDescent="0.3">
      <c r="A27" s="226">
        <v>45869</v>
      </c>
      <c r="B27" s="227" t="s">
        <v>168</v>
      </c>
      <c r="C27" s="227" t="s">
        <v>242</v>
      </c>
      <c r="D27" s="228">
        <v>413.15</v>
      </c>
      <c r="E27" s="228">
        <v>410.1</v>
      </c>
      <c r="F27" s="228">
        <v>3.05</v>
      </c>
      <c r="G27" s="229">
        <v>7.4000000000000003E-3</v>
      </c>
      <c r="H27" s="228">
        <v>411.95</v>
      </c>
      <c r="I27" s="228">
        <v>407.6</v>
      </c>
      <c r="J27" s="228">
        <v>4.3499999999999996</v>
      </c>
      <c r="K27" s="229">
        <v>1.0699999999999999E-2</v>
      </c>
      <c r="L27" s="228">
        <v>410.9</v>
      </c>
      <c r="M27" s="228">
        <v>407.95</v>
      </c>
      <c r="N27" s="228">
        <v>2.95</v>
      </c>
      <c r="O27" s="229">
        <v>7.1999999999999998E-3</v>
      </c>
      <c r="P27" s="228">
        <v>413.15</v>
      </c>
      <c r="Q27" s="228">
        <v>410.1</v>
      </c>
      <c r="R27" s="228">
        <v>3.05</v>
      </c>
      <c r="S27" s="229">
        <v>7.4000000000000003E-3</v>
      </c>
      <c r="T27" s="228">
        <v>415.95</v>
      </c>
      <c r="U27" s="228">
        <v>412.75</v>
      </c>
      <c r="V27" s="228">
        <v>3.2</v>
      </c>
      <c r="W27" s="229">
        <v>7.7999999999999996E-3</v>
      </c>
      <c r="X27" s="228">
        <v>1.2</v>
      </c>
      <c r="Y27" s="228">
        <v>0.35</v>
      </c>
      <c r="Z27" s="228">
        <v>0.85</v>
      </c>
      <c r="AA27" s="229">
        <v>2.8999999999999998E-3</v>
      </c>
      <c r="AB27" s="228">
        <v>-1.05</v>
      </c>
      <c r="AC27" s="228">
        <v>0.35</v>
      </c>
      <c r="AD27" s="228">
        <v>-1.4</v>
      </c>
      <c r="AE27" s="229">
        <v>-2.5000000000000001E-3</v>
      </c>
      <c r="AF27" s="228">
        <v>1.2</v>
      </c>
      <c r="AG27" s="228">
        <v>2.5</v>
      </c>
      <c r="AH27" s="228">
        <v>-1.3</v>
      </c>
      <c r="AI27" s="229">
        <v>2.8999999999999998E-3</v>
      </c>
      <c r="AJ27" s="228">
        <v>4</v>
      </c>
      <c r="AK27" s="228">
        <v>5.15</v>
      </c>
      <c r="AL27" s="228">
        <v>-1.1499999999999999</v>
      </c>
      <c r="AM27" s="229">
        <v>9.7000000000000003E-3</v>
      </c>
      <c r="AN27" s="228">
        <v>410.73</v>
      </c>
      <c r="AO27" s="228">
        <v>412.63</v>
      </c>
      <c r="AP27" s="228">
        <v>0</v>
      </c>
      <c r="AQ27" s="230">
        <v>43649</v>
      </c>
      <c r="AR27" s="230">
        <v>29858</v>
      </c>
      <c r="AS27" s="230">
        <v>13791</v>
      </c>
      <c r="AT27" s="229">
        <v>0.46189999999999998</v>
      </c>
      <c r="AU27" s="230">
        <v>18121</v>
      </c>
      <c r="AV27" s="230">
        <v>14092</v>
      </c>
      <c r="AW27" s="230">
        <v>4029</v>
      </c>
      <c r="AX27" s="229">
        <v>0.28589999999999999</v>
      </c>
      <c r="AY27" s="230">
        <v>24959</v>
      </c>
      <c r="AZ27" s="230">
        <v>15509</v>
      </c>
      <c r="BA27" s="230">
        <v>9450</v>
      </c>
      <c r="BB27" s="229">
        <v>0.60929999999999995</v>
      </c>
      <c r="BC27" s="228">
        <v>569</v>
      </c>
      <c r="BD27" s="228">
        <v>257</v>
      </c>
      <c r="BE27" s="228">
        <v>312</v>
      </c>
      <c r="BF27" s="229">
        <v>1.214</v>
      </c>
      <c r="BG27" s="230">
        <v>50283</v>
      </c>
      <c r="BH27" s="230">
        <v>20991</v>
      </c>
      <c r="BI27" s="230">
        <v>29292</v>
      </c>
      <c r="BJ27" s="229">
        <v>1.3955</v>
      </c>
      <c r="BK27" s="230">
        <v>24493</v>
      </c>
      <c r="BL27" s="230">
        <v>14070</v>
      </c>
      <c r="BM27" s="230">
        <v>10423</v>
      </c>
      <c r="BN27" s="229">
        <v>0.74080000000000001</v>
      </c>
      <c r="BO27" s="230">
        <v>118425</v>
      </c>
      <c r="BP27" s="230">
        <v>64919</v>
      </c>
      <c r="BQ27" s="230">
        <v>53506</v>
      </c>
      <c r="BR27" s="229">
        <v>0.82420000000000004</v>
      </c>
      <c r="BS27" s="230">
        <v>19984704</v>
      </c>
      <c r="BT27" s="230">
        <v>11283228</v>
      </c>
      <c r="BU27" s="230">
        <v>8701476</v>
      </c>
      <c r="BV27" s="229">
        <v>0.7712</v>
      </c>
      <c r="BW27" s="230">
        <v>103123200</v>
      </c>
      <c r="BX27" s="230">
        <v>107363200</v>
      </c>
      <c r="BY27" s="230">
        <v>-4240000</v>
      </c>
      <c r="BZ27" s="229">
        <v>-3.95E-2</v>
      </c>
      <c r="CA27" s="230">
        <v>4601600</v>
      </c>
      <c r="CB27" s="230">
        <v>22883200</v>
      </c>
      <c r="CC27" s="230">
        <v>-18281600</v>
      </c>
      <c r="CD27" s="229">
        <v>-0.79890000000000005</v>
      </c>
      <c r="CE27" s="230">
        <v>97694400</v>
      </c>
      <c r="CF27" s="230">
        <v>79353600</v>
      </c>
      <c r="CG27" s="230">
        <v>18340800</v>
      </c>
      <c r="CH27" s="229">
        <v>0.2311</v>
      </c>
      <c r="CI27" s="230">
        <v>5428800</v>
      </c>
      <c r="CJ27" s="230">
        <v>5126400</v>
      </c>
      <c r="CK27" s="230">
        <v>302400</v>
      </c>
      <c r="CL27" s="229">
        <v>5.8999999999999997E-2</v>
      </c>
      <c r="CM27" s="230">
        <v>24611200</v>
      </c>
      <c r="CN27" s="230">
        <v>54724800</v>
      </c>
      <c r="CO27" s="230">
        <v>-30113600</v>
      </c>
      <c r="CP27" s="229">
        <v>-0.55030000000000001</v>
      </c>
      <c r="CQ27" s="230">
        <v>22470400</v>
      </c>
      <c r="CR27" s="230">
        <v>31929600</v>
      </c>
      <c r="CS27" s="230">
        <v>-9459200</v>
      </c>
      <c r="CT27" s="229">
        <v>-0.29630000000000001</v>
      </c>
      <c r="CU27" s="230">
        <v>150204800</v>
      </c>
      <c r="CV27" s="230">
        <v>194017600</v>
      </c>
      <c r="CW27" s="230">
        <v>-43812800</v>
      </c>
      <c r="CX27" s="229">
        <v>-0.2258</v>
      </c>
      <c r="CY27" s="228">
        <v>18.71</v>
      </c>
      <c r="CZ27" s="228">
        <v>18.34</v>
      </c>
      <c r="DA27" s="228">
        <v>0.37</v>
      </c>
      <c r="DB27" s="228">
        <v>0.37</v>
      </c>
      <c r="DC27" s="228">
        <v>20.58</v>
      </c>
      <c r="DD27" s="228">
        <v>20.58</v>
      </c>
      <c r="DE27" s="228">
        <v>-1.87</v>
      </c>
      <c r="DF27" s="228">
        <v>0</v>
      </c>
      <c r="DG27" s="228">
        <v>19.02</v>
      </c>
      <c r="DH27" s="228">
        <v>18.62</v>
      </c>
      <c r="DI27" s="228">
        <v>0.4</v>
      </c>
      <c r="DJ27" s="228">
        <v>0.4</v>
      </c>
      <c r="DK27" s="228">
        <v>18.05</v>
      </c>
      <c r="DL27" s="228">
        <v>17.989999999999998</v>
      </c>
      <c r="DM27" s="228">
        <v>0.06</v>
      </c>
      <c r="DN27" s="228">
        <v>0.06</v>
      </c>
      <c r="DO27" s="228">
        <v>0.91</v>
      </c>
      <c r="DP27" s="228">
        <v>0.57999999999999996</v>
      </c>
      <c r="DQ27" s="228">
        <v>0.33</v>
      </c>
      <c r="DR27" s="229">
        <v>0.56899999999999995</v>
      </c>
      <c r="DS27" s="228">
        <v>420</v>
      </c>
      <c r="DT27" s="228">
        <v>410</v>
      </c>
      <c r="DU27" s="228">
        <v>0.49</v>
      </c>
      <c r="DV27" s="228">
        <v>0.67</v>
      </c>
      <c r="DW27" s="228">
        <v>-0.18</v>
      </c>
      <c r="DX27" s="229">
        <v>-0.26869999999999999</v>
      </c>
      <c r="DY27" s="229">
        <v>0.95730000000000004</v>
      </c>
      <c r="DZ27" s="230">
        <v>84480000</v>
      </c>
      <c r="EA27" s="229">
        <v>5.4999999999999997E-3</v>
      </c>
      <c r="EB27" s="229">
        <v>0.95730000000000004</v>
      </c>
      <c r="EC27" s="228">
        <v>1.9</v>
      </c>
      <c r="ED27" s="229">
        <v>4.5999999999999999E-3</v>
      </c>
      <c r="EE27" s="230">
        <v>13474223</v>
      </c>
      <c r="EF27" s="230">
        <v>7896286</v>
      </c>
      <c r="EG27" s="229">
        <v>0.70640000000000003</v>
      </c>
      <c r="EH27" s="229">
        <v>0.67420000000000002</v>
      </c>
      <c r="EI27" s="231">
        <v>344054.28</v>
      </c>
      <c r="EJ27" s="231">
        <v>162369.66</v>
      </c>
      <c r="EK27" s="231">
        <v>287642.77</v>
      </c>
      <c r="EL27" s="228">
        <v>0</v>
      </c>
      <c r="EM27" s="231">
        <v>794066.71</v>
      </c>
      <c r="EN27" s="231">
        <v>429492.87</v>
      </c>
      <c r="EO27" s="231">
        <v>364573.84</v>
      </c>
      <c r="EP27" s="229">
        <v>0.8488</v>
      </c>
      <c r="EQ27" s="231">
        <v>104730</v>
      </c>
      <c r="ER27" s="231">
        <v>91944</v>
      </c>
      <c r="ES27" s="231">
        <v>426206</v>
      </c>
      <c r="ET27" s="231">
        <v>2502122210</v>
      </c>
      <c r="EU27" s="231">
        <v>622879</v>
      </c>
      <c r="EV27" s="231">
        <v>805141</v>
      </c>
      <c r="EW27" s="231">
        <v>-182262</v>
      </c>
      <c r="EX27" s="229">
        <v>-0.22639999999999999</v>
      </c>
      <c r="EY27" s="229">
        <v>0.06</v>
      </c>
    </row>
    <row r="28" spans="1:155" ht="17.25" thickBot="1" x14ac:dyDescent="0.3">
      <c r="A28" s="226">
        <v>45869</v>
      </c>
      <c r="B28" s="227" t="s">
        <v>175</v>
      </c>
      <c r="C28" s="227" t="s">
        <v>571</v>
      </c>
      <c r="D28" s="228">
        <v>330.9</v>
      </c>
      <c r="E28" s="228">
        <v>321.10000000000002</v>
      </c>
      <c r="F28" s="228">
        <v>9.8000000000000007</v>
      </c>
      <c r="G28" s="229">
        <v>3.0499999999999999E-2</v>
      </c>
      <c r="H28" s="228">
        <v>329.25</v>
      </c>
      <c r="I28" s="228">
        <v>320.3</v>
      </c>
      <c r="J28" s="228">
        <v>8.9499999999999993</v>
      </c>
      <c r="K28" s="229">
        <v>2.7900000000000001E-2</v>
      </c>
      <c r="L28" s="228">
        <v>329.45</v>
      </c>
      <c r="M28" s="228">
        <v>319.89999999999998</v>
      </c>
      <c r="N28" s="228">
        <v>9.5500000000000007</v>
      </c>
      <c r="O28" s="229">
        <v>2.9899999999999999E-2</v>
      </c>
      <c r="P28" s="228">
        <v>330.9</v>
      </c>
      <c r="Q28" s="228">
        <v>321.10000000000002</v>
      </c>
      <c r="R28" s="228">
        <v>9.8000000000000007</v>
      </c>
      <c r="S28" s="229">
        <v>3.0499999999999999E-2</v>
      </c>
      <c r="T28" s="228">
        <v>332.65</v>
      </c>
      <c r="U28" s="228">
        <v>323</v>
      </c>
      <c r="V28" s="228">
        <v>9.65</v>
      </c>
      <c r="W28" s="229">
        <v>2.9899999999999999E-2</v>
      </c>
      <c r="X28" s="228">
        <v>1.65</v>
      </c>
      <c r="Y28" s="228">
        <v>-0.4</v>
      </c>
      <c r="Z28" s="228">
        <v>2.0499999999999998</v>
      </c>
      <c r="AA28" s="229">
        <v>5.0000000000000001E-3</v>
      </c>
      <c r="AB28" s="228">
        <v>0.2</v>
      </c>
      <c r="AC28" s="228">
        <v>-0.4</v>
      </c>
      <c r="AD28" s="228">
        <v>0.6</v>
      </c>
      <c r="AE28" s="229">
        <v>5.9999999999999995E-4</v>
      </c>
      <c r="AF28" s="228">
        <v>1.65</v>
      </c>
      <c r="AG28" s="228">
        <v>0.8</v>
      </c>
      <c r="AH28" s="228">
        <v>0.85</v>
      </c>
      <c r="AI28" s="229">
        <v>5.0000000000000001E-3</v>
      </c>
      <c r="AJ28" s="228">
        <v>3.4</v>
      </c>
      <c r="AK28" s="228">
        <v>2.7</v>
      </c>
      <c r="AL28" s="228">
        <v>0.7</v>
      </c>
      <c r="AM28" s="229">
        <v>1.03E-2</v>
      </c>
      <c r="AN28" s="228">
        <v>328.22</v>
      </c>
      <c r="AO28" s="228">
        <v>329.69</v>
      </c>
      <c r="AP28" s="228">
        <v>0</v>
      </c>
      <c r="AQ28" s="230">
        <v>40187</v>
      </c>
      <c r="AR28" s="230">
        <v>21326</v>
      </c>
      <c r="AS28" s="230">
        <v>18861</v>
      </c>
      <c r="AT28" s="229">
        <v>0.88439999999999996</v>
      </c>
      <c r="AU28" s="230">
        <v>13708</v>
      </c>
      <c r="AV28" s="230">
        <v>9012</v>
      </c>
      <c r="AW28" s="230">
        <v>4696</v>
      </c>
      <c r="AX28" s="229">
        <v>0.52110000000000001</v>
      </c>
      <c r="AY28" s="230">
        <v>25305</v>
      </c>
      <c r="AZ28" s="230">
        <v>11898</v>
      </c>
      <c r="BA28" s="230">
        <v>13407</v>
      </c>
      <c r="BB28" s="229">
        <v>1.1268</v>
      </c>
      <c r="BC28" s="230">
        <v>1174</v>
      </c>
      <c r="BD28" s="228">
        <v>416</v>
      </c>
      <c r="BE28" s="228">
        <v>758</v>
      </c>
      <c r="BF28" s="229">
        <v>1.8221000000000001</v>
      </c>
      <c r="BG28" s="230">
        <v>113601</v>
      </c>
      <c r="BH28" s="230">
        <v>38473</v>
      </c>
      <c r="BI28" s="230">
        <v>75128</v>
      </c>
      <c r="BJ28" s="229">
        <v>1.9527000000000001</v>
      </c>
      <c r="BK28" s="230">
        <v>42236</v>
      </c>
      <c r="BL28" s="230">
        <v>20186</v>
      </c>
      <c r="BM28" s="230">
        <v>22050</v>
      </c>
      <c r="BN28" s="229">
        <v>1.0923</v>
      </c>
      <c r="BO28" s="230">
        <v>196024</v>
      </c>
      <c r="BP28" s="230">
        <v>79985</v>
      </c>
      <c r="BQ28" s="230">
        <v>116039</v>
      </c>
      <c r="BR28" s="229">
        <v>1.4508000000000001</v>
      </c>
      <c r="BS28" s="230">
        <v>52195137</v>
      </c>
      <c r="BT28" s="230">
        <v>16029350</v>
      </c>
      <c r="BU28" s="230">
        <v>36165787</v>
      </c>
      <c r="BV28" s="229">
        <v>2.2562000000000002</v>
      </c>
      <c r="BW28" s="230">
        <v>109502950</v>
      </c>
      <c r="BX28" s="230">
        <v>117145150</v>
      </c>
      <c r="BY28" s="230">
        <v>-7642200</v>
      </c>
      <c r="BZ28" s="229">
        <v>-6.5199999999999994E-2</v>
      </c>
      <c r="CA28" s="230">
        <v>4305200</v>
      </c>
      <c r="CB28" s="230">
        <v>19913900</v>
      </c>
      <c r="CC28" s="230">
        <v>-15608700</v>
      </c>
      <c r="CD28" s="229">
        <v>-0.78380000000000005</v>
      </c>
      <c r="CE28" s="230">
        <v>105096700</v>
      </c>
      <c r="CF28" s="230">
        <v>92888450</v>
      </c>
      <c r="CG28" s="230">
        <v>12208250</v>
      </c>
      <c r="CH28" s="229">
        <v>0.13139999999999999</v>
      </c>
      <c r="CI28" s="230">
        <v>4406250</v>
      </c>
      <c r="CJ28" s="230">
        <v>4342800</v>
      </c>
      <c r="CK28" s="230">
        <v>63450</v>
      </c>
      <c r="CL28" s="229">
        <v>1.46E-2</v>
      </c>
      <c r="CM28" s="230">
        <v>40878250</v>
      </c>
      <c r="CN28" s="230">
        <v>78438300</v>
      </c>
      <c r="CO28" s="230">
        <v>-37560050</v>
      </c>
      <c r="CP28" s="229">
        <v>-0.4788</v>
      </c>
      <c r="CQ28" s="230">
        <v>31692100</v>
      </c>
      <c r="CR28" s="230">
        <v>50849300</v>
      </c>
      <c r="CS28" s="230">
        <v>-19157200</v>
      </c>
      <c r="CT28" s="229">
        <v>-0.37669999999999998</v>
      </c>
      <c r="CU28" s="230">
        <v>182073300</v>
      </c>
      <c r="CV28" s="230">
        <v>246432750</v>
      </c>
      <c r="CW28" s="230">
        <v>-64359450</v>
      </c>
      <c r="CX28" s="229">
        <v>-0.26119999999999999</v>
      </c>
      <c r="CY28" s="228">
        <v>28.32</v>
      </c>
      <c r="CZ28" s="228">
        <v>28.9</v>
      </c>
      <c r="DA28" s="228">
        <v>-0.57999999999999996</v>
      </c>
      <c r="DB28" s="228">
        <v>-0.57999999999999996</v>
      </c>
      <c r="DC28" s="228">
        <v>39.380000000000003</v>
      </c>
      <c r="DD28" s="228">
        <v>39.26</v>
      </c>
      <c r="DE28" s="228">
        <v>-11.06</v>
      </c>
      <c r="DF28" s="228">
        <v>0.12</v>
      </c>
      <c r="DG28" s="228">
        <v>28.3</v>
      </c>
      <c r="DH28" s="228">
        <v>29.16</v>
      </c>
      <c r="DI28" s="228">
        <v>-0.86</v>
      </c>
      <c r="DJ28" s="228">
        <v>-0.86</v>
      </c>
      <c r="DK28" s="228">
        <v>28.36</v>
      </c>
      <c r="DL28" s="228">
        <v>28.36</v>
      </c>
      <c r="DM28" s="228">
        <v>0</v>
      </c>
      <c r="DN28" s="228">
        <v>0</v>
      </c>
      <c r="DO28" s="228">
        <v>0.78</v>
      </c>
      <c r="DP28" s="228">
        <v>0.65</v>
      </c>
      <c r="DQ28" s="228">
        <v>0.13</v>
      </c>
      <c r="DR28" s="229">
        <v>0.2</v>
      </c>
      <c r="DS28" s="228">
        <v>350</v>
      </c>
      <c r="DT28" s="228">
        <v>300</v>
      </c>
      <c r="DU28" s="228">
        <v>0.37</v>
      </c>
      <c r="DV28" s="228">
        <v>0.52</v>
      </c>
      <c r="DW28" s="228">
        <v>-0.15</v>
      </c>
      <c r="DX28" s="229">
        <v>-0.28849999999999998</v>
      </c>
      <c r="DY28" s="229">
        <v>0.96220000000000006</v>
      </c>
      <c r="DZ28" s="230">
        <v>97231250</v>
      </c>
      <c r="EA28" s="229">
        <v>4.4000000000000003E-3</v>
      </c>
      <c r="EB28" s="229">
        <v>0.96220000000000006</v>
      </c>
      <c r="EC28" s="228">
        <v>1.47</v>
      </c>
      <c r="ED28" s="229">
        <v>4.4999999999999997E-3</v>
      </c>
      <c r="EE28" s="230">
        <v>18851375</v>
      </c>
      <c r="EF28" s="230">
        <v>5750430</v>
      </c>
      <c r="EG28" s="229">
        <v>2.2783000000000002</v>
      </c>
      <c r="EH28" s="229">
        <v>0.36120000000000002</v>
      </c>
      <c r="EI28" s="231">
        <v>913229.65</v>
      </c>
      <c r="EJ28" s="231">
        <v>318803.53999999998</v>
      </c>
      <c r="EK28" s="231">
        <v>310944.84999999998</v>
      </c>
      <c r="EL28" s="228">
        <v>0</v>
      </c>
      <c r="EM28" s="231">
        <v>1542978.04</v>
      </c>
      <c r="EN28" s="231">
        <v>613655.66</v>
      </c>
      <c r="EO28" s="231">
        <v>929322.38</v>
      </c>
      <c r="EP28" s="229">
        <v>1.5144</v>
      </c>
      <c r="EQ28" s="231">
        <v>139051</v>
      </c>
      <c r="ER28" s="231">
        <v>98412</v>
      </c>
      <c r="ES28" s="231">
        <v>362422</v>
      </c>
      <c r="ET28" s="231">
        <v>671850851</v>
      </c>
      <c r="EU28" s="231">
        <v>599885</v>
      </c>
      <c r="EV28" s="231">
        <v>794446</v>
      </c>
      <c r="EW28" s="231">
        <v>-194561</v>
      </c>
      <c r="EX28" s="229">
        <v>-0.24490000000000001</v>
      </c>
      <c r="EY28" s="229">
        <v>0.27100000000000002</v>
      </c>
    </row>
    <row r="29" spans="1:155" ht="17.25" thickBot="1" x14ac:dyDescent="0.3">
      <c r="A29" s="226">
        <v>45869</v>
      </c>
      <c r="B29" s="227" t="s">
        <v>227</v>
      </c>
      <c r="C29" s="227" t="s">
        <v>244</v>
      </c>
      <c r="D29" s="231">
        <v>1052.8</v>
      </c>
      <c r="E29" s="231">
        <v>1042.0999999999999</v>
      </c>
      <c r="F29" s="228">
        <v>10.7</v>
      </c>
      <c r="G29" s="229">
        <v>1.03E-2</v>
      </c>
      <c r="H29" s="231">
        <v>1048.3</v>
      </c>
      <c r="I29" s="231">
        <v>1037.9000000000001</v>
      </c>
      <c r="J29" s="228">
        <v>10.4</v>
      </c>
      <c r="K29" s="229">
        <v>0.01</v>
      </c>
      <c r="L29" s="231">
        <v>1047</v>
      </c>
      <c r="M29" s="231">
        <v>1036.3</v>
      </c>
      <c r="N29" s="228">
        <v>10.7</v>
      </c>
      <c r="O29" s="229">
        <v>1.03E-2</v>
      </c>
      <c r="P29" s="231">
        <v>1052.8</v>
      </c>
      <c r="Q29" s="231">
        <v>1042.0999999999999</v>
      </c>
      <c r="R29" s="228">
        <v>10.7</v>
      </c>
      <c r="S29" s="229">
        <v>1.03E-2</v>
      </c>
      <c r="T29" s="231">
        <v>1057.2</v>
      </c>
      <c r="U29" s="231">
        <v>1049</v>
      </c>
      <c r="V29" s="228">
        <v>8.1999999999999993</v>
      </c>
      <c r="W29" s="229">
        <v>7.7999999999999996E-3</v>
      </c>
      <c r="X29" s="228">
        <v>4.5</v>
      </c>
      <c r="Y29" s="228">
        <v>-1.6</v>
      </c>
      <c r="Z29" s="228">
        <v>6.1</v>
      </c>
      <c r="AA29" s="229">
        <v>4.3E-3</v>
      </c>
      <c r="AB29" s="228">
        <v>-1.3</v>
      </c>
      <c r="AC29" s="228">
        <v>-1.6</v>
      </c>
      <c r="AD29" s="228">
        <v>0.3</v>
      </c>
      <c r="AE29" s="229">
        <v>-1.1999999999999999E-3</v>
      </c>
      <c r="AF29" s="228">
        <v>4.5</v>
      </c>
      <c r="AG29" s="228">
        <v>4.2</v>
      </c>
      <c r="AH29" s="228">
        <v>0.3</v>
      </c>
      <c r="AI29" s="229">
        <v>4.3E-3</v>
      </c>
      <c r="AJ29" s="228">
        <v>8.9</v>
      </c>
      <c r="AK29" s="228">
        <v>11.1</v>
      </c>
      <c r="AL29" s="228">
        <v>-2.2000000000000002</v>
      </c>
      <c r="AM29" s="229">
        <v>8.5000000000000006E-3</v>
      </c>
      <c r="AN29" s="231">
        <v>1046.54</v>
      </c>
      <c r="AO29" s="231">
        <v>1052.75</v>
      </c>
      <c r="AP29" s="228">
        <v>0</v>
      </c>
      <c r="AQ29" s="230">
        <v>21066</v>
      </c>
      <c r="AR29" s="230">
        <v>27740</v>
      </c>
      <c r="AS29" s="230">
        <v>-6674</v>
      </c>
      <c r="AT29" s="229">
        <v>-0.24060000000000001</v>
      </c>
      <c r="AU29" s="230">
        <v>6870</v>
      </c>
      <c r="AV29" s="230">
        <v>13138</v>
      </c>
      <c r="AW29" s="230">
        <v>-6268</v>
      </c>
      <c r="AX29" s="229">
        <v>-0.47710000000000002</v>
      </c>
      <c r="AY29" s="230">
        <v>13991</v>
      </c>
      <c r="AZ29" s="230">
        <v>14492</v>
      </c>
      <c r="BA29" s="228">
        <v>-501</v>
      </c>
      <c r="BB29" s="229">
        <v>-3.4599999999999999E-2</v>
      </c>
      <c r="BC29" s="228">
        <v>205</v>
      </c>
      <c r="BD29" s="228">
        <v>110</v>
      </c>
      <c r="BE29" s="228">
        <v>95</v>
      </c>
      <c r="BF29" s="229">
        <v>0.86360000000000003</v>
      </c>
      <c r="BG29" s="230">
        <v>20795</v>
      </c>
      <c r="BH29" s="230">
        <v>18681</v>
      </c>
      <c r="BI29" s="230">
        <v>2114</v>
      </c>
      <c r="BJ29" s="229">
        <v>0.1132</v>
      </c>
      <c r="BK29" s="230">
        <v>10590</v>
      </c>
      <c r="BL29" s="230">
        <v>6738</v>
      </c>
      <c r="BM29" s="230">
        <v>3852</v>
      </c>
      <c r="BN29" s="229">
        <v>0.57169999999999999</v>
      </c>
      <c r="BO29" s="230">
        <v>52451</v>
      </c>
      <c r="BP29" s="230">
        <v>53159</v>
      </c>
      <c r="BQ29" s="228">
        <v>-708</v>
      </c>
      <c r="BR29" s="229">
        <v>-1.3299999999999999E-2</v>
      </c>
      <c r="BS29" s="230">
        <v>3200430</v>
      </c>
      <c r="BT29" s="230">
        <v>1890603</v>
      </c>
      <c r="BU29" s="230">
        <v>1309827</v>
      </c>
      <c r="BV29" s="229">
        <v>0.69279999999999997</v>
      </c>
      <c r="BW29" s="230">
        <v>37548900</v>
      </c>
      <c r="BX29" s="230">
        <v>38719350</v>
      </c>
      <c r="BY29" s="230">
        <v>-1170450</v>
      </c>
      <c r="BZ29" s="229">
        <v>-3.0200000000000001E-2</v>
      </c>
      <c r="CA29" s="230">
        <v>2252475</v>
      </c>
      <c r="CB29" s="230">
        <v>3730050</v>
      </c>
      <c r="CC29" s="230">
        <v>-1477575</v>
      </c>
      <c r="CD29" s="229">
        <v>-0.39610000000000001</v>
      </c>
      <c r="CE29" s="230">
        <v>37444275</v>
      </c>
      <c r="CF29" s="230">
        <v>34888725</v>
      </c>
      <c r="CG29" s="230">
        <v>2555550</v>
      </c>
      <c r="CH29" s="229">
        <v>7.3200000000000001E-2</v>
      </c>
      <c r="CI29" s="230">
        <v>104625</v>
      </c>
      <c r="CJ29" s="230">
        <v>100575</v>
      </c>
      <c r="CK29" s="230">
        <v>4050</v>
      </c>
      <c r="CL29" s="229">
        <v>4.0300000000000002E-2</v>
      </c>
      <c r="CM29" s="230">
        <v>4263300</v>
      </c>
      <c r="CN29" s="230">
        <v>9377775</v>
      </c>
      <c r="CO29" s="230">
        <v>-5114475</v>
      </c>
      <c r="CP29" s="229">
        <v>-0.5454</v>
      </c>
      <c r="CQ29" s="230">
        <v>2441475</v>
      </c>
      <c r="CR29" s="230">
        <v>5829975</v>
      </c>
      <c r="CS29" s="230">
        <v>-3388500</v>
      </c>
      <c r="CT29" s="229">
        <v>-0.58120000000000005</v>
      </c>
      <c r="CU29" s="230">
        <v>44253675</v>
      </c>
      <c r="CV29" s="230">
        <v>53927100</v>
      </c>
      <c r="CW29" s="230">
        <v>-9673425</v>
      </c>
      <c r="CX29" s="229">
        <v>-0.1794</v>
      </c>
      <c r="CY29" s="228">
        <v>27.67</v>
      </c>
      <c r="CZ29" s="228">
        <v>26.51</v>
      </c>
      <c r="DA29" s="228">
        <v>1.1599999999999999</v>
      </c>
      <c r="DB29" s="228">
        <v>1.1599999999999999</v>
      </c>
      <c r="DC29" s="228">
        <v>31</v>
      </c>
      <c r="DD29" s="228">
        <v>31.05</v>
      </c>
      <c r="DE29" s="228">
        <v>-3.33</v>
      </c>
      <c r="DF29" s="228">
        <v>-0.05</v>
      </c>
      <c r="DG29" s="228">
        <v>27.36</v>
      </c>
      <c r="DH29" s="228">
        <v>26.52</v>
      </c>
      <c r="DI29" s="228">
        <v>0.84</v>
      </c>
      <c r="DJ29" s="228">
        <v>0.84</v>
      </c>
      <c r="DK29" s="228">
        <v>28.18</v>
      </c>
      <c r="DL29" s="228">
        <v>26.49</v>
      </c>
      <c r="DM29" s="228">
        <v>1.69</v>
      </c>
      <c r="DN29" s="228">
        <v>1.69</v>
      </c>
      <c r="DO29" s="228">
        <v>0.56999999999999995</v>
      </c>
      <c r="DP29" s="228">
        <v>0.62</v>
      </c>
      <c r="DQ29" s="228">
        <v>-0.05</v>
      </c>
      <c r="DR29" s="229">
        <v>-8.0600000000000005E-2</v>
      </c>
      <c r="DS29" s="231">
        <v>1180</v>
      </c>
      <c r="DT29" s="228">
        <v>890</v>
      </c>
      <c r="DU29" s="228">
        <v>0.51</v>
      </c>
      <c r="DV29" s="228">
        <v>0.36</v>
      </c>
      <c r="DW29" s="228">
        <v>0.15</v>
      </c>
      <c r="DX29" s="229">
        <v>0.41670000000000001</v>
      </c>
      <c r="DY29" s="229">
        <v>0.94340000000000002</v>
      </c>
      <c r="DZ29" s="230">
        <v>34989300</v>
      </c>
      <c r="EA29" s="229">
        <v>5.4999999999999997E-3</v>
      </c>
      <c r="EB29" s="229">
        <v>0.94340000000000002</v>
      </c>
      <c r="EC29" s="228">
        <v>6.21</v>
      </c>
      <c r="ED29" s="229">
        <v>5.8999999999999999E-3</v>
      </c>
      <c r="EE29" s="230">
        <v>1255809</v>
      </c>
      <c r="EF29" s="230">
        <v>871055</v>
      </c>
      <c r="EG29" s="229">
        <v>0.44169999999999998</v>
      </c>
      <c r="EH29" s="229">
        <v>0.39240000000000003</v>
      </c>
      <c r="EI29" s="231">
        <v>152874.03</v>
      </c>
      <c r="EJ29" s="231">
        <v>74165.27</v>
      </c>
      <c r="EK29" s="231">
        <v>149415.96</v>
      </c>
      <c r="EL29" s="228">
        <v>0</v>
      </c>
      <c r="EM29" s="231">
        <v>376455.26</v>
      </c>
      <c r="EN29" s="231">
        <v>377261.36</v>
      </c>
      <c r="EO29" s="228">
        <v>-806.1</v>
      </c>
      <c r="EP29" s="229">
        <v>-2.0999999999999999E-3</v>
      </c>
      <c r="EQ29" s="231">
        <v>46072</v>
      </c>
      <c r="ER29" s="231">
        <v>24585</v>
      </c>
      <c r="ES29" s="231">
        <v>395319</v>
      </c>
      <c r="ET29" s="231">
        <v>268798007</v>
      </c>
      <c r="EU29" s="231">
        <v>465977</v>
      </c>
      <c r="EV29" s="231">
        <v>562824</v>
      </c>
      <c r="EW29" s="231">
        <v>-96847</v>
      </c>
      <c r="EX29" s="229">
        <v>-0.1721</v>
      </c>
      <c r="EY29" s="229">
        <v>0.1646</v>
      </c>
    </row>
    <row r="30" spans="1:155" ht="17.25" thickBot="1" x14ac:dyDescent="0.3">
      <c r="A30" s="226">
        <v>45869</v>
      </c>
      <c r="B30" s="227" t="s">
        <v>172</v>
      </c>
      <c r="C30" s="227" t="s">
        <v>246</v>
      </c>
      <c r="D30" s="231">
        <v>1990.3</v>
      </c>
      <c r="E30" s="231">
        <v>1971.5</v>
      </c>
      <c r="F30" s="228">
        <v>18.8</v>
      </c>
      <c r="G30" s="229">
        <v>9.4999999999999998E-3</v>
      </c>
      <c r="H30" s="231">
        <v>1978.6</v>
      </c>
      <c r="I30" s="231">
        <v>1959.7</v>
      </c>
      <c r="J30" s="228">
        <v>18.899999999999999</v>
      </c>
      <c r="K30" s="229">
        <v>9.5999999999999992E-3</v>
      </c>
      <c r="L30" s="231">
        <v>1978.6</v>
      </c>
      <c r="M30" s="231">
        <v>1960.7</v>
      </c>
      <c r="N30" s="228">
        <v>17.899999999999999</v>
      </c>
      <c r="O30" s="229">
        <v>9.1000000000000004E-3</v>
      </c>
      <c r="P30" s="231">
        <v>1990.3</v>
      </c>
      <c r="Q30" s="231">
        <v>1971.5</v>
      </c>
      <c r="R30" s="228">
        <v>18.8</v>
      </c>
      <c r="S30" s="229">
        <v>9.4999999999999998E-3</v>
      </c>
      <c r="T30" s="231">
        <v>2001.6</v>
      </c>
      <c r="U30" s="231">
        <v>1983.8</v>
      </c>
      <c r="V30" s="228">
        <v>17.8</v>
      </c>
      <c r="W30" s="229">
        <v>8.9999999999999993E-3</v>
      </c>
      <c r="X30" s="228">
        <v>11.7</v>
      </c>
      <c r="Y30" s="228">
        <v>1</v>
      </c>
      <c r="Z30" s="228">
        <v>10.7</v>
      </c>
      <c r="AA30" s="229">
        <v>5.8999999999999999E-3</v>
      </c>
      <c r="AB30" s="228">
        <v>0</v>
      </c>
      <c r="AC30" s="228">
        <v>1</v>
      </c>
      <c r="AD30" s="228">
        <v>-1</v>
      </c>
      <c r="AE30" s="229">
        <v>0</v>
      </c>
      <c r="AF30" s="228">
        <v>11.7</v>
      </c>
      <c r="AG30" s="228">
        <v>11.8</v>
      </c>
      <c r="AH30" s="228">
        <v>-0.1</v>
      </c>
      <c r="AI30" s="229">
        <v>5.8999999999999999E-3</v>
      </c>
      <c r="AJ30" s="228">
        <v>23</v>
      </c>
      <c r="AK30" s="228">
        <v>24.1</v>
      </c>
      <c r="AL30" s="228">
        <v>-1.1000000000000001</v>
      </c>
      <c r="AM30" s="229">
        <v>1.1599999999999999E-2</v>
      </c>
      <c r="AN30" s="231">
        <v>1961.58</v>
      </c>
      <c r="AO30" s="231">
        <v>1977.17</v>
      </c>
      <c r="AP30" s="228">
        <v>0</v>
      </c>
      <c r="AQ30" s="230">
        <v>48877</v>
      </c>
      <c r="AR30" s="230">
        <v>40096</v>
      </c>
      <c r="AS30" s="230">
        <v>8781</v>
      </c>
      <c r="AT30" s="229">
        <v>0.219</v>
      </c>
      <c r="AU30" s="230">
        <v>18291</v>
      </c>
      <c r="AV30" s="230">
        <v>18187</v>
      </c>
      <c r="AW30" s="228">
        <v>104</v>
      </c>
      <c r="AX30" s="229">
        <v>5.7000000000000002E-3</v>
      </c>
      <c r="AY30" s="230">
        <v>30010</v>
      </c>
      <c r="AZ30" s="230">
        <v>21544</v>
      </c>
      <c r="BA30" s="230">
        <v>8466</v>
      </c>
      <c r="BB30" s="229">
        <v>0.39300000000000002</v>
      </c>
      <c r="BC30" s="228">
        <v>576</v>
      </c>
      <c r="BD30" s="228">
        <v>365</v>
      </c>
      <c r="BE30" s="228">
        <v>211</v>
      </c>
      <c r="BF30" s="229">
        <v>0.57809999999999995</v>
      </c>
      <c r="BG30" s="230">
        <v>72345</v>
      </c>
      <c r="BH30" s="230">
        <v>50435</v>
      </c>
      <c r="BI30" s="230">
        <v>21910</v>
      </c>
      <c r="BJ30" s="229">
        <v>0.43440000000000001</v>
      </c>
      <c r="BK30" s="230">
        <v>40452</v>
      </c>
      <c r="BL30" s="230">
        <v>24096</v>
      </c>
      <c r="BM30" s="230">
        <v>16356</v>
      </c>
      <c r="BN30" s="229">
        <v>0.67879999999999996</v>
      </c>
      <c r="BO30" s="230">
        <v>161674</v>
      </c>
      <c r="BP30" s="230">
        <v>114627</v>
      </c>
      <c r="BQ30" s="230">
        <v>47047</v>
      </c>
      <c r="BR30" s="229">
        <v>0.41039999999999999</v>
      </c>
      <c r="BS30" s="230">
        <v>4406038</v>
      </c>
      <c r="BT30" s="230">
        <v>3642855</v>
      </c>
      <c r="BU30" s="230">
        <v>763183</v>
      </c>
      <c r="BV30" s="229">
        <v>0.20949999999999999</v>
      </c>
      <c r="BW30" s="230">
        <v>32031200</v>
      </c>
      <c r="BX30" s="230">
        <v>34045600</v>
      </c>
      <c r="BY30" s="230">
        <v>-2014400</v>
      </c>
      <c r="BZ30" s="229">
        <v>-5.9200000000000003E-2</v>
      </c>
      <c r="CA30" s="230">
        <v>3567600</v>
      </c>
      <c r="CB30" s="230">
        <v>6791600</v>
      </c>
      <c r="CC30" s="230">
        <v>-3224000</v>
      </c>
      <c r="CD30" s="229">
        <v>-0.47470000000000001</v>
      </c>
      <c r="CE30" s="230">
        <v>31554400</v>
      </c>
      <c r="CF30" s="230">
        <v>26799200</v>
      </c>
      <c r="CG30" s="230">
        <v>4755200</v>
      </c>
      <c r="CH30" s="229">
        <v>0.1774</v>
      </c>
      <c r="CI30" s="230">
        <v>476800</v>
      </c>
      <c r="CJ30" s="230">
        <v>454800</v>
      </c>
      <c r="CK30" s="230">
        <v>22000</v>
      </c>
      <c r="CL30" s="229">
        <v>4.8399999999999999E-2</v>
      </c>
      <c r="CM30" s="230">
        <v>6469600</v>
      </c>
      <c r="CN30" s="230">
        <v>15140000</v>
      </c>
      <c r="CO30" s="230">
        <v>-8670400</v>
      </c>
      <c r="CP30" s="229">
        <v>-0.57269999999999999</v>
      </c>
      <c r="CQ30" s="230">
        <v>4389600</v>
      </c>
      <c r="CR30" s="230">
        <v>8811600</v>
      </c>
      <c r="CS30" s="230">
        <v>-4422000</v>
      </c>
      <c r="CT30" s="229">
        <v>-0.50180000000000002</v>
      </c>
      <c r="CU30" s="230">
        <v>42890400</v>
      </c>
      <c r="CV30" s="230">
        <v>57997200</v>
      </c>
      <c r="CW30" s="230">
        <v>-15106800</v>
      </c>
      <c r="CX30" s="229">
        <v>-0.26050000000000001</v>
      </c>
      <c r="CY30" s="228">
        <v>19.22</v>
      </c>
      <c r="CZ30" s="228">
        <v>20.62</v>
      </c>
      <c r="DA30" s="228">
        <v>-1.4</v>
      </c>
      <c r="DB30" s="228">
        <v>-1.4</v>
      </c>
      <c r="DC30" s="228">
        <v>29.15</v>
      </c>
      <c r="DD30" s="228">
        <v>29.2</v>
      </c>
      <c r="DE30" s="228">
        <v>-9.93</v>
      </c>
      <c r="DF30" s="228">
        <v>-0.05</v>
      </c>
      <c r="DG30" s="228">
        <v>19.170000000000002</v>
      </c>
      <c r="DH30" s="228">
        <v>20.82</v>
      </c>
      <c r="DI30" s="228">
        <v>-1.65</v>
      </c>
      <c r="DJ30" s="228">
        <v>-1.65</v>
      </c>
      <c r="DK30" s="228">
        <v>19.309999999999999</v>
      </c>
      <c r="DL30" s="228">
        <v>20.16</v>
      </c>
      <c r="DM30" s="228">
        <v>-0.85</v>
      </c>
      <c r="DN30" s="228">
        <v>-0.85</v>
      </c>
      <c r="DO30" s="228">
        <v>0.68</v>
      </c>
      <c r="DP30" s="228">
        <v>0.57999999999999996</v>
      </c>
      <c r="DQ30" s="228">
        <v>0.1</v>
      </c>
      <c r="DR30" s="229">
        <v>0.1724</v>
      </c>
      <c r="DS30" s="231">
        <v>2000</v>
      </c>
      <c r="DT30" s="231">
        <v>2000</v>
      </c>
      <c r="DU30" s="228">
        <v>0.56000000000000005</v>
      </c>
      <c r="DV30" s="228">
        <v>0.48</v>
      </c>
      <c r="DW30" s="228">
        <v>0.08</v>
      </c>
      <c r="DX30" s="229">
        <v>0.16669999999999999</v>
      </c>
      <c r="DY30" s="229">
        <v>0.89980000000000004</v>
      </c>
      <c r="DZ30" s="230">
        <v>27254000</v>
      </c>
      <c r="EA30" s="229">
        <v>5.8999999999999999E-3</v>
      </c>
      <c r="EB30" s="229">
        <v>0.89980000000000004</v>
      </c>
      <c r="EC30" s="228">
        <v>15.59</v>
      </c>
      <c r="ED30" s="229">
        <v>7.9000000000000008E-3</v>
      </c>
      <c r="EE30" s="230">
        <v>2545630</v>
      </c>
      <c r="EF30" s="230">
        <v>2664220</v>
      </c>
      <c r="EG30" s="229">
        <v>-4.4499999999999998E-2</v>
      </c>
      <c r="EH30" s="229">
        <v>0.57779999999999998</v>
      </c>
      <c r="EI30" s="231">
        <v>593502.71</v>
      </c>
      <c r="EJ30" s="231">
        <v>321376.76</v>
      </c>
      <c r="EK30" s="231">
        <v>385435.22</v>
      </c>
      <c r="EL30" s="228">
        <v>0</v>
      </c>
      <c r="EM30" s="231">
        <v>1300314.69</v>
      </c>
      <c r="EN30" s="231">
        <v>918894.22</v>
      </c>
      <c r="EO30" s="231">
        <v>381420.47</v>
      </c>
      <c r="EP30" s="229">
        <v>0.41510000000000002</v>
      </c>
      <c r="EQ30" s="231">
        <v>136049</v>
      </c>
      <c r="ER30" s="231">
        <v>86083</v>
      </c>
      <c r="ES30" s="231">
        <v>637571</v>
      </c>
      <c r="ET30" s="231">
        <v>294716519</v>
      </c>
      <c r="EU30" s="231">
        <v>859703</v>
      </c>
      <c r="EV30" s="231">
        <v>1171293</v>
      </c>
      <c r="EW30" s="231">
        <v>-311590</v>
      </c>
      <c r="EX30" s="229">
        <v>-0.26600000000000001</v>
      </c>
      <c r="EY30" s="229">
        <v>0.14549999999999999</v>
      </c>
    </row>
    <row r="31" spans="1:155" ht="17.25" thickBot="1" x14ac:dyDescent="0.3">
      <c r="A31" s="226">
        <v>45869</v>
      </c>
      <c r="B31" s="227" t="s">
        <v>184</v>
      </c>
      <c r="C31" s="227" t="s">
        <v>249</v>
      </c>
      <c r="D31" s="231">
        <v>3650.5</v>
      </c>
      <c r="E31" s="231">
        <v>3679.2</v>
      </c>
      <c r="F31" s="228">
        <v>-28.7</v>
      </c>
      <c r="G31" s="229">
        <v>-7.7999999999999996E-3</v>
      </c>
      <c r="H31" s="231">
        <v>3636.5</v>
      </c>
      <c r="I31" s="231">
        <v>3665.1</v>
      </c>
      <c r="J31" s="228">
        <v>-28.6</v>
      </c>
      <c r="K31" s="229">
        <v>-7.7999999999999996E-3</v>
      </c>
      <c r="L31" s="231">
        <v>3630.2</v>
      </c>
      <c r="M31" s="231">
        <v>3657.1</v>
      </c>
      <c r="N31" s="228">
        <v>-26.9</v>
      </c>
      <c r="O31" s="229">
        <v>-7.4000000000000003E-3</v>
      </c>
      <c r="P31" s="231">
        <v>3650.5</v>
      </c>
      <c r="Q31" s="231">
        <v>3679.2</v>
      </c>
      <c r="R31" s="228">
        <v>-28.7</v>
      </c>
      <c r="S31" s="229">
        <v>-7.7999999999999996E-3</v>
      </c>
      <c r="T31" s="231">
        <v>3671.3</v>
      </c>
      <c r="U31" s="231">
        <v>3698.8</v>
      </c>
      <c r="V31" s="228">
        <v>-27.5</v>
      </c>
      <c r="W31" s="229">
        <v>-7.4000000000000003E-3</v>
      </c>
      <c r="X31" s="228">
        <v>14</v>
      </c>
      <c r="Y31" s="228">
        <v>-8</v>
      </c>
      <c r="Z31" s="228">
        <v>22</v>
      </c>
      <c r="AA31" s="229">
        <v>3.8E-3</v>
      </c>
      <c r="AB31" s="228">
        <v>-6.3</v>
      </c>
      <c r="AC31" s="228">
        <v>-8</v>
      </c>
      <c r="AD31" s="228">
        <v>1.7</v>
      </c>
      <c r="AE31" s="229">
        <v>-1.6999999999999999E-3</v>
      </c>
      <c r="AF31" s="228">
        <v>14</v>
      </c>
      <c r="AG31" s="228">
        <v>14.1</v>
      </c>
      <c r="AH31" s="228">
        <v>-0.1</v>
      </c>
      <c r="AI31" s="229">
        <v>3.8E-3</v>
      </c>
      <c r="AJ31" s="228">
        <v>34.799999999999997</v>
      </c>
      <c r="AK31" s="228">
        <v>33.700000000000003</v>
      </c>
      <c r="AL31" s="228">
        <v>1.1000000000000001</v>
      </c>
      <c r="AM31" s="229">
        <v>9.5999999999999992E-3</v>
      </c>
      <c r="AN31" s="231">
        <v>3641.56</v>
      </c>
      <c r="AO31" s="231">
        <v>3662.15</v>
      </c>
      <c r="AP31" s="228">
        <v>0</v>
      </c>
      <c r="AQ31" s="230">
        <v>39718</v>
      </c>
      <c r="AR31" s="230">
        <v>83163</v>
      </c>
      <c r="AS31" s="230">
        <v>-43445</v>
      </c>
      <c r="AT31" s="229">
        <v>-0.52239999999999998</v>
      </c>
      <c r="AU31" s="230">
        <v>17987</v>
      </c>
      <c r="AV31" s="230">
        <v>43462</v>
      </c>
      <c r="AW31" s="230">
        <v>-25475</v>
      </c>
      <c r="AX31" s="229">
        <v>-0.58609999999999995</v>
      </c>
      <c r="AY31" s="230">
        <v>21403</v>
      </c>
      <c r="AZ31" s="230">
        <v>39041</v>
      </c>
      <c r="BA31" s="230">
        <v>-17638</v>
      </c>
      <c r="BB31" s="229">
        <v>-0.45179999999999998</v>
      </c>
      <c r="BC31" s="228">
        <v>328</v>
      </c>
      <c r="BD31" s="228">
        <v>660</v>
      </c>
      <c r="BE31" s="228">
        <v>-332</v>
      </c>
      <c r="BF31" s="229">
        <v>-0.503</v>
      </c>
      <c r="BG31" s="230">
        <v>69118</v>
      </c>
      <c r="BH31" s="230">
        <v>438715</v>
      </c>
      <c r="BI31" s="230">
        <v>-369597</v>
      </c>
      <c r="BJ31" s="229">
        <v>-0.84250000000000003</v>
      </c>
      <c r="BK31" s="230">
        <v>37231</v>
      </c>
      <c r="BL31" s="230">
        <v>158741</v>
      </c>
      <c r="BM31" s="230">
        <v>-121510</v>
      </c>
      <c r="BN31" s="229">
        <v>-0.76549999999999996</v>
      </c>
      <c r="BO31" s="230">
        <v>146067</v>
      </c>
      <c r="BP31" s="230">
        <v>680619</v>
      </c>
      <c r="BQ31" s="230">
        <v>-534552</v>
      </c>
      <c r="BR31" s="229">
        <v>-0.78539999999999999</v>
      </c>
      <c r="BS31" s="230">
        <v>2001989</v>
      </c>
      <c r="BT31" s="230">
        <v>9012170</v>
      </c>
      <c r="BU31" s="230">
        <v>-7010181</v>
      </c>
      <c r="BV31" s="229">
        <v>-0.77790000000000004</v>
      </c>
      <c r="BW31" s="230">
        <v>16201675</v>
      </c>
      <c r="BX31" s="230">
        <v>18159750</v>
      </c>
      <c r="BY31" s="230">
        <v>-1958075</v>
      </c>
      <c r="BZ31" s="229">
        <v>-0.10780000000000001</v>
      </c>
      <c r="CA31" s="230">
        <v>2024575</v>
      </c>
      <c r="CB31" s="230">
        <v>3097325</v>
      </c>
      <c r="CC31" s="230">
        <v>-1072750</v>
      </c>
      <c r="CD31" s="229">
        <v>-0.3463</v>
      </c>
      <c r="CE31" s="230">
        <v>15558025</v>
      </c>
      <c r="CF31" s="230">
        <v>14435400</v>
      </c>
      <c r="CG31" s="230">
        <v>1122625</v>
      </c>
      <c r="CH31" s="229">
        <v>7.7799999999999994E-2</v>
      </c>
      <c r="CI31" s="230">
        <v>643650</v>
      </c>
      <c r="CJ31" s="230">
        <v>627025</v>
      </c>
      <c r="CK31" s="230">
        <v>16625</v>
      </c>
      <c r="CL31" s="229">
        <v>2.6499999999999999E-2</v>
      </c>
      <c r="CM31" s="230">
        <v>2453325</v>
      </c>
      <c r="CN31" s="230">
        <v>9630775</v>
      </c>
      <c r="CO31" s="230">
        <v>-7177450</v>
      </c>
      <c r="CP31" s="229">
        <v>-0.74529999999999996</v>
      </c>
      <c r="CQ31" s="230">
        <v>2126950</v>
      </c>
      <c r="CR31" s="230">
        <v>5726000</v>
      </c>
      <c r="CS31" s="230">
        <v>-3599050</v>
      </c>
      <c r="CT31" s="229">
        <v>-0.62849999999999995</v>
      </c>
      <c r="CU31" s="230">
        <v>20781950</v>
      </c>
      <c r="CV31" s="230">
        <v>33516525</v>
      </c>
      <c r="CW31" s="230">
        <v>-12734575</v>
      </c>
      <c r="CX31" s="229">
        <v>-0.37990000000000002</v>
      </c>
      <c r="CY31" s="228">
        <v>19.04</v>
      </c>
      <c r="CZ31" s="228">
        <v>19.75</v>
      </c>
      <c r="DA31" s="228">
        <v>-0.71</v>
      </c>
      <c r="DB31" s="228">
        <v>-0.71</v>
      </c>
      <c r="DC31" s="228">
        <v>30.38</v>
      </c>
      <c r="DD31" s="228">
        <v>30.44</v>
      </c>
      <c r="DE31" s="228">
        <v>-11.34</v>
      </c>
      <c r="DF31" s="228">
        <v>-0.06</v>
      </c>
      <c r="DG31" s="228">
        <v>19.149999999999999</v>
      </c>
      <c r="DH31" s="228">
        <v>19.36</v>
      </c>
      <c r="DI31" s="228">
        <v>-0.21</v>
      </c>
      <c r="DJ31" s="228">
        <v>-0.21</v>
      </c>
      <c r="DK31" s="228">
        <v>18.88</v>
      </c>
      <c r="DL31" s="228">
        <v>20.63</v>
      </c>
      <c r="DM31" s="228">
        <v>-1.75</v>
      </c>
      <c r="DN31" s="228">
        <v>-1.75</v>
      </c>
      <c r="DO31" s="228">
        <v>0.87</v>
      </c>
      <c r="DP31" s="228">
        <v>0.59</v>
      </c>
      <c r="DQ31" s="228">
        <v>0.28000000000000003</v>
      </c>
      <c r="DR31" s="229">
        <v>0.47460000000000002</v>
      </c>
      <c r="DS31" s="231">
        <v>3600</v>
      </c>
      <c r="DT31" s="231">
        <v>3600</v>
      </c>
      <c r="DU31" s="228">
        <v>0.54</v>
      </c>
      <c r="DV31" s="228">
        <v>0.36</v>
      </c>
      <c r="DW31" s="228">
        <v>0.18</v>
      </c>
      <c r="DX31" s="229">
        <v>0.5</v>
      </c>
      <c r="DY31" s="229">
        <v>0.88890000000000002</v>
      </c>
      <c r="DZ31" s="230">
        <v>15062425</v>
      </c>
      <c r="EA31" s="229">
        <v>5.5999999999999999E-3</v>
      </c>
      <c r="EB31" s="229">
        <v>0.88890000000000002</v>
      </c>
      <c r="EC31" s="228">
        <v>20.59</v>
      </c>
      <c r="ED31" s="229">
        <v>5.7000000000000002E-3</v>
      </c>
      <c r="EE31" s="230">
        <v>1081987</v>
      </c>
      <c r="EF31" s="230">
        <v>5180497</v>
      </c>
      <c r="EG31" s="229">
        <v>-0.79110000000000003</v>
      </c>
      <c r="EH31" s="229">
        <v>0.54049999999999998</v>
      </c>
      <c r="EI31" s="231">
        <v>451610.1</v>
      </c>
      <c r="EJ31" s="231">
        <v>234465.3</v>
      </c>
      <c r="EK31" s="231">
        <v>253906.21</v>
      </c>
      <c r="EL31" s="228">
        <v>0</v>
      </c>
      <c r="EM31" s="231">
        <v>939981.61</v>
      </c>
      <c r="EN31" s="231">
        <v>4374816.6100000003</v>
      </c>
      <c r="EO31" s="231">
        <v>-3434835</v>
      </c>
      <c r="EP31" s="229">
        <v>-0.78510000000000002</v>
      </c>
      <c r="EQ31" s="231">
        <v>92035</v>
      </c>
      <c r="ER31" s="231">
        <v>75038</v>
      </c>
      <c r="ES31" s="231">
        <v>591576</v>
      </c>
      <c r="ET31" s="231">
        <v>271909552</v>
      </c>
      <c r="EU31" s="231">
        <v>758650</v>
      </c>
      <c r="EV31" s="231">
        <v>1227077</v>
      </c>
      <c r="EW31" s="231">
        <v>-468427</v>
      </c>
      <c r="EX31" s="229">
        <v>-0.38169999999999998</v>
      </c>
      <c r="EY31" s="229">
        <v>7.6399999999999996E-2</v>
      </c>
    </row>
    <row r="32" spans="1:155" ht="17.25" thickBot="1" x14ac:dyDescent="0.3">
      <c r="A32" s="226">
        <v>45869</v>
      </c>
      <c r="B32" s="227" t="s">
        <v>162</v>
      </c>
      <c r="C32" s="227" t="s">
        <v>251</v>
      </c>
      <c r="D32" s="231">
        <v>3215.6</v>
      </c>
      <c r="E32" s="231">
        <v>3228.2</v>
      </c>
      <c r="F32" s="228">
        <v>-12.6</v>
      </c>
      <c r="G32" s="229">
        <v>-3.8999999999999998E-3</v>
      </c>
      <c r="H32" s="231">
        <v>3203.1</v>
      </c>
      <c r="I32" s="231">
        <v>3208.9</v>
      </c>
      <c r="J32" s="228">
        <v>-5.8</v>
      </c>
      <c r="K32" s="229">
        <v>-1.8E-3</v>
      </c>
      <c r="L32" s="231">
        <v>3196</v>
      </c>
      <c r="M32" s="231">
        <v>3210.2</v>
      </c>
      <c r="N32" s="228">
        <v>-14.2</v>
      </c>
      <c r="O32" s="229">
        <v>-4.4000000000000003E-3</v>
      </c>
      <c r="P32" s="231">
        <v>3215.6</v>
      </c>
      <c r="Q32" s="231">
        <v>3228.2</v>
      </c>
      <c r="R32" s="228">
        <v>-12.6</v>
      </c>
      <c r="S32" s="229">
        <v>-3.8999999999999998E-3</v>
      </c>
      <c r="T32" s="231">
        <v>3232.8</v>
      </c>
      <c r="U32" s="231">
        <v>3251</v>
      </c>
      <c r="V32" s="228">
        <v>-18.2</v>
      </c>
      <c r="W32" s="229">
        <v>-5.5999999999999999E-3</v>
      </c>
      <c r="X32" s="228">
        <v>12.5</v>
      </c>
      <c r="Y32" s="228">
        <v>1.3</v>
      </c>
      <c r="Z32" s="228">
        <v>11.2</v>
      </c>
      <c r="AA32" s="229">
        <v>3.8999999999999998E-3</v>
      </c>
      <c r="AB32" s="228">
        <v>-7.1</v>
      </c>
      <c r="AC32" s="228">
        <v>1.3</v>
      </c>
      <c r="AD32" s="228">
        <v>-8.4</v>
      </c>
      <c r="AE32" s="229">
        <v>-2.2000000000000001E-3</v>
      </c>
      <c r="AF32" s="228">
        <v>12.5</v>
      </c>
      <c r="AG32" s="228">
        <v>19.3</v>
      </c>
      <c r="AH32" s="228">
        <v>-6.8</v>
      </c>
      <c r="AI32" s="229">
        <v>3.8999999999999998E-3</v>
      </c>
      <c r="AJ32" s="228">
        <v>29.7</v>
      </c>
      <c r="AK32" s="228">
        <v>42.1</v>
      </c>
      <c r="AL32" s="228">
        <v>-12.4</v>
      </c>
      <c r="AM32" s="229">
        <v>9.2999999999999992E-3</v>
      </c>
      <c r="AN32" s="231">
        <v>3199.33</v>
      </c>
      <c r="AO32" s="231">
        <v>3208.73</v>
      </c>
      <c r="AP32" s="228">
        <v>0</v>
      </c>
      <c r="AQ32" s="230">
        <v>53554</v>
      </c>
      <c r="AR32" s="230">
        <v>73552</v>
      </c>
      <c r="AS32" s="230">
        <v>-19998</v>
      </c>
      <c r="AT32" s="229">
        <v>-0.27189999999999998</v>
      </c>
      <c r="AU32" s="230">
        <v>16050</v>
      </c>
      <c r="AV32" s="230">
        <v>32231</v>
      </c>
      <c r="AW32" s="230">
        <v>-16181</v>
      </c>
      <c r="AX32" s="229">
        <v>-0.502</v>
      </c>
      <c r="AY32" s="230">
        <v>36768</v>
      </c>
      <c r="AZ32" s="230">
        <v>41008</v>
      </c>
      <c r="BA32" s="230">
        <v>-4240</v>
      </c>
      <c r="BB32" s="229">
        <v>-0.10340000000000001</v>
      </c>
      <c r="BC32" s="228">
        <v>736</v>
      </c>
      <c r="BD32" s="228">
        <v>313</v>
      </c>
      <c r="BE32" s="228">
        <v>423</v>
      </c>
      <c r="BF32" s="229">
        <v>1.3513999999999999</v>
      </c>
      <c r="BG32" s="230">
        <v>134315</v>
      </c>
      <c r="BH32" s="230">
        <v>97365</v>
      </c>
      <c r="BI32" s="230">
        <v>36950</v>
      </c>
      <c r="BJ32" s="229">
        <v>0.3795</v>
      </c>
      <c r="BK32" s="230">
        <v>58022</v>
      </c>
      <c r="BL32" s="230">
        <v>45206</v>
      </c>
      <c r="BM32" s="230">
        <v>12816</v>
      </c>
      <c r="BN32" s="229">
        <v>0.28349999999999997</v>
      </c>
      <c r="BO32" s="230">
        <v>245891</v>
      </c>
      <c r="BP32" s="230">
        <v>216123</v>
      </c>
      <c r="BQ32" s="230">
        <v>29768</v>
      </c>
      <c r="BR32" s="229">
        <v>0.13769999999999999</v>
      </c>
      <c r="BS32" s="230">
        <v>4592637</v>
      </c>
      <c r="BT32" s="230">
        <v>2299965</v>
      </c>
      <c r="BU32" s="230">
        <v>2292672</v>
      </c>
      <c r="BV32" s="229">
        <v>0.99680000000000002</v>
      </c>
      <c r="BW32" s="230">
        <v>23340600</v>
      </c>
      <c r="BX32" s="230">
        <v>23699000</v>
      </c>
      <c r="BY32" s="230">
        <v>-358400</v>
      </c>
      <c r="BZ32" s="229">
        <v>-1.5100000000000001E-2</v>
      </c>
      <c r="CA32" s="230">
        <v>314600</v>
      </c>
      <c r="CB32" s="230">
        <v>1777000</v>
      </c>
      <c r="CC32" s="230">
        <v>-1462400</v>
      </c>
      <c r="CD32" s="229">
        <v>-0.82299999999999995</v>
      </c>
      <c r="CE32" s="230">
        <v>22357800</v>
      </c>
      <c r="CF32" s="230">
        <v>20983000</v>
      </c>
      <c r="CG32" s="230">
        <v>1374800</v>
      </c>
      <c r="CH32" s="229">
        <v>6.5500000000000003E-2</v>
      </c>
      <c r="CI32" s="230">
        <v>982800</v>
      </c>
      <c r="CJ32" s="230">
        <v>939000</v>
      </c>
      <c r="CK32" s="230">
        <v>43800</v>
      </c>
      <c r="CL32" s="229">
        <v>4.6600000000000003E-2</v>
      </c>
      <c r="CM32" s="230">
        <v>3336000</v>
      </c>
      <c r="CN32" s="230">
        <v>5817800</v>
      </c>
      <c r="CO32" s="230">
        <v>-2481800</v>
      </c>
      <c r="CP32" s="229">
        <v>-0.42659999999999998</v>
      </c>
      <c r="CQ32" s="230">
        <v>2084800</v>
      </c>
      <c r="CR32" s="230">
        <v>3448000</v>
      </c>
      <c r="CS32" s="230">
        <v>-1363200</v>
      </c>
      <c r="CT32" s="229">
        <v>-0.39539999999999997</v>
      </c>
      <c r="CU32" s="230">
        <v>28761400</v>
      </c>
      <c r="CV32" s="230">
        <v>32964800</v>
      </c>
      <c r="CW32" s="230">
        <v>-4203400</v>
      </c>
      <c r="CX32" s="229">
        <v>-0.1275</v>
      </c>
      <c r="CY32" s="228">
        <v>29.4</v>
      </c>
      <c r="CZ32" s="228">
        <v>31.3</v>
      </c>
      <c r="DA32" s="228">
        <v>-1.9</v>
      </c>
      <c r="DB32" s="228">
        <v>-1.9</v>
      </c>
      <c r="DC32" s="228">
        <v>34.369999999999997</v>
      </c>
      <c r="DD32" s="228">
        <v>34.46</v>
      </c>
      <c r="DE32" s="228">
        <v>-4.97</v>
      </c>
      <c r="DF32" s="228">
        <v>-0.09</v>
      </c>
      <c r="DG32" s="228">
        <v>29.23</v>
      </c>
      <c r="DH32" s="228">
        <v>31.26</v>
      </c>
      <c r="DI32" s="228">
        <v>-2.0299999999999998</v>
      </c>
      <c r="DJ32" s="228">
        <v>-2.0299999999999998</v>
      </c>
      <c r="DK32" s="228">
        <v>29.81</v>
      </c>
      <c r="DL32" s="228">
        <v>31.36</v>
      </c>
      <c r="DM32" s="228">
        <v>-1.55</v>
      </c>
      <c r="DN32" s="228">
        <v>-1.55</v>
      </c>
      <c r="DO32" s="228">
        <v>0.62</v>
      </c>
      <c r="DP32" s="228">
        <v>0.59</v>
      </c>
      <c r="DQ32" s="228">
        <v>0.03</v>
      </c>
      <c r="DR32" s="229">
        <v>5.0799999999999998E-2</v>
      </c>
      <c r="DS32" s="231">
        <v>3400</v>
      </c>
      <c r="DT32" s="231">
        <v>3200</v>
      </c>
      <c r="DU32" s="228">
        <v>0.43</v>
      </c>
      <c r="DV32" s="228">
        <v>0.46</v>
      </c>
      <c r="DW32" s="228">
        <v>-0.03</v>
      </c>
      <c r="DX32" s="229">
        <v>-6.5199999999999994E-2</v>
      </c>
      <c r="DY32" s="229">
        <v>0.98670000000000002</v>
      </c>
      <c r="DZ32" s="230">
        <v>21922000</v>
      </c>
      <c r="EA32" s="229">
        <v>6.1000000000000004E-3</v>
      </c>
      <c r="EB32" s="229">
        <v>0.98670000000000002</v>
      </c>
      <c r="EC32" s="228">
        <v>9.4</v>
      </c>
      <c r="ED32" s="229">
        <v>2.8999999999999998E-3</v>
      </c>
      <c r="EE32" s="230">
        <v>2060444</v>
      </c>
      <c r="EF32" s="230">
        <v>1265894</v>
      </c>
      <c r="EG32" s="229">
        <v>0.62770000000000004</v>
      </c>
      <c r="EH32" s="229">
        <v>0.4486</v>
      </c>
      <c r="EI32" s="231">
        <v>898092.59</v>
      </c>
      <c r="EJ32" s="231">
        <v>366384.68</v>
      </c>
      <c r="EK32" s="231">
        <v>343405.75</v>
      </c>
      <c r="EL32" s="228">
        <v>0</v>
      </c>
      <c r="EM32" s="231">
        <v>1607883.02</v>
      </c>
      <c r="EN32" s="231">
        <v>1408070.18</v>
      </c>
      <c r="EO32" s="231">
        <v>199812.84</v>
      </c>
      <c r="EP32" s="229">
        <v>0.1419</v>
      </c>
      <c r="EQ32" s="231">
        <v>111037</v>
      </c>
      <c r="ER32" s="231">
        <v>64383</v>
      </c>
      <c r="ES32" s="231">
        <v>750709</v>
      </c>
      <c r="ET32" s="231">
        <v>190580808</v>
      </c>
      <c r="EU32" s="231">
        <v>926129</v>
      </c>
      <c r="EV32" s="231">
        <v>1064943</v>
      </c>
      <c r="EW32" s="231">
        <v>-138814</v>
      </c>
      <c r="EX32" s="229">
        <v>-0.1303</v>
      </c>
      <c r="EY32" s="229">
        <v>0.15090000000000001</v>
      </c>
    </row>
    <row r="33" spans="1:155" ht="17.25" thickBot="1" x14ac:dyDescent="0.3">
      <c r="A33" s="226">
        <v>45869</v>
      </c>
      <c r="B33" s="227" t="s">
        <v>162</v>
      </c>
      <c r="C33" s="227" t="s">
        <v>255</v>
      </c>
      <c r="D33" s="231">
        <v>12551</v>
      </c>
      <c r="E33" s="231">
        <v>12542</v>
      </c>
      <c r="F33" s="228">
        <v>9</v>
      </c>
      <c r="G33" s="229">
        <v>6.9999999999999999E-4</v>
      </c>
      <c r="H33" s="231">
        <v>12608</v>
      </c>
      <c r="I33" s="231">
        <v>12618</v>
      </c>
      <c r="J33" s="228">
        <v>-10</v>
      </c>
      <c r="K33" s="229">
        <v>-8.0000000000000004E-4</v>
      </c>
      <c r="L33" s="231">
        <v>12624</v>
      </c>
      <c r="M33" s="231">
        <v>12621</v>
      </c>
      <c r="N33" s="228">
        <v>3</v>
      </c>
      <c r="O33" s="229">
        <v>2.0000000000000001E-4</v>
      </c>
      <c r="P33" s="231">
        <v>12551</v>
      </c>
      <c r="Q33" s="231">
        <v>12542</v>
      </c>
      <c r="R33" s="228">
        <v>9</v>
      </c>
      <c r="S33" s="229">
        <v>6.9999999999999999E-4</v>
      </c>
      <c r="T33" s="231">
        <v>12611</v>
      </c>
      <c r="U33" s="231">
        <v>12601</v>
      </c>
      <c r="V33" s="228">
        <v>10</v>
      </c>
      <c r="W33" s="229">
        <v>8.0000000000000004E-4</v>
      </c>
      <c r="X33" s="228">
        <v>-57</v>
      </c>
      <c r="Y33" s="228">
        <v>3</v>
      </c>
      <c r="Z33" s="228">
        <v>-60</v>
      </c>
      <c r="AA33" s="229">
        <v>-4.4999999999999997E-3</v>
      </c>
      <c r="AB33" s="228">
        <v>16</v>
      </c>
      <c r="AC33" s="228">
        <v>3</v>
      </c>
      <c r="AD33" s="228">
        <v>13</v>
      </c>
      <c r="AE33" s="229">
        <v>1.2999999999999999E-3</v>
      </c>
      <c r="AF33" s="228">
        <v>-57</v>
      </c>
      <c r="AG33" s="228">
        <v>-76</v>
      </c>
      <c r="AH33" s="228">
        <v>19</v>
      </c>
      <c r="AI33" s="229">
        <v>-4.4999999999999997E-3</v>
      </c>
      <c r="AJ33" s="228">
        <v>3</v>
      </c>
      <c r="AK33" s="228">
        <v>-17</v>
      </c>
      <c r="AL33" s="228">
        <v>20</v>
      </c>
      <c r="AM33" s="229">
        <v>2.0000000000000001E-4</v>
      </c>
      <c r="AN33" s="231">
        <v>12580.4</v>
      </c>
      <c r="AO33" s="231">
        <v>12517.63</v>
      </c>
      <c r="AP33" s="228">
        <v>0</v>
      </c>
      <c r="AQ33" s="230">
        <v>43766</v>
      </c>
      <c r="AR33" s="230">
        <v>44077</v>
      </c>
      <c r="AS33" s="228">
        <v>-311</v>
      </c>
      <c r="AT33" s="229">
        <v>-7.1000000000000004E-3</v>
      </c>
      <c r="AU33" s="230">
        <v>10678</v>
      </c>
      <c r="AV33" s="230">
        <v>20849</v>
      </c>
      <c r="AW33" s="230">
        <v>-10171</v>
      </c>
      <c r="AX33" s="229">
        <v>-0.48780000000000001</v>
      </c>
      <c r="AY33" s="230">
        <v>32764</v>
      </c>
      <c r="AZ33" s="230">
        <v>23118</v>
      </c>
      <c r="BA33" s="230">
        <v>9646</v>
      </c>
      <c r="BB33" s="229">
        <v>0.4173</v>
      </c>
      <c r="BC33" s="228">
        <v>324</v>
      </c>
      <c r="BD33" s="228">
        <v>110</v>
      </c>
      <c r="BE33" s="228">
        <v>214</v>
      </c>
      <c r="BF33" s="229">
        <v>1.9455</v>
      </c>
      <c r="BG33" s="230">
        <v>143606</v>
      </c>
      <c r="BH33" s="230">
        <v>106951</v>
      </c>
      <c r="BI33" s="230">
        <v>36655</v>
      </c>
      <c r="BJ33" s="229">
        <v>0.3427</v>
      </c>
      <c r="BK33" s="230">
        <v>61763</v>
      </c>
      <c r="BL33" s="230">
        <v>39344</v>
      </c>
      <c r="BM33" s="230">
        <v>22419</v>
      </c>
      <c r="BN33" s="229">
        <v>0.56979999999999997</v>
      </c>
      <c r="BO33" s="230">
        <v>249135</v>
      </c>
      <c r="BP33" s="230">
        <v>190372</v>
      </c>
      <c r="BQ33" s="230">
        <v>58763</v>
      </c>
      <c r="BR33" s="229">
        <v>0.30869999999999997</v>
      </c>
      <c r="BS33" s="230">
        <v>718581</v>
      </c>
      <c r="BT33" s="230">
        <v>209599</v>
      </c>
      <c r="BU33" s="230">
        <v>508982</v>
      </c>
      <c r="BV33" s="229">
        <v>2.4283999999999999</v>
      </c>
      <c r="BW33" s="230">
        <v>3083900</v>
      </c>
      <c r="BX33" s="230">
        <v>2999900</v>
      </c>
      <c r="BY33" s="230">
        <v>84000</v>
      </c>
      <c r="BZ33" s="229">
        <v>2.8000000000000001E-2</v>
      </c>
      <c r="CA33" s="230">
        <v>72350</v>
      </c>
      <c r="CB33" s="230">
        <v>254200</v>
      </c>
      <c r="CC33" s="230">
        <v>-181850</v>
      </c>
      <c r="CD33" s="229">
        <v>-0.71540000000000004</v>
      </c>
      <c r="CE33" s="230">
        <v>3064600</v>
      </c>
      <c r="CF33" s="230">
        <v>2729300</v>
      </c>
      <c r="CG33" s="230">
        <v>335300</v>
      </c>
      <c r="CH33" s="229">
        <v>0.1229</v>
      </c>
      <c r="CI33" s="230">
        <v>19300</v>
      </c>
      <c r="CJ33" s="230">
        <v>16400</v>
      </c>
      <c r="CK33" s="230">
        <v>2900</v>
      </c>
      <c r="CL33" s="229">
        <v>0.17680000000000001</v>
      </c>
      <c r="CM33" s="230">
        <v>838500</v>
      </c>
      <c r="CN33" s="230">
        <v>2865450</v>
      </c>
      <c r="CO33" s="230">
        <v>-2026950</v>
      </c>
      <c r="CP33" s="229">
        <v>-0.70740000000000003</v>
      </c>
      <c r="CQ33" s="230">
        <v>430800</v>
      </c>
      <c r="CR33" s="230">
        <v>945700</v>
      </c>
      <c r="CS33" s="230">
        <v>-514900</v>
      </c>
      <c r="CT33" s="229">
        <v>-0.54449999999999998</v>
      </c>
      <c r="CU33" s="230">
        <v>4353200</v>
      </c>
      <c r="CV33" s="230">
        <v>6811050</v>
      </c>
      <c r="CW33" s="230">
        <v>-2457850</v>
      </c>
      <c r="CX33" s="229">
        <v>-0.3609</v>
      </c>
      <c r="CY33" s="228">
        <v>22.13</v>
      </c>
      <c r="CZ33" s="228">
        <v>22.66</v>
      </c>
      <c r="DA33" s="228">
        <v>-0.53</v>
      </c>
      <c r="DB33" s="228">
        <v>-0.53</v>
      </c>
      <c r="DC33" s="228">
        <v>24.69</v>
      </c>
      <c r="DD33" s="228">
        <v>24.76</v>
      </c>
      <c r="DE33" s="228">
        <v>-2.56</v>
      </c>
      <c r="DF33" s="228">
        <v>-7.0000000000000007E-2</v>
      </c>
      <c r="DG33" s="228">
        <v>21.8</v>
      </c>
      <c r="DH33" s="228">
        <v>22.61</v>
      </c>
      <c r="DI33" s="228">
        <v>-0.81</v>
      </c>
      <c r="DJ33" s="228">
        <v>-0.81</v>
      </c>
      <c r="DK33" s="228">
        <v>22.93</v>
      </c>
      <c r="DL33" s="228">
        <v>22.8</v>
      </c>
      <c r="DM33" s="228">
        <v>0.13</v>
      </c>
      <c r="DN33" s="228">
        <v>0.13</v>
      </c>
      <c r="DO33" s="228">
        <v>0.51</v>
      </c>
      <c r="DP33" s="228">
        <v>0.33</v>
      </c>
      <c r="DQ33" s="228">
        <v>0.18</v>
      </c>
      <c r="DR33" s="229">
        <v>0.54549999999999998</v>
      </c>
      <c r="DS33" s="231">
        <v>12800</v>
      </c>
      <c r="DT33" s="231">
        <v>12000</v>
      </c>
      <c r="DU33" s="228">
        <v>0.43</v>
      </c>
      <c r="DV33" s="228">
        <v>0.37</v>
      </c>
      <c r="DW33" s="228">
        <v>0.06</v>
      </c>
      <c r="DX33" s="229">
        <v>0.16220000000000001</v>
      </c>
      <c r="DY33" s="229">
        <v>0.97709999999999997</v>
      </c>
      <c r="DZ33" s="230">
        <v>2745700</v>
      </c>
      <c r="EA33" s="229">
        <v>-5.7999999999999996E-3</v>
      </c>
      <c r="EB33" s="229">
        <v>0.97709999999999997</v>
      </c>
      <c r="EC33" s="228">
        <v>-62.77</v>
      </c>
      <c r="ED33" s="229">
        <v>-5.0000000000000001E-3</v>
      </c>
      <c r="EE33" s="230">
        <v>374923</v>
      </c>
      <c r="EF33" s="230">
        <v>96018</v>
      </c>
      <c r="EG33" s="229">
        <v>2.9047000000000001</v>
      </c>
      <c r="EH33" s="229">
        <v>0.52180000000000004</v>
      </c>
      <c r="EI33" s="231">
        <v>931263.7</v>
      </c>
      <c r="EJ33" s="231">
        <v>381281.35</v>
      </c>
      <c r="EK33" s="231">
        <v>274268.09999999998</v>
      </c>
      <c r="EL33" s="228">
        <v>0</v>
      </c>
      <c r="EM33" s="231">
        <v>1586813.15</v>
      </c>
      <c r="EN33" s="231">
        <v>1207964.02</v>
      </c>
      <c r="EO33" s="231">
        <v>378849.13</v>
      </c>
      <c r="EP33" s="229">
        <v>0.31359999999999999</v>
      </c>
      <c r="EQ33" s="231">
        <v>109056</v>
      </c>
      <c r="ER33" s="231">
        <v>51859</v>
      </c>
      <c r="ES33" s="231">
        <v>387072</v>
      </c>
      <c r="ET33" s="231">
        <v>26231219</v>
      </c>
      <c r="EU33" s="231">
        <v>547987</v>
      </c>
      <c r="EV33" s="231">
        <v>862280</v>
      </c>
      <c r="EW33" s="231">
        <v>-314293</v>
      </c>
      <c r="EX33" s="229">
        <v>-0.36449999999999999</v>
      </c>
      <c r="EY33" s="229">
        <v>0.16600000000000001</v>
      </c>
    </row>
    <row r="34" spans="1:155" ht="17.25" thickBot="1" x14ac:dyDescent="0.3">
      <c r="A34" s="226">
        <v>45869</v>
      </c>
      <c r="B34" s="227" t="s">
        <v>168</v>
      </c>
      <c r="C34" s="227" t="s">
        <v>265</v>
      </c>
      <c r="D34" s="231">
        <v>2257.8000000000002</v>
      </c>
      <c r="E34" s="231">
        <v>2244.6999999999998</v>
      </c>
      <c r="F34" s="228">
        <v>13.1</v>
      </c>
      <c r="G34" s="229">
        <v>5.7999999999999996E-3</v>
      </c>
      <c r="H34" s="231">
        <v>2247.6999999999998</v>
      </c>
      <c r="I34" s="231">
        <v>2231.5</v>
      </c>
      <c r="J34" s="228">
        <v>16.2</v>
      </c>
      <c r="K34" s="229">
        <v>7.3000000000000001E-3</v>
      </c>
      <c r="L34" s="231">
        <v>2246.3000000000002</v>
      </c>
      <c r="M34" s="231">
        <v>2233.5</v>
      </c>
      <c r="N34" s="228">
        <v>12.8</v>
      </c>
      <c r="O34" s="229">
        <v>5.7000000000000002E-3</v>
      </c>
      <c r="P34" s="231">
        <v>2257.8000000000002</v>
      </c>
      <c r="Q34" s="231">
        <v>2244.6999999999998</v>
      </c>
      <c r="R34" s="228">
        <v>13.1</v>
      </c>
      <c r="S34" s="229">
        <v>5.7999999999999996E-3</v>
      </c>
      <c r="T34" s="231">
        <v>2271.1999999999998</v>
      </c>
      <c r="U34" s="231">
        <v>2257.1999999999998</v>
      </c>
      <c r="V34" s="228">
        <v>14</v>
      </c>
      <c r="W34" s="229">
        <v>6.1999999999999998E-3</v>
      </c>
      <c r="X34" s="228">
        <v>10.1</v>
      </c>
      <c r="Y34" s="228">
        <v>2</v>
      </c>
      <c r="Z34" s="228">
        <v>8.1</v>
      </c>
      <c r="AA34" s="229">
        <v>4.4999999999999997E-3</v>
      </c>
      <c r="AB34" s="228">
        <v>-1.4</v>
      </c>
      <c r="AC34" s="228">
        <v>2</v>
      </c>
      <c r="AD34" s="228">
        <v>-3.4</v>
      </c>
      <c r="AE34" s="229">
        <v>-5.9999999999999995E-4</v>
      </c>
      <c r="AF34" s="228">
        <v>10.1</v>
      </c>
      <c r="AG34" s="228">
        <v>13.2</v>
      </c>
      <c r="AH34" s="228">
        <v>-3.1</v>
      </c>
      <c r="AI34" s="229">
        <v>4.4999999999999997E-3</v>
      </c>
      <c r="AJ34" s="228">
        <v>23.5</v>
      </c>
      <c r="AK34" s="228">
        <v>25.7</v>
      </c>
      <c r="AL34" s="228">
        <v>-2.2000000000000002</v>
      </c>
      <c r="AM34" s="229">
        <v>1.0500000000000001E-2</v>
      </c>
      <c r="AN34" s="231">
        <v>2247.7199999999998</v>
      </c>
      <c r="AO34" s="231">
        <v>2258.2800000000002</v>
      </c>
      <c r="AP34" s="228">
        <v>0</v>
      </c>
      <c r="AQ34" s="230">
        <v>13787</v>
      </c>
      <c r="AR34" s="230">
        <v>23991</v>
      </c>
      <c r="AS34" s="230">
        <v>-10204</v>
      </c>
      <c r="AT34" s="229">
        <v>-0.42530000000000001</v>
      </c>
      <c r="AU34" s="230">
        <v>5406</v>
      </c>
      <c r="AV34" s="230">
        <v>11612</v>
      </c>
      <c r="AW34" s="230">
        <v>-6206</v>
      </c>
      <c r="AX34" s="229">
        <v>-0.53439999999999999</v>
      </c>
      <c r="AY34" s="230">
        <v>8187</v>
      </c>
      <c r="AZ34" s="230">
        <v>12257</v>
      </c>
      <c r="BA34" s="230">
        <v>-4070</v>
      </c>
      <c r="BB34" s="229">
        <v>-0.33210000000000001</v>
      </c>
      <c r="BC34" s="228">
        <v>194</v>
      </c>
      <c r="BD34" s="228">
        <v>122</v>
      </c>
      <c r="BE34" s="228">
        <v>72</v>
      </c>
      <c r="BF34" s="229">
        <v>0.59019999999999995</v>
      </c>
      <c r="BG34" s="230">
        <v>14656</v>
      </c>
      <c r="BH34" s="230">
        <v>11010</v>
      </c>
      <c r="BI34" s="230">
        <v>3646</v>
      </c>
      <c r="BJ34" s="229">
        <v>0.33119999999999999</v>
      </c>
      <c r="BK34" s="230">
        <v>6330</v>
      </c>
      <c r="BL34" s="230">
        <v>3367</v>
      </c>
      <c r="BM34" s="230">
        <v>2963</v>
      </c>
      <c r="BN34" s="229">
        <v>0.88</v>
      </c>
      <c r="BO34" s="230">
        <v>34773</v>
      </c>
      <c r="BP34" s="230">
        <v>38368</v>
      </c>
      <c r="BQ34" s="230">
        <v>-3595</v>
      </c>
      <c r="BR34" s="229">
        <v>-9.3700000000000006E-2</v>
      </c>
      <c r="BS34" s="230">
        <v>696995</v>
      </c>
      <c r="BT34" s="230">
        <v>490328</v>
      </c>
      <c r="BU34" s="230">
        <v>206667</v>
      </c>
      <c r="BV34" s="229">
        <v>0.42149999999999999</v>
      </c>
      <c r="BW34" s="230">
        <v>10425500</v>
      </c>
      <c r="BX34" s="230">
        <v>11039250</v>
      </c>
      <c r="BY34" s="230">
        <v>-613750</v>
      </c>
      <c r="BZ34" s="229">
        <v>-5.5599999999999997E-2</v>
      </c>
      <c r="CA34" s="230">
        <v>590500</v>
      </c>
      <c r="CB34" s="230">
        <v>1335500</v>
      </c>
      <c r="CC34" s="230">
        <v>-745000</v>
      </c>
      <c r="CD34" s="229">
        <v>-0.55779999999999996</v>
      </c>
      <c r="CE34" s="230">
        <v>10270500</v>
      </c>
      <c r="CF34" s="230">
        <v>9569000</v>
      </c>
      <c r="CG34" s="230">
        <v>701500</v>
      </c>
      <c r="CH34" s="229">
        <v>7.3300000000000004E-2</v>
      </c>
      <c r="CI34" s="230">
        <v>155000</v>
      </c>
      <c r="CJ34" s="230">
        <v>134750</v>
      </c>
      <c r="CK34" s="230">
        <v>20250</v>
      </c>
      <c r="CL34" s="229">
        <v>0.15029999999999999</v>
      </c>
      <c r="CM34" s="230">
        <v>1401750</v>
      </c>
      <c r="CN34" s="230">
        <v>3786250</v>
      </c>
      <c r="CO34" s="230">
        <v>-2384500</v>
      </c>
      <c r="CP34" s="229">
        <v>-0.62980000000000003</v>
      </c>
      <c r="CQ34" s="230">
        <v>1273000</v>
      </c>
      <c r="CR34" s="230">
        <v>2586500</v>
      </c>
      <c r="CS34" s="230">
        <v>-1313500</v>
      </c>
      <c r="CT34" s="229">
        <v>-0.50780000000000003</v>
      </c>
      <c r="CU34" s="230">
        <v>13100250</v>
      </c>
      <c r="CV34" s="230">
        <v>17412000</v>
      </c>
      <c r="CW34" s="230">
        <v>-4311750</v>
      </c>
      <c r="CX34" s="229">
        <v>-0.24759999999999999</v>
      </c>
      <c r="CY34" s="228">
        <v>18.760000000000002</v>
      </c>
      <c r="CZ34" s="228">
        <v>19.5</v>
      </c>
      <c r="DA34" s="228">
        <v>-0.74</v>
      </c>
      <c r="DB34" s="228">
        <v>-0.74</v>
      </c>
      <c r="DC34" s="228">
        <v>23.36</v>
      </c>
      <c r="DD34" s="228">
        <v>23.4</v>
      </c>
      <c r="DE34" s="228">
        <v>-4.5999999999999996</v>
      </c>
      <c r="DF34" s="228">
        <v>-0.04</v>
      </c>
      <c r="DG34" s="228">
        <v>19.03</v>
      </c>
      <c r="DH34" s="228">
        <v>19.82</v>
      </c>
      <c r="DI34" s="228">
        <v>-0.79</v>
      </c>
      <c r="DJ34" s="228">
        <v>-0.79</v>
      </c>
      <c r="DK34" s="228">
        <v>18.18</v>
      </c>
      <c r="DL34" s="228">
        <v>18.690000000000001</v>
      </c>
      <c r="DM34" s="228">
        <v>-0.51</v>
      </c>
      <c r="DN34" s="228">
        <v>-0.51</v>
      </c>
      <c r="DO34" s="228">
        <v>0.91</v>
      </c>
      <c r="DP34" s="228">
        <v>0.68</v>
      </c>
      <c r="DQ34" s="228">
        <v>0.23</v>
      </c>
      <c r="DR34" s="229">
        <v>0.3382</v>
      </c>
      <c r="DS34" s="231">
        <v>2500</v>
      </c>
      <c r="DT34" s="231">
        <v>2400</v>
      </c>
      <c r="DU34" s="228">
        <v>0.43</v>
      </c>
      <c r="DV34" s="228">
        <v>0.31</v>
      </c>
      <c r="DW34" s="228">
        <v>0.12</v>
      </c>
      <c r="DX34" s="229">
        <v>0.3871</v>
      </c>
      <c r="DY34" s="229">
        <v>0.94640000000000002</v>
      </c>
      <c r="DZ34" s="230">
        <v>9703750</v>
      </c>
      <c r="EA34" s="229">
        <v>5.1000000000000004E-3</v>
      </c>
      <c r="EB34" s="229">
        <v>0.94640000000000002</v>
      </c>
      <c r="EC34" s="228">
        <v>10.56</v>
      </c>
      <c r="ED34" s="229">
        <v>4.7000000000000002E-3</v>
      </c>
      <c r="EE34" s="230">
        <v>329739</v>
      </c>
      <c r="EF34" s="230">
        <v>293136</v>
      </c>
      <c r="EG34" s="229">
        <v>0.1249</v>
      </c>
      <c r="EH34" s="229">
        <v>0.47310000000000002</v>
      </c>
      <c r="EI34" s="231">
        <v>85701.02</v>
      </c>
      <c r="EJ34" s="231">
        <v>35745.300000000003</v>
      </c>
      <c r="EK34" s="231">
        <v>77701.09</v>
      </c>
      <c r="EL34" s="228">
        <v>0</v>
      </c>
      <c r="EM34" s="231">
        <v>199147.41</v>
      </c>
      <c r="EN34" s="231">
        <v>218178.49</v>
      </c>
      <c r="EO34" s="231">
        <v>-19031.080000000002</v>
      </c>
      <c r="EP34" s="229">
        <v>-8.72E-2</v>
      </c>
      <c r="EQ34" s="231">
        <v>33504</v>
      </c>
      <c r="ER34" s="231">
        <v>28409</v>
      </c>
      <c r="ES34" s="231">
        <v>235408</v>
      </c>
      <c r="ET34" s="231">
        <v>71801274</v>
      </c>
      <c r="EU34" s="231">
        <v>297321</v>
      </c>
      <c r="EV34" s="231">
        <v>398478</v>
      </c>
      <c r="EW34" s="231">
        <v>-101157</v>
      </c>
      <c r="EX34" s="229">
        <v>-0.25390000000000001</v>
      </c>
      <c r="EY34" s="229">
        <v>0.1825</v>
      </c>
    </row>
    <row r="35" spans="1:155" ht="17.25" thickBot="1" x14ac:dyDescent="0.3">
      <c r="A35" s="226">
        <v>45869</v>
      </c>
      <c r="B35" s="227" t="s">
        <v>161</v>
      </c>
      <c r="C35" s="227" t="s">
        <v>268</v>
      </c>
      <c r="D35" s="228">
        <v>335.8</v>
      </c>
      <c r="E35" s="228">
        <v>340.8</v>
      </c>
      <c r="F35" s="228">
        <v>-5</v>
      </c>
      <c r="G35" s="229">
        <v>-1.47E-2</v>
      </c>
      <c r="H35" s="228">
        <v>334.25</v>
      </c>
      <c r="I35" s="228">
        <v>338.8</v>
      </c>
      <c r="J35" s="228">
        <v>-4.55</v>
      </c>
      <c r="K35" s="229">
        <v>-1.34E-2</v>
      </c>
      <c r="L35" s="228">
        <v>334.55</v>
      </c>
      <c r="M35" s="228">
        <v>338.95</v>
      </c>
      <c r="N35" s="228">
        <v>-4.4000000000000004</v>
      </c>
      <c r="O35" s="229">
        <v>-1.2999999999999999E-2</v>
      </c>
      <c r="P35" s="228">
        <v>335.8</v>
      </c>
      <c r="Q35" s="228">
        <v>340.8</v>
      </c>
      <c r="R35" s="228">
        <v>-5</v>
      </c>
      <c r="S35" s="229">
        <v>-1.47E-2</v>
      </c>
      <c r="T35" s="228">
        <v>334.9</v>
      </c>
      <c r="U35" s="228">
        <v>339.4</v>
      </c>
      <c r="V35" s="228">
        <v>-4.5</v>
      </c>
      <c r="W35" s="229">
        <v>-1.3299999999999999E-2</v>
      </c>
      <c r="X35" s="228">
        <v>1.55</v>
      </c>
      <c r="Y35" s="228">
        <v>0.15</v>
      </c>
      <c r="Z35" s="228">
        <v>1.4</v>
      </c>
      <c r="AA35" s="229">
        <v>4.5999999999999999E-3</v>
      </c>
      <c r="AB35" s="228">
        <v>0.3</v>
      </c>
      <c r="AC35" s="228">
        <v>0.15</v>
      </c>
      <c r="AD35" s="228">
        <v>0.15</v>
      </c>
      <c r="AE35" s="229">
        <v>8.9999999999999998E-4</v>
      </c>
      <c r="AF35" s="228">
        <v>1.55</v>
      </c>
      <c r="AG35" s="228">
        <v>2</v>
      </c>
      <c r="AH35" s="228">
        <v>-0.45</v>
      </c>
      <c r="AI35" s="229">
        <v>4.5999999999999999E-3</v>
      </c>
      <c r="AJ35" s="228">
        <v>0.65</v>
      </c>
      <c r="AK35" s="228">
        <v>0.6</v>
      </c>
      <c r="AL35" s="228">
        <v>0.05</v>
      </c>
      <c r="AM35" s="229">
        <v>1.9E-3</v>
      </c>
      <c r="AN35" s="228">
        <v>337.48</v>
      </c>
      <c r="AO35" s="228">
        <v>338.6</v>
      </c>
      <c r="AP35" s="228">
        <v>0</v>
      </c>
      <c r="AQ35" s="230">
        <v>22849</v>
      </c>
      <c r="AR35" s="230">
        <v>44395</v>
      </c>
      <c r="AS35" s="230">
        <v>-21546</v>
      </c>
      <c r="AT35" s="229">
        <v>-0.48530000000000001</v>
      </c>
      <c r="AU35" s="230">
        <v>9169</v>
      </c>
      <c r="AV35" s="230">
        <v>20345</v>
      </c>
      <c r="AW35" s="230">
        <v>-11176</v>
      </c>
      <c r="AX35" s="229">
        <v>-0.54930000000000001</v>
      </c>
      <c r="AY35" s="230">
        <v>13357</v>
      </c>
      <c r="AZ35" s="230">
        <v>23341</v>
      </c>
      <c r="BA35" s="230">
        <v>-9984</v>
      </c>
      <c r="BB35" s="229">
        <v>-0.42770000000000002</v>
      </c>
      <c r="BC35" s="228">
        <v>323</v>
      </c>
      <c r="BD35" s="228">
        <v>709</v>
      </c>
      <c r="BE35" s="228">
        <v>-386</v>
      </c>
      <c r="BF35" s="229">
        <v>-0.5444</v>
      </c>
      <c r="BG35" s="230">
        <v>13218</v>
      </c>
      <c r="BH35" s="230">
        <v>74374</v>
      </c>
      <c r="BI35" s="230">
        <v>-61156</v>
      </c>
      <c r="BJ35" s="229">
        <v>-0.82230000000000003</v>
      </c>
      <c r="BK35" s="230">
        <v>11146</v>
      </c>
      <c r="BL35" s="230">
        <v>30387</v>
      </c>
      <c r="BM35" s="230">
        <v>-19241</v>
      </c>
      <c r="BN35" s="229">
        <v>-0.63319999999999999</v>
      </c>
      <c r="BO35" s="230">
        <v>47213</v>
      </c>
      <c r="BP35" s="230">
        <v>149156</v>
      </c>
      <c r="BQ35" s="230">
        <v>-101943</v>
      </c>
      <c r="BR35" s="229">
        <v>-0.6835</v>
      </c>
      <c r="BS35" s="230">
        <v>9258055</v>
      </c>
      <c r="BT35" s="230">
        <v>13053485</v>
      </c>
      <c r="BU35" s="230">
        <v>-3795430</v>
      </c>
      <c r="BV35" s="229">
        <v>-0.2908</v>
      </c>
      <c r="BW35" s="230">
        <v>103177500</v>
      </c>
      <c r="BX35" s="230">
        <v>111349500</v>
      </c>
      <c r="BY35" s="230">
        <v>-8172000</v>
      </c>
      <c r="BZ35" s="229">
        <v>-7.3400000000000007E-2</v>
      </c>
      <c r="CA35" s="230">
        <v>4515000</v>
      </c>
      <c r="CB35" s="230">
        <v>12319500</v>
      </c>
      <c r="CC35" s="230">
        <v>-7804500</v>
      </c>
      <c r="CD35" s="229">
        <v>-0.63349999999999995</v>
      </c>
      <c r="CE35" s="230">
        <v>101938500</v>
      </c>
      <c r="CF35" s="230">
        <v>97981500</v>
      </c>
      <c r="CG35" s="230">
        <v>3957000</v>
      </c>
      <c r="CH35" s="229">
        <v>4.0399999999999998E-2</v>
      </c>
      <c r="CI35" s="230">
        <v>1239000</v>
      </c>
      <c r="CJ35" s="230">
        <v>1048500</v>
      </c>
      <c r="CK35" s="230">
        <v>190500</v>
      </c>
      <c r="CL35" s="229">
        <v>0.1817</v>
      </c>
      <c r="CM35" s="230">
        <v>11134500</v>
      </c>
      <c r="CN35" s="230">
        <v>75363000</v>
      </c>
      <c r="CO35" s="230">
        <v>-64228500</v>
      </c>
      <c r="CP35" s="229">
        <v>-0.85229999999999995</v>
      </c>
      <c r="CQ35" s="230">
        <v>9826500</v>
      </c>
      <c r="CR35" s="230">
        <v>23575500</v>
      </c>
      <c r="CS35" s="230">
        <v>-13749000</v>
      </c>
      <c r="CT35" s="229">
        <v>-0.58320000000000005</v>
      </c>
      <c r="CU35" s="230">
        <v>124138500</v>
      </c>
      <c r="CV35" s="230">
        <v>210288000</v>
      </c>
      <c r="CW35" s="230">
        <v>-86149500</v>
      </c>
      <c r="CX35" s="229">
        <v>-0.40970000000000001</v>
      </c>
      <c r="CY35" s="228">
        <v>19.96</v>
      </c>
      <c r="CZ35" s="228">
        <v>20.97</v>
      </c>
      <c r="DA35" s="228">
        <v>-1.01</v>
      </c>
      <c r="DB35" s="228">
        <v>-1.01</v>
      </c>
      <c r="DC35" s="228">
        <v>31.32</v>
      </c>
      <c r="DD35" s="228">
        <v>31.34</v>
      </c>
      <c r="DE35" s="228">
        <v>-11.36</v>
      </c>
      <c r="DF35" s="228">
        <v>-0.02</v>
      </c>
      <c r="DG35" s="228">
        <v>20</v>
      </c>
      <c r="DH35" s="228">
        <v>20.37</v>
      </c>
      <c r="DI35" s="228">
        <v>-0.37</v>
      </c>
      <c r="DJ35" s="228">
        <v>-0.37</v>
      </c>
      <c r="DK35" s="228">
        <v>19.920000000000002</v>
      </c>
      <c r="DL35" s="228">
        <v>21.9</v>
      </c>
      <c r="DM35" s="228">
        <v>-1.98</v>
      </c>
      <c r="DN35" s="228">
        <v>-1.98</v>
      </c>
      <c r="DO35" s="228">
        <v>0.88</v>
      </c>
      <c r="DP35" s="228">
        <v>0.31</v>
      </c>
      <c r="DQ35" s="228">
        <v>0.56999999999999995</v>
      </c>
      <c r="DR35" s="229">
        <v>1.8387</v>
      </c>
      <c r="DS35" s="228">
        <v>345</v>
      </c>
      <c r="DT35" s="228">
        <v>380</v>
      </c>
      <c r="DU35" s="228">
        <v>0.84</v>
      </c>
      <c r="DV35" s="228">
        <v>0.41</v>
      </c>
      <c r="DW35" s="228">
        <v>0.43</v>
      </c>
      <c r="DX35" s="229">
        <v>1.0488</v>
      </c>
      <c r="DY35" s="229">
        <v>0.95809999999999995</v>
      </c>
      <c r="DZ35" s="230">
        <v>99030000</v>
      </c>
      <c r="EA35" s="229">
        <v>3.7000000000000002E-3</v>
      </c>
      <c r="EB35" s="229">
        <v>0.95809999999999995</v>
      </c>
      <c r="EC35" s="228">
        <v>1.1200000000000001</v>
      </c>
      <c r="ED35" s="229">
        <v>3.3E-3</v>
      </c>
      <c r="EE35" s="230">
        <v>5950338</v>
      </c>
      <c r="EF35" s="230">
        <v>6216523</v>
      </c>
      <c r="EG35" s="229">
        <v>-4.2799999999999998E-2</v>
      </c>
      <c r="EH35" s="229">
        <v>0.64270000000000005</v>
      </c>
      <c r="EI35" s="231">
        <v>69090.48</v>
      </c>
      <c r="EJ35" s="231">
        <v>55986.94</v>
      </c>
      <c r="EK35" s="231">
        <v>115887.86</v>
      </c>
      <c r="EL35" s="228">
        <v>0</v>
      </c>
      <c r="EM35" s="231">
        <v>240965.28</v>
      </c>
      <c r="EN35" s="231">
        <v>764038.73</v>
      </c>
      <c r="EO35" s="231">
        <v>-523073.45</v>
      </c>
      <c r="EP35" s="229">
        <v>-0.68459999999999999</v>
      </c>
      <c r="EQ35" s="231">
        <v>39372</v>
      </c>
      <c r="ER35" s="231">
        <v>33684</v>
      </c>
      <c r="ES35" s="231">
        <v>346459</v>
      </c>
      <c r="ET35" s="231">
        <v>948263976</v>
      </c>
      <c r="EU35" s="231">
        <v>419515</v>
      </c>
      <c r="EV35" s="231">
        <v>722100</v>
      </c>
      <c r="EW35" s="231">
        <v>-302585</v>
      </c>
      <c r="EX35" s="229">
        <v>-0.41899999999999998</v>
      </c>
      <c r="EY35" s="229">
        <v>0.13089999999999999</v>
      </c>
    </row>
    <row r="36" spans="1:155" ht="17.25" thickBot="1" x14ac:dyDescent="0.3">
      <c r="A36" s="226">
        <v>45869</v>
      </c>
      <c r="B36" s="227" t="s">
        <v>193</v>
      </c>
      <c r="C36" s="227" t="s">
        <v>269</v>
      </c>
      <c r="D36" s="228">
        <v>240.99</v>
      </c>
      <c r="E36" s="228">
        <v>242.65</v>
      </c>
      <c r="F36" s="228">
        <v>-1.66</v>
      </c>
      <c r="G36" s="229">
        <v>-6.7999999999999996E-3</v>
      </c>
      <c r="H36" s="228">
        <v>241</v>
      </c>
      <c r="I36" s="228">
        <v>241.81</v>
      </c>
      <c r="J36" s="228">
        <v>-0.81</v>
      </c>
      <c r="K36" s="229">
        <v>-3.3E-3</v>
      </c>
      <c r="L36" s="228">
        <v>240.85</v>
      </c>
      <c r="M36" s="228">
        <v>241.94</v>
      </c>
      <c r="N36" s="228">
        <v>-1.0900000000000001</v>
      </c>
      <c r="O36" s="229">
        <v>-4.4999999999999997E-3</v>
      </c>
      <c r="P36" s="228">
        <v>240.99</v>
      </c>
      <c r="Q36" s="228">
        <v>242.65</v>
      </c>
      <c r="R36" s="228">
        <v>-1.66</v>
      </c>
      <c r="S36" s="229">
        <v>-6.7999999999999996E-3</v>
      </c>
      <c r="T36" s="228">
        <v>241.93</v>
      </c>
      <c r="U36" s="228">
        <v>243.21</v>
      </c>
      <c r="V36" s="228">
        <v>-1.28</v>
      </c>
      <c r="W36" s="229">
        <v>-5.3E-3</v>
      </c>
      <c r="X36" s="228">
        <v>-0.01</v>
      </c>
      <c r="Y36" s="228">
        <v>0.13</v>
      </c>
      <c r="Z36" s="228">
        <v>-0.14000000000000001</v>
      </c>
      <c r="AA36" s="229">
        <v>0</v>
      </c>
      <c r="AB36" s="228">
        <v>-0.15</v>
      </c>
      <c r="AC36" s="228">
        <v>0.13</v>
      </c>
      <c r="AD36" s="228">
        <v>-0.28000000000000003</v>
      </c>
      <c r="AE36" s="229">
        <v>-5.9999999999999995E-4</v>
      </c>
      <c r="AF36" s="228">
        <v>-0.01</v>
      </c>
      <c r="AG36" s="228">
        <v>0.84</v>
      </c>
      <c r="AH36" s="228">
        <v>-0.85</v>
      </c>
      <c r="AI36" s="229">
        <v>0</v>
      </c>
      <c r="AJ36" s="228">
        <v>0.93</v>
      </c>
      <c r="AK36" s="228">
        <v>1.4</v>
      </c>
      <c r="AL36" s="228">
        <v>-0.47</v>
      </c>
      <c r="AM36" s="229">
        <v>3.8999999999999998E-3</v>
      </c>
      <c r="AN36" s="228">
        <v>240.94</v>
      </c>
      <c r="AO36" s="228">
        <v>241.34</v>
      </c>
      <c r="AP36" s="228">
        <v>0</v>
      </c>
      <c r="AQ36" s="230">
        <v>23522</v>
      </c>
      <c r="AR36" s="230">
        <v>27263</v>
      </c>
      <c r="AS36" s="230">
        <v>-3741</v>
      </c>
      <c r="AT36" s="229">
        <v>-0.13719999999999999</v>
      </c>
      <c r="AU36" s="230">
        <v>10478</v>
      </c>
      <c r="AV36" s="230">
        <v>12835</v>
      </c>
      <c r="AW36" s="230">
        <v>-2357</v>
      </c>
      <c r="AX36" s="229">
        <v>-0.18360000000000001</v>
      </c>
      <c r="AY36" s="230">
        <v>12597</v>
      </c>
      <c r="AZ36" s="230">
        <v>13478</v>
      </c>
      <c r="BA36" s="228">
        <v>-881</v>
      </c>
      <c r="BB36" s="229">
        <v>-6.54E-2</v>
      </c>
      <c r="BC36" s="228">
        <v>447</v>
      </c>
      <c r="BD36" s="228">
        <v>950</v>
      </c>
      <c r="BE36" s="228">
        <v>-503</v>
      </c>
      <c r="BF36" s="229">
        <v>-0.52949999999999997</v>
      </c>
      <c r="BG36" s="230">
        <v>8992</v>
      </c>
      <c r="BH36" s="230">
        <v>17105</v>
      </c>
      <c r="BI36" s="230">
        <v>-8113</v>
      </c>
      <c r="BJ36" s="229">
        <v>-0.4743</v>
      </c>
      <c r="BK36" s="230">
        <v>5632</v>
      </c>
      <c r="BL36" s="230">
        <v>7216</v>
      </c>
      <c r="BM36" s="230">
        <v>-1584</v>
      </c>
      <c r="BN36" s="229">
        <v>-0.2195</v>
      </c>
      <c r="BO36" s="230">
        <v>38146</v>
      </c>
      <c r="BP36" s="230">
        <v>51584</v>
      </c>
      <c r="BQ36" s="230">
        <v>-13438</v>
      </c>
      <c r="BR36" s="229">
        <v>-0.26050000000000001</v>
      </c>
      <c r="BS36" s="230">
        <v>10430489</v>
      </c>
      <c r="BT36" s="230">
        <v>9551432</v>
      </c>
      <c r="BU36" s="230">
        <v>879057</v>
      </c>
      <c r="BV36" s="229">
        <v>9.1999999999999998E-2</v>
      </c>
      <c r="BW36" s="230">
        <v>87426000</v>
      </c>
      <c r="BX36" s="230">
        <v>99047250</v>
      </c>
      <c r="BY36" s="230">
        <v>-11621250</v>
      </c>
      <c r="BZ36" s="229">
        <v>-0.1173</v>
      </c>
      <c r="CA36" s="230">
        <v>11328750</v>
      </c>
      <c r="CB36" s="230">
        <v>26750250</v>
      </c>
      <c r="CC36" s="230">
        <v>-15421500</v>
      </c>
      <c r="CD36" s="229">
        <v>-0.57650000000000001</v>
      </c>
      <c r="CE36" s="230">
        <v>85081500</v>
      </c>
      <c r="CF36" s="230">
        <v>70346250</v>
      </c>
      <c r="CG36" s="230">
        <v>14735250</v>
      </c>
      <c r="CH36" s="229">
        <v>0.20949999999999999</v>
      </c>
      <c r="CI36" s="230">
        <v>2344500</v>
      </c>
      <c r="CJ36" s="230">
        <v>1950750</v>
      </c>
      <c r="CK36" s="230">
        <v>393750</v>
      </c>
      <c r="CL36" s="229">
        <v>0.20180000000000001</v>
      </c>
      <c r="CM36" s="230">
        <v>12321000</v>
      </c>
      <c r="CN36" s="230">
        <v>71910000</v>
      </c>
      <c r="CO36" s="230">
        <v>-59589000</v>
      </c>
      <c r="CP36" s="229">
        <v>-0.82869999999999999</v>
      </c>
      <c r="CQ36" s="230">
        <v>11110500</v>
      </c>
      <c r="CR36" s="230">
        <v>21309750</v>
      </c>
      <c r="CS36" s="230">
        <v>-10199250</v>
      </c>
      <c r="CT36" s="229">
        <v>-0.47860000000000003</v>
      </c>
      <c r="CU36" s="230">
        <v>110857500</v>
      </c>
      <c r="CV36" s="230">
        <v>192267000</v>
      </c>
      <c r="CW36" s="230">
        <v>-81409500</v>
      </c>
      <c r="CX36" s="229">
        <v>-0.4234</v>
      </c>
      <c r="CY36" s="228">
        <v>23.93</v>
      </c>
      <c r="CZ36" s="228">
        <v>24.77</v>
      </c>
      <c r="DA36" s="228">
        <v>-0.84</v>
      </c>
      <c r="DB36" s="228">
        <v>-0.84</v>
      </c>
      <c r="DC36" s="228">
        <v>35.83</v>
      </c>
      <c r="DD36" s="228">
        <v>35.909999999999997</v>
      </c>
      <c r="DE36" s="228">
        <v>-11.9</v>
      </c>
      <c r="DF36" s="228">
        <v>-0.08</v>
      </c>
      <c r="DG36" s="228">
        <v>23.96</v>
      </c>
      <c r="DH36" s="228">
        <v>24.77</v>
      </c>
      <c r="DI36" s="228">
        <v>-0.81</v>
      </c>
      <c r="DJ36" s="228">
        <v>-0.81</v>
      </c>
      <c r="DK36" s="228">
        <v>23.89</v>
      </c>
      <c r="DL36" s="228">
        <v>24.76</v>
      </c>
      <c r="DM36" s="228">
        <v>-0.87</v>
      </c>
      <c r="DN36" s="228">
        <v>-0.87</v>
      </c>
      <c r="DO36" s="228">
        <v>0.9</v>
      </c>
      <c r="DP36" s="228">
        <v>0.3</v>
      </c>
      <c r="DQ36" s="228">
        <v>0.6</v>
      </c>
      <c r="DR36" s="229">
        <v>2</v>
      </c>
      <c r="DS36" s="228">
        <v>250</v>
      </c>
      <c r="DT36" s="228">
        <v>240</v>
      </c>
      <c r="DU36" s="228">
        <v>0.63</v>
      </c>
      <c r="DV36" s="228">
        <v>0.42</v>
      </c>
      <c r="DW36" s="228">
        <v>0.21</v>
      </c>
      <c r="DX36" s="229">
        <v>0.5</v>
      </c>
      <c r="DY36" s="229">
        <v>0.88529999999999998</v>
      </c>
      <c r="DZ36" s="230">
        <v>72297000</v>
      </c>
      <c r="EA36" s="229">
        <v>5.9999999999999995E-4</v>
      </c>
      <c r="EB36" s="229">
        <v>0.88529999999999998</v>
      </c>
      <c r="EC36" s="228">
        <v>0.4</v>
      </c>
      <c r="ED36" s="229">
        <v>1.6999999999999999E-3</v>
      </c>
      <c r="EE36" s="230">
        <v>6291922</v>
      </c>
      <c r="EF36" s="230">
        <v>5707537</v>
      </c>
      <c r="EG36" s="229">
        <v>0.1024</v>
      </c>
      <c r="EH36" s="229">
        <v>0.60319999999999996</v>
      </c>
      <c r="EI36" s="231">
        <v>50690.080000000002</v>
      </c>
      <c r="EJ36" s="231">
        <v>31318.02</v>
      </c>
      <c r="EK36" s="231">
        <v>127642.1</v>
      </c>
      <c r="EL36" s="228">
        <v>0</v>
      </c>
      <c r="EM36" s="231">
        <v>209650.2</v>
      </c>
      <c r="EN36" s="231">
        <v>283393.91999999998</v>
      </c>
      <c r="EO36" s="231">
        <v>-73743.72</v>
      </c>
      <c r="EP36" s="229">
        <v>-0.26019999999999999</v>
      </c>
      <c r="EQ36" s="231">
        <v>31045</v>
      </c>
      <c r="ER36" s="231">
        <v>27151</v>
      </c>
      <c r="ES36" s="231">
        <v>210710</v>
      </c>
      <c r="ET36" s="231">
        <v>1034282422</v>
      </c>
      <c r="EU36" s="231">
        <v>268906</v>
      </c>
      <c r="EV36" s="231">
        <v>472891</v>
      </c>
      <c r="EW36" s="231">
        <v>-203985</v>
      </c>
      <c r="EX36" s="229">
        <v>-0.43140000000000001</v>
      </c>
      <c r="EY36" s="229">
        <v>0.1072</v>
      </c>
    </row>
    <row r="37" spans="1:155" ht="17.25" thickBot="1" x14ac:dyDescent="0.3">
      <c r="A37" s="226">
        <v>45869</v>
      </c>
      <c r="B37" s="227" t="s">
        <v>161</v>
      </c>
      <c r="C37" s="227" t="s">
        <v>276</v>
      </c>
      <c r="D37" s="228">
        <v>291.89999999999998</v>
      </c>
      <c r="E37" s="228">
        <v>289.45</v>
      </c>
      <c r="F37" s="228">
        <v>2.4500000000000002</v>
      </c>
      <c r="G37" s="229">
        <v>8.5000000000000006E-3</v>
      </c>
      <c r="H37" s="228">
        <v>291</v>
      </c>
      <c r="I37" s="228">
        <v>288.95</v>
      </c>
      <c r="J37" s="228">
        <v>2.0499999999999998</v>
      </c>
      <c r="K37" s="229">
        <v>7.1000000000000004E-3</v>
      </c>
      <c r="L37" s="228">
        <v>291.7</v>
      </c>
      <c r="M37" s="228">
        <v>289.25</v>
      </c>
      <c r="N37" s="228">
        <v>2.4500000000000002</v>
      </c>
      <c r="O37" s="229">
        <v>8.5000000000000006E-3</v>
      </c>
      <c r="P37" s="228">
        <v>291.89999999999998</v>
      </c>
      <c r="Q37" s="228">
        <v>289.45</v>
      </c>
      <c r="R37" s="228">
        <v>2.4500000000000002</v>
      </c>
      <c r="S37" s="229">
        <v>8.5000000000000006E-3</v>
      </c>
      <c r="T37" s="228">
        <v>292.60000000000002</v>
      </c>
      <c r="U37" s="228">
        <v>290.95</v>
      </c>
      <c r="V37" s="228">
        <v>1.65</v>
      </c>
      <c r="W37" s="229">
        <v>5.7000000000000002E-3</v>
      </c>
      <c r="X37" s="228">
        <v>0.9</v>
      </c>
      <c r="Y37" s="228">
        <v>0.3</v>
      </c>
      <c r="Z37" s="228">
        <v>0.6</v>
      </c>
      <c r="AA37" s="229">
        <v>3.0999999999999999E-3</v>
      </c>
      <c r="AB37" s="228">
        <v>0.7</v>
      </c>
      <c r="AC37" s="228">
        <v>0.3</v>
      </c>
      <c r="AD37" s="228">
        <v>0.4</v>
      </c>
      <c r="AE37" s="229">
        <v>2.3999999999999998E-3</v>
      </c>
      <c r="AF37" s="228">
        <v>0.9</v>
      </c>
      <c r="AG37" s="228">
        <v>0.5</v>
      </c>
      <c r="AH37" s="228">
        <v>0.4</v>
      </c>
      <c r="AI37" s="229">
        <v>3.0999999999999999E-3</v>
      </c>
      <c r="AJ37" s="228">
        <v>1.6</v>
      </c>
      <c r="AK37" s="228">
        <v>2</v>
      </c>
      <c r="AL37" s="228">
        <v>-0.4</v>
      </c>
      <c r="AM37" s="229">
        <v>5.4999999999999997E-3</v>
      </c>
      <c r="AN37" s="228">
        <v>292.02999999999997</v>
      </c>
      <c r="AO37" s="228">
        <v>292.48</v>
      </c>
      <c r="AP37" s="228">
        <v>0</v>
      </c>
      <c r="AQ37" s="230">
        <v>15463</v>
      </c>
      <c r="AR37" s="230">
        <v>23495</v>
      </c>
      <c r="AS37" s="230">
        <v>-8032</v>
      </c>
      <c r="AT37" s="229">
        <v>-0.34189999999999998</v>
      </c>
      <c r="AU37" s="230">
        <v>5966</v>
      </c>
      <c r="AV37" s="230">
        <v>10576</v>
      </c>
      <c r="AW37" s="230">
        <v>-4610</v>
      </c>
      <c r="AX37" s="229">
        <v>-0.43590000000000001</v>
      </c>
      <c r="AY37" s="230">
        <v>8449</v>
      </c>
      <c r="AZ37" s="230">
        <v>12456</v>
      </c>
      <c r="BA37" s="230">
        <v>-4007</v>
      </c>
      <c r="BB37" s="229">
        <v>-0.32169999999999999</v>
      </c>
      <c r="BC37" s="230">
        <v>1048</v>
      </c>
      <c r="BD37" s="228">
        <v>463</v>
      </c>
      <c r="BE37" s="228">
        <v>585</v>
      </c>
      <c r="BF37" s="229">
        <v>1.2635000000000001</v>
      </c>
      <c r="BG37" s="230">
        <v>14704</v>
      </c>
      <c r="BH37" s="230">
        <v>22176</v>
      </c>
      <c r="BI37" s="230">
        <v>-7472</v>
      </c>
      <c r="BJ37" s="229">
        <v>-0.33689999999999998</v>
      </c>
      <c r="BK37" s="230">
        <v>10585</v>
      </c>
      <c r="BL37" s="230">
        <v>19532</v>
      </c>
      <c r="BM37" s="230">
        <v>-8947</v>
      </c>
      <c r="BN37" s="229">
        <v>-0.45810000000000001</v>
      </c>
      <c r="BO37" s="230">
        <v>40752</v>
      </c>
      <c r="BP37" s="230">
        <v>65203</v>
      </c>
      <c r="BQ37" s="230">
        <v>-24451</v>
      </c>
      <c r="BR37" s="229">
        <v>-0.375</v>
      </c>
      <c r="BS37" s="230">
        <v>14561504</v>
      </c>
      <c r="BT37" s="230">
        <v>10751899</v>
      </c>
      <c r="BU37" s="230">
        <v>3809605</v>
      </c>
      <c r="BV37" s="229">
        <v>0.3543</v>
      </c>
      <c r="BW37" s="230">
        <v>70231600</v>
      </c>
      <c r="BX37" s="230">
        <v>78768300</v>
      </c>
      <c r="BY37" s="230">
        <v>-8536700</v>
      </c>
      <c r="BZ37" s="229">
        <v>-0.1084</v>
      </c>
      <c r="CA37" s="230">
        <v>8580400</v>
      </c>
      <c r="CB37" s="230">
        <v>11768600</v>
      </c>
      <c r="CC37" s="230">
        <v>-3188200</v>
      </c>
      <c r="CD37" s="229">
        <v>-0.27089999999999997</v>
      </c>
      <c r="CE37" s="230">
        <v>68253700</v>
      </c>
      <c r="CF37" s="230">
        <v>66237800</v>
      </c>
      <c r="CG37" s="230">
        <v>2015900</v>
      </c>
      <c r="CH37" s="229">
        <v>3.04E-2</v>
      </c>
      <c r="CI37" s="230">
        <v>1977900</v>
      </c>
      <c r="CJ37" s="230">
        <v>761900</v>
      </c>
      <c r="CK37" s="230">
        <v>1216000</v>
      </c>
      <c r="CL37" s="229">
        <v>1.5960000000000001</v>
      </c>
      <c r="CM37" s="230">
        <v>8595600</v>
      </c>
      <c r="CN37" s="230">
        <v>27352400</v>
      </c>
      <c r="CO37" s="230">
        <v>-18756800</v>
      </c>
      <c r="CP37" s="229">
        <v>-0.68569999999999998</v>
      </c>
      <c r="CQ37" s="230">
        <v>9576000</v>
      </c>
      <c r="CR37" s="230">
        <v>17784000</v>
      </c>
      <c r="CS37" s="230">
        <v>-8208000</v>
      </c>
      <c r="CT37" s="229">
        <v>-0.46150000000000002</v>
      </c>
      <c r="CU37" s="230">
        <v>88403200</v>
      </c>
      <c r="CV37" s="230">
        <v>123904700</v>
      </c>
      <c r="CW37" s="230">
        <v>-35501500</v>
      </c>
      <c r="CX37" s="229">
        <v>-0.28649999999999998</v>
      </c>
      <c r="CY37" s="228">
        <v>20.73</v>
      </c>
      <c r="CZ37" s="228">
        <v>23.84</v>
      </c>
      <c r="DA37" s="228">
        <v>-3.11</v>
      </c>
      <c r="DB37" s="228">
        <v>-3.11</v>
      </c>
      <c r="DC37" s="228">
        <v>31.46</v>
      </c>
      <c r="DD37" s="228">
        <v>31.53</v>
      </c>
      <c r="DE37" s="228">
        <v>-10.73</v>
      </c>
      <c r="DF37" s="228">
        <v>-7.0000000000000007E-2</v>
      </c>
      <c r="DG37" s="228">
        <v>20.72</v>
      </c>
      <c r="DH37" s="228">
        <v>23.47</v>
      </c>
      <c r="DI37" s="228">
        <v>-2.75</v>
      </c>
      <c r="DJ37" s="228">
        <v>-2.75</v>
      </c>
      <c r="DK37" s="228">
        <v>20.73</v>
      </c>
      <c r="DL37" s="228">
        <v>24.26</v>
      </c>
      <c r="DM37" s="228">
        <v>-3.53</v>
      </c>
      <c r="DN37" s="228">
        <v>-3.53</v>
      </c>
      <c r="DO37" s="228">
        <v>1.1100000000000001</v>
      </c>
      <c r="DP37" s="228">
        <v>0.65</v>
      </c>
      <c r="DQ37" s="228">
        <v>0.46</v>
      </c>
      <c r="DR37" s="229">
        <v>0.7077</v>
      </c>
      <c r="DS37" s="228">
        <v>315</v>
      </c>
      <c r="DT37" s="228">
        <v>290</v>
      </c>
      <c r="DU37" s="228">
        <v>0.72</v>
      </c>
      <c r="DV37" s="228">
        <v>0.88</v>
      </c>
      <c r="DW37" s="228">
        <v>-0.16</v>
      </c>
      <c r="DX37" s="229">
        <v>-0.18179999999999999</v>
      </c>
      <c r="DY37" s="229">
        <v>0.8911</v>
      </c>
      <c r="DZ37" s="230">
        <v>66999700</v>
      </c>
      <c r="EA37" s="229">
        <v>6.9999999999999999E-4</v>
      </c>
      <c r="EB37" s="229">
        <v>0.8911</v>
      </c>
      <c r="EC37" s="228">
        <v>0.45</v>
      </c>
      <c r="ED37" s="229">
        <v>1.5E-3</v>
      </c>
      <c r="EE37" s="230">
        <v>8604823</v>
      </c>
      <c r="EF37" s="230">
        <v>5219673</v>
      </c>
      <c r="EG37" s="229">
        <v>0.64849999999999997</v>
      </c>
      <c r="EH37" s="229">
        <v>0.59089999999999998</v>
      </c>
      <c r="EI37" s="231">
        <v>84542.69</v>
      </c>
      <c r="EJ37" s="231">
        <v>58940.34</v>
      </c>
      <c r="EK37" s="231">
        <v>85902</v>
      </c>
      <c r="EL37" s="228">
        <v>0</v>
      </c>
      <c r="EM37" s="231">
        <v>229385.03</v>
      </c>
      <c r="EN37" s="231">
        <v>366104.2</v>
      </c>
      <c r="EO37" s="231">
        <v>-136719.17000000001</v>
      </c>
      <c r="EP37" s="229">
        <v>-0.37340000000000001</v>
      </c>
      <c r="EQ37" s="231">
        <v>26092</v>
      </c>
      <c r="ER37" s="231">
        <v>28061</v>
      </c>
      <c r="ES37" s="231">
        <v>205020</v>
      </c>
      <c r="ET37" s="231">
        <v>905143907</v>
      </c>
      <c r="EU37" s="231">
        <v>259173</v>
      </c>
      <c r="EV37" s="231">
        <v>363596</v>
      </c>
      <c r="EW37" s="231">
        <v>-104423</v>
      </c>
      <c r="EX37" s="229">
        <v>-0.28720000000000001</v>
      </c>
      <c r="EY37" s="229">
        <v>9.7699999999999995E-2</v>
      </c>
    </row>
    <row r="38" spans="1:155" ht="17.25" thickBot="1" x14ac:dyDescent="0.3">
      <c r="A38" s="226">
        <v>45869</v>
      </c>
      <c r="B38" s="227" t="s">
        <v>193</v>
      </c>
      <c r="C38" s="227" t="s">
        <v>281</v>
      </c>
      <c r="D38" s="231">
        <v>1393.9</v>
      </c>
      <c r="E38" s="231">
        <v>1412.9</v>
      </c>
      <c r="F38" s="228">
        <v>-19</v>
      </c>
      <c r="G38" s="229">
        <v>-1.34E-2</v>
      </c>
      <c r="H38" s="231">
        <v>1390.2</v>
      </c>
      <c r="I38" s="231">
        <v>1410.1</v>
      </c>
      <c r="J38" s="228">
        <v>-19.899999999999999</v>
      </c>
      <c r="K38" s="229">
        <v>-1.41E-2</v>
      </c>
      <c r="L38" s="231">
        <v>1390.6</v>
      </c>
      <c r="M38" s="231">
        <v>1410.1</v>
      </c>
      <c r="N38" s="228">
        <v>-19.5</v>
      </c>
      <c r="O38" s="229">
        <v>-1.38E-2</v>
      </c>
      <c r="P38" s="231">
        <v>1393.9</v>
      </c>
      <c r="Q38" s="231">
        <v>1412.9</v>
      </c>
      <c r="R38" s="228">
        <v>-19</v>
      </c>
      <c r="S38" s="229">
        <v>-1.34E-2</v>
      </c>
      <c r="T38" s="231">
        <v>1400.5</v>
      </c>
      <c r="U38" s="231">
        <v>1419.9</v>
      </c>
      <c r="V38" s="228">
        <v>-19.399999999999999</v>
      </c>
      <c r="W38" s="229">
        <v>-1.37E-2</v>
      </c>
      <c r="X38" s="228">
        <v>3.7</v>
      </c>
      <c r="Y38" s="228">
        <v>0</v>
      </c>
      <c r="Z38" s="228">
        <v>3.7</v>
      </c>
      <c r="AA38" s="229">
        <v>2.7000000000000001E-3</v>
      </c>
      <c r="AB38" s="228">
        <v>0.4</v>
      </c>
      <c r="AC38" s="228">
        <v>0</v>
      </c>
      <c r="AD38" s="228">
        <v>0.4</v>
      </c>
      <c r="AE38" s="229">
        <v>2.9999999999999997E-4</v>
      </c>
      <c r="AF38" s="228">
        <v>3.7</v>
      </c>
      <c r="AG38" s="228">
        <v>2.8</v>
      </c>
      <c r="AH38" s="228">
        <v>0.9</v>
      </c>
      <c r="AI38" s="229">
        <v>2.7000000000000001E-3</v>
      </c>
      <c r="AJ38" s="228">
        <v>10.3</v>
      </c>
      <c r="AK38" s="228">
        <v>9.8000000000000007</v>
      </c>
      <c r="AL38" s="228">
        <v>0.5</v>
      </c>
      <c r="AM38" s="229">
        <v>7.4000000000000003E-3</v>
      </c>
      <c r="AN38" s="231">
        <v>1394.69</v>
      </c>
      <c r="AO38" s="231">
        <v>1397.35</v>
      </c>
      <c r="AP38" s="228">
        <v>0</v>
      </c>
      <c r="AQ38" s="230">
        <v>76572</v>
      </c>
      <c r="AR38" s="230">
        <v>85182</v>
      </c>
      <c r="AS38" s="230">
        <v>-8610</v>
      </c>
      <c r="AT38" s="229">
        <v>-0.1011</v>
      </c>
      <c r="AU38" s="230">
        <v>29455</v>
      </c>
      <c r="AV38" s="230">
        <v>39467</v>
      </c>
      <c r="AW38" s="230">
        <v>-10012</v>
      </c>
      <c r="AX38" s="229">
        <v>-0.25369999999999998</v>
      </c>
      <c r="AY38" s="230">
        <v>44840</v>
      </c>
      <c r="AZ38" s="230">
        <v>39969</v>
      </c>
      <c r="BA38" s="230">
        <v>4871</v>
      </c>
      <c r="BB38" s="229">
        <v>0.12189999999999999</v>
      </c>
      <c r="BC38" s="230">
        <v>2277</v>
      </c>
      <c r="BD38" s="230">
        <v>5746</v>
      </c>
      <c r="BE38" s="230">
        <v>-3469</v>
      </c>
      <c r="BF38" s="229">
        <v>-0.60370000000000001</v>
      </c>
      <c r="BG38" s="230">
        <v>169870</v>
      </c>
      <c r="BH38" s="230">
        <v>214228</v>
      </c>
      <c r="BI38" s="230">
        <v>-44358</v>
      </c>
      <c r="BJ38" s="229">
        <v>-0.20710000000000001</v>
      </c>
      <c r="BK38" s="230">
        <v>105098</v>
      </c>
      <c r="BL38" s="230">
        <v>113018</v>
      </c>
      <c r="BM38" s="230">
        <v>-7920</v>
      </c>
      <c r="BN38" s="229">
        <v>-7.0099999999999996E-2</v>
      </c>
      <c r="BO38" s="230">
        <v>351540</v>
      </c>
      <c r="BP38" s="230">
        <v>412428</v>
      </c>
      <c r="BQ38" s="230">
        <v>-60888</v>
      </c>
      <c r="BR38" s="229">
        <v>-0.14760000000000001</v>
      </c>
      <c r="BS38" s="230">
        <v>17593707</v>
      </c>
      <c r="BT38" s="230">
        <v>7527534</v>
      </c>
      <c r="BU38" s="230">
        <v>10066173</v>
      </c>
      <c r="BV38" s="229">
        <v>1.3371999999999999</v>
      </c>
      <c r="BW38" s="230">
        <v>119869500</v>
      </c>
      <c r="BX38" s="230">
        <v>122679500</v>
      </c>
      <c r="BY38" s="230">
        <v>-2810000</v>
      </c>
      <c r="BZ38" s="229">
        <v>-2.29E-2</v>
      </c>
      <c r="CA38" s="230">
        <v>5830500</v>
      </c>
      <c r="CB38" s="230">
        <v>14415000</v>
      </c>
      <c r="CC38" s="230">
        <v>-8584500</v>
      </c>
      <c r="CD38" s="229">
        <v>-0.59550000000000003</v>
      </c>
      <c r="CE38" s="230">
        <v>107228000</v>
      </c>
      <c r="CF38" s="230">
        <v>96200500</v>
      </c>
      <c r="CG38" s="230">
        <v>11027500</v>
      </c>
      <c r="CH38" s="229">
        <v>0.11459999999999999</v>
      </c>
      <c r="CI38" s="230">
        <v>12641500</v>
      </c>
      <c r="CJ38" s="230">
        <v>12064000</v>
      </c>
      <c r="CK38" s="230">
        <v>577500</v>
      </c>
      <c r="CL38" s="229">
        <v>4.7899999999999998E-2</v>
      </c>
      <c r="CM38" s="230">
        <v>42020500</v>
      </c>
      <c r="CN38" s="230">
        <v>86032000</v>
      </c>
      <c r="CO38" s="230">
        <v>-44011500</v>
      </c>
      <c r="CP38" s="229">
        <v>-0.51160000000000005</v>
      </c>
      <c r="CQ38" s="230">
        <v>27365500</v>
      </c>
      <c r="CR38" s="230">
        <v>41472000</v>
      </c>
      <c r="CS38" s="230">
        <v>-14106500</v>
      </c>
      <c r="CT38" s="229">
        <v>-0.34010000000000001</v>
      </c>
      <c r="CU38" s="230">
        <v>189255500</v>
      </c>
      <c r="CV38" s="230">
        <v>250183500</v>
      </c>
      <c r="CW38" s="230">
        <v>-60928000</v>
      </c>
      <c r="CX38" s="229">
        <v>-0.24349999999999999</v>
      </c>
      <c r="CY38" s="228">
        <v>21.57</v>
      </c>
      <c r="CZ38" s="228">
        <v>20.92</v>
      </c>
      <c r="DA38" s="228">
        <v>0.65</v>
      </c>
      <c r="DB38" s="228">
        <v>0.65</v>
      </c>
      <c r="DC38" s="228">
        <v>26.06</v>
      </c>
      <c r="DD38" s="228">
        <v>26.06</v>
      </c>
      <c r="DE38" s="228">
        <v>-4.49</v>
      </c>
      <c r="DF38" s="228">
        <v>0</v>
      </c>
      <c r="DG38" s="228">
        <v>21.38</v>
      </c>
      <c r="DH38" s="228">
        <v>20.92</v>
      </c>
      <c r="DI38" s="228">
        <v>0.46</v>
      </c>
      <c r="DJ38" s="228">
        <v>0.46</v>
      </c>
      <c r="DK38" s="228">
        <v>21.91</v>
      </c>
      <c r="DL38" s="228">
        <v>20.92</v>
      </c>
      <c r="DM38" s="228">
        <v>0.99</v>
      </c>
      <c r="DN38" s="228">
        <v>0.99</v>
      </c>
      <c r="DO38" s="228">
        <v>0.65</v>
      </c>
      <c r="DP38" s="228">
        <v>0.48</v>
      </c>
      <c r="DQ38" s="228">
        <v>0.17</v>
      </c>
      <c r="DR38" s="229">
        <v>0.35420000000000001</v>
      </c>
      <c r="DS38" s="231">
        <v>1500</v>
      </c>
      <c r="DT38" s="231">
        <v>1400</v>
      </c>
      <c r="DU38" s="228">
        <v>0.62</v>
      </c>
      <c r="DV38" s="228">
        <v>0.53</v>
      </c>
      <c r="DW38" s="228">
        <v>0.09</v>
      </c>
      <c r="DX38" s="229">
        <v>0.16980000000000001</v>
      </c>
      <c r="DY38" s="229">
        <v>0.9536</v>
      </c>
      <c r="DZ38" s="230">
        <v>108264500</v>
      </c>
      <c r="EA38" s="229">
        <v>2.3999999999999998E-3</v>
      </c>
      <c r="EB38" s="229">
        <v>0.9536</v>
      </c>
      <c r="EC38" s="228">
        <v>2.66</v>
      </c>
      <c r="ED38" s="229">
        <v>1.9E-3</v>
      </c>
      <c r="EE38" s="230">
        <v>11768041</v>
      </c>
      <c r="EF38" s="230">
        <v>4090564</v>
      </c>
      <c r="EG38" s="229">
        <v>1.8769</v>
      </c>
      <c r="EH38" s="229">
        <v>0.66890000000000005</v>
      </c>
      <c r="EI38" s="231">
        <v>1234443.47</v>
      </c>
      <c r="EJ38" s="231">
        <v>737291.84</v>
      </c>
      <c r="EK38" s="231">
        <v>534646.37</v>
      </c>
      <c r="EL38" s="228">
        <v>0</v>
      </c>
      <c r="EM38" s="231">
        <v>2506381.6800000002</v>
      </c>
      <c r="EN38" s="231">
        <v>2966419.41</v>
      </c>
      <c r="EO38" s="231">
        <v>-460037.73</v>
      </c>
      <c r="EP38" s="229">
        <v>-0.15509999999999999</v>
      </c>
      <c r="EQ38" s="231">
        <v>619015</v>
      </c>
      <c r="ER38" s="231">
        <v>382641</v>
      </c>
      <c r="ES38" s="231">
        <v>1671695</v>
      </c>
      <c r="ET38" s="231">
        <v>1323414074</v>
      </c>
      <c r="EU38" s="231">
        <v>2673351</v>
      </c>
      <c r="EV38" s="231">
        <v>3608750</v>
      </c>
      <c r="EW38" s="231">
        <v>-935399</v>
      </c>
      <c r="EX38" s="229">
        <v>-0.25919999999999999</v>
      </c>
      <c r="EY38" s="229">
        <v>0.14299999999999999</v>
      </c>
    </row>
    <row r="39" spans="1:155" ht="17.25" thickBot="1" x14ac:dyDescent="0.3">
      <c r="A39" s="226">
        <v>45869</v>
      </c>
      <c r="B39" s="227" t="s">
        <v>175</v>
      </c>
      <c r="C39" s="227" t="s">
        <v>462</v>
      </c>
      <c r="D39" s="231">
        <v>1849.6</v>
      </c>
      <c r="E39" s="231">
        <v>1848.1</v>
      </c>
      <c r="F39" s="228">
        <v>1.5</v>
      </c>
      <c r="G39" s="229">
        <v>8.0000000000000004E-4</v>
      </c>
      <c r="H39" s="231">
        <v>1840.7</v>
      </c>
      <c r="I39" s="231">
        <v>1839.1</v>
      </c>
      <c r="J39" s="228">
        <v>1.6</v>
      </c>
      <c r="K39" s="229">
        <v>8.9999999999999998E-4</v>
      </c>
      <c r="L39" s="231">
        <v>1841</v>
      </c>
      <c r="M39" s="231">
        <v>1837.2</v>
      </c>
      <c r="N39" s="228">
        <v>3.8</v>
      </c>
      <c r="O39" s="229">
        <v>2.0999999999999999E-3</v>
      </c>
      <c r="P39" s="231">
        <v>1849.6</v>
      </c>
      <c r="Q39" s="231">
        <v>1848.1</v>
      </c>
      <c r="R39" s="228">
        <v>1.5</v>
      </c>
      <c r="S39" s="229">
        <v>8.0000000000000004E-4</v>
      </c>
      <c r="T39" s="231">
        <v>1859.8</v>
      </c>
      <c r="U39" s="231">
        <v>1855.7</v>
      </c>
      <c r="V39" s="228">
        <v>4.0999999999999996</v>
      </c>
      <c r="W39" s="229">
        <v>2.2000000000000001E-3</v>
      </c>
      <c r="X39" s="228">
        <v>8.9</v>
      </c>
      <c r="Y39" s="228">
        <v>-1.9</v>
      </c>
      <c r="Z39" s="228">
        <v>10.8</v>
      </c>
      <c r="AA39" s="229">
        <v>4.7999999999999996E-3</v>
      </c>
      <c r="AB39" s="228">
        <v>0.3</v>
      </c>
      <c r="AC39" s="228">
        <v>-1.9</v>
      </c>
      <c r="AD39" s="228">
        <v>2.2000000000000002</v>
      </c>
      <c r="AE39" s="229">
        <v>2.0000000000000001E-4</v>
      </c>
      <c r="AF39" s="228">
        <v>8.9</v>
      </c>
      <c r="AG39" s="228">
        <v>9</v>
      </c>
      <c r="AH39" s="228">
        <v>-0.1</v>
      </c>
      <c r="AI39" s="229">
        <v>4.7999999999999996E-3</v>
      </c>
      <c r="AJ39" s="228">
        <v>19.100000000000001</v>
      </c>
      <c r="AK39" s="228">
        <v>16.600000000000001</v>
      </c>
      <c r="AL39" s="228">
        <v>2.5</v>
      </c>
      <c r="AM39" s="229">
        <v>1.04E-2</v>
      </c>
      <c r="AN39" s="231">
        <v>1838.28</v>
      </c>
      <c r="AO39" s="231">
        <v>1848.14</v>
      </c>
      <c r="AP39" s="228">
        <v>0</v>
      </c>
      <c r="AQ39" s="230">
        <v>7029</v>
      </c>
      <c r="AR39" s="230">
        <v>10108</v>
      </c>
      <c r="AS39" s="230">
        <v>-3079</v>
      </c>
      <c r="AT39" s="229">
        <v>-0.30459999999999998</v>
      </c>
      <c r="AU39" s="230">
        <v>2959</v>
      </c>
      <c r="AV39" s="230">
        <v>4825</v>
      </c>
      <c r="AW39" s="230">
        <v>-1866</v>
      </c>
      <c r="AX39" s="229">
        <v>-0.38669999999999999</v>
      </c>
      <c r="AY39" s="230">
        <v>4028</v>
      </c>
      <c r="AZ39" s="230">
        <v>5264</v>
      </c>
      <c r="BA39" s="230">
        <v>-1236</v>
      </c>
      <c r="BB39" s="229">
        <v>-0.23480000000000001</v>
      </c>
      <c r="BC39" s="228">
        <v>42</v>
      </c>
      <c r="BD39" s="228">
        <v>19</v>
      </c>
      <c r="BE39" s="228">
        <v>23</v>
      </c>
      <c r="BF39" s="229">
        <v>1.2104999999999999</v>
      </c>
      <c r="BG39" s="230">
        <v>9087</v>
      </c>
      <c r="BH39" s="230">
        <v>8504</v>
      </c>
      <c r="BI39" s="228">
        <v>583</v>
      </c>
      <c r="BJ39" s="229">
        <v>6.8599999999999994E-2</v>
      </c>
      <c r="BK39" s="230">
        <v>3695</v>
      </c>
      <c r="BL39" s="230">
        <v>3828</v>
      </c>
      <c r="BM39" s="228">
        <v>-133</v>
      </c>
      <c r="BN39" s="229">
        <v>-3.4700000000000002E-2</v>
      </c>
      <c r="BO39" s="230">
        <v>19811</v>
      </c>
      <c r="BP39" s="230">
        <v>22440</v>
      </c>
      <c r="BQ39" s="230">
        <v>-2629</v>
      </c>
      <c r="BR39" s="229">
        <v>-0.1172</v>
      </c>
      <c r="BS39" s="230">
        <v>1889794</v>
      </c>
      <c r="BT39" s="230">
        <v>486534</v>
      </c>
      <c r="BU39" s="230">
        <v>1403260</v>
      </c>
      <c r="BV39" s="229">
        <v>2.8841999999999999</v>
      </c>
      <c r="BW39" s="230">
        <v>7039125</v>
      </c>
      <c r="BX39" s="230">
        <v>7196250</v>
      </c>
      <c r="BY39" s="230">
        <v>-157125</v>
      </c>
      <c r="BZ39" s="229">
        <v>-2.18E-2</v>
      </c>
      <c r="CA39" s="230">
        <v>416250</v>
      </c>
      <c r="CB39" s="230">
        <v>658500</v>
      </c>
      <c r="CC39" s="230">
        <v>-242250</v>
      </c>
      <c r="CD39" s="229">
        <v>-0.3679</v>
      </c>
      <c r="CE39" s="230">
        <v>7002375</v>
      </c>
      <c r="CF39" s="230">
        <v>6504375</v>
      </c>
      <c r="CG39" s="230">
        <v>498000</v>
      </c>
      <c r="CH39" s="229">
        <v>7.6600000000000001E-2</v>
      </c>
      <c r="CI39" s="230">
        <v>36750</v>
      </c>
      <c r="CJ39" s="230">
        <v>33375</v>
      </c>
      <c r="CK39" s="230">
        <v>3375</v>
      </c>
      <c r="CL39" s="229">
        <v>0.1011</v>
      </c>
      <c r="CM39" s="230">
        <v>708000</v>
      </c>
      <c r="CN39" s="230">
        <v>4814250</v>
      </c>
      <c r="CO39" s="230">
        <v>-4106250</v>
      </c>
      <c r="CP39" s="229">
        <v>-0.85289999999999999</v>
      </c>
      <c r="CQ39" s="230">
        <v>403875</v>
      </c>
      <c r="CR39" s="230">
        <v>1616625</v>
      </c>
      <c r="CS39" s="230">
        <v>-1212750</v>
      </c>
      <c r="CT39" s="229">
        <v>-0.75019999999999998</v>
      </c>
      <c r="CU39" s="230">
        <v>8151000</v>
      </c>
      <c r="CV39" s="230">
        <v>13627125</v>
      </c>
      <c r="CW39" s="230">
        <v>-5476125</v>
      </c>
      <c r="CX39" s="229">
        <v>-0.40189999999999998</v>
      </c>
      <c r="CY39" s="228">
        <v>21.32</v>
      </c>
      <c r="CZ39" s="228">
        <v>20.96</v>
      </c>
      <c r="DA39" s="228">
        <v>0.36</v>
      </c>
      <c r="DB39" s="228">
        <v>0.36</v>
      </c>
      <c r="DC39" s="228">
        <v>27.4</v>
      </c>
      <c r="DD39" s="228">
        <v>27.46</v>
      </c>
      <c r="DE39" s="228">
        <v>-6.08</v>
      </c>
      <c r="DF39" s="228">
        <v>-0.06</v>
      </c>
      <c r="DG39" s="228">
        <v>21.23</v>
      </c>
      <c r="DH39" s="228">
        <v>20.94</v>
      </c>
      <c r="DI39" s="228">
        <v>0.28999999999999998</v>
      </c>
      <c r="DJ39" s="228">
        <v>0.28999999999999998</v>
      </c>
      <c r="DK39" s="228">
        <v>21.52</v>
      </c>
      <c r="DL39" s="228">
        <v>21</v>
      </c>
      <c r="DM39" s="228">
        <v>0.52</v>
      </c>
      <c r="DN39" s="228">
        <v>0.52</v>
      </c>
      <c r="DO39" s="228">
        <v>0.56999999999999995</v>
      </c>
      <c r="DP39" s="228">
        <v>0.34</v>
      </c>
      <c r="DQ39" s="228">
        <v>0.23</v>
      </c>
      <c r="DR39" s="229">
        <v>0.67649999999999999</v>
      </c>
      <c r="DS39" s="231">
        <v>1860</v>
      </c>
      <c r="DT39" s="231">
        <v>1800</v>
      </c>
      <c r="DU39" s="228">
        <v>0.41</v>
      </c>
      <c r="DV39" s="228">
        <v>0.45</v>
      </c>
      <c r="DW39" s="228">
        <v>-0.04</v>
      </c>
      <c r="DX39" s="229">
        <v>-8.8900000000000007E-2</v>
      </c>
      <c r="DY39" s="229">
        <v>0.94420000000000004</v>
      </c>
      <c r="DZ39" s="230">
        <v>6537750</v>
      </c>
      <c r="EA39" s="229">
        <v>4.7000000000000002E-3</v>
      </c>
      <c r="EB39" s="229">
        <v>0.94420000000000004</v>
      </c>
      <c r="EC39" s="228">
        <v>9.86</v>
      </c>
      <c r="ED39" s="229">
        <v>5.4000000000000003E-3</v>
      </c>
      <c r="EE39" s="230">
        <v>1091990</v>
      </c>
      <c r="EF39" s="230">
        <v>267348</v>
      </c>
      <c r="EG39" s="229">
        <v>3.0844999999999998</v>
      </c>
      <c r="EH39" s="229">
        <v>0.57779999999999998</v>
      </c>
      <c r="EI39" s="231">
        <v>64120.959999999999</v>
      </c>
      <c r="EJ39" s="231">
        <v>25223.17</v>
      </c>
      <c r="EK39" s="231">
        <v>48606.67</v>
      </c>
      <c r="EL39" s="228">
        <v>0</v>
      </c>
      <c r="EM39" s="231">
        <v>137950.79999999999</v>
      </c>
      <c r="EN39" s="231">
        <v>155648.34</v>
      </c>
      <c r="EO39" s="231">
        <v>-17697.54</v>
      </c>
      <c r="EP39" s="229">
        <v>-0.1137</v>
      </c>
      <c r="EQ39" s="231">
        <v>13439</v>
      </c>
      <c r="ER39" s="231">
        <v>7220</v>
      </c>
      <c r="ES39" s="231">
        <v>130199</v>
      </c>
      <c r="ET39" s="231">
        <v>89427016</v>
      </c>
      <c r="EU39" s="231">
        <v>150858</v>
      </c>
      <c r="EV39" s="231">
        <v>252364</v>
      </c>
      <c r="EW39" s="231">
        <v>-101506</v>
      </c>
      <c r="EX39" s="229">
        <v>-0.4022</v>
      </c>
      <c r="EY39" s="229">
        <v>9.11E-2</v>
      </c>
    </row>
    <row r="40" spans="1:155" ht="17.25" thickBot="1" x14ac:dyDescent="0.3">
      <c r="A40" s="226">
        <v>45869</v>
      </c>
      <c r="B40" s="227" t="s">
        <v>172</v>
      </c>
      <c r="C40" s="227" t="s">
        <v>283</v>
      </c>
      <c r="D40" s="228">
        <v>801.1</v>
      </c>
      <c r="E40" s="228">
        <v>805.7</v>
      </c>
      <c r="F40" s="228">
        <v>-4.5999999999999996</v>
      </c>
      <c r="G40" s="229">
        <v>-5.7000000000000002E-3</v>
      </c>
      <c r="H40" s="228">
        <v>796.55</v>
      </c>
      <c r="I40" s="228">
        <v>801.65</v>
      </c>
      <c r="J40" s="228">
        <v>-5.0999999999999996</v>
      </c>
      <c r="K40" s="229">
        <v>-6.4000000000000003E-3</v>
      </c>
      <c r="L40" s="228">
        <v>796.25</v>
      </c>
      <c r="M40" s="228">
        <v>801.5</v>
      </c>
      <c r="N40" s="228">
        <v>-5.25</v>
      </c>
      <c r="O40" s="229">
        <v>-6.6E-3</v>
      </c>
      <c r="P40" s="228">
        <v>801.1</v>
      </c>
      <c r="Q40" s="228">
        <v>805.7</v>
      </c>
      <c r="R40" s="228">
        <v>-4.5999999999999996</v>
      </c>
      <c r="S40" s="229">
        <v>-5.7000000000000002E-3</v>
      </c>
      <c r="T40" s="228">
        <v>805.65</v>
      </c>
      <c r="U40" s="228">
        <v>809.9</v>
      </c>
      <c r="V40" s="228">
        <v>-4.25</v>
      </c>
      <c r="W40" s="229">
        <v>-5.1999999999999998E-3</v>
      </c>
      <c r="X40" s="228">
        <v>4.55</v>
      </c>
      <c r="Y40" s="228">
        <v>-0.15</v>
      </c>
      <c r="Z40" s="228">
        <v>4.7</v>
      </c>
      <c r="AA40" s="229">
        <v>5.7000000000000002E-3</v>
      </c>
      <c r="AB40" s="228">
        <v>-0.3</v>
      </c>
      <c r="AC40" s="228">
        <v>-0.15</v>
      </c>
      <c r="AD40" s="228">
        <v>-0.15</v>
      </c>
      <c r="AE40" s="229">
        <v>-4.0000000000000002E-4</v>
      </c>
      <c r="AF40" s="228">
        <v>4.55</v>
      </c>
      <c r="AG40" s="228">
        <v>4.05</v>
      </c>
      <c r="AH40" s="228">
        <v>0.5</v>
      </c>
      <c r="AI40" s="229">
        <v>5.7000000000000002E-3</v>
      </c>
      <c r="AJ40" s="228">
        <v>9.1</v>
      </c>
      <c r="AK40" s="228">
        <v>8.25</v>
      </c>
      <c r="AL40" s="228">
        <v>0.85</v>
      </c>
      <c r="AM40" s="229">
        <v>1.14E-2</v>
      </c>
      <c r="AN40" s="228">
        <v>798.29</v>
      </c>
      <c r="AO40" s="228">
        <v>802.2</v>
      </c>
      <c r="AP40" s="228">
        <v>0</v>
      </c>
      <c r="AQ40" s="230">
        <v>74661</v>
      </c>
      <c r="AR40" s="230">
        <v>72672</v>
      </c>
      <c r="AS40" s="230">
        <v>1989</v>
      </c>
      <c r="AT40" s="229">
        <v>2.7400000000000001E-2</v>
      </c>
      <c r="AU40" s="230">
        <v>30717</v>
      </c>
      <c r="AV40" s="230">
        <v>36178</v>
      </c>
      <c r="AW40" s="230">
        <v>-5461</v>
      </c>
      <c r="AX40" s="229">
        <v>-0.15090000000000001</v>
      </c>
      <c r="AY40" s="230">
        <v>42643</v>
      </c>
      <c r="AZ40" s="230">
        <v>35972</v>
      </c>
      <c r="BA40" s="230">
        <v>6671</v>
      </c>
      <c r="BB40" s="229">
        <v>0.18540000000000001</v>
      </c>
      <c r="BC40" s="230">
        <v>1301</v>
      </c>
      <c r="BD40" s="228">
        <v>522</v>
      </c>
      <c r="BE40" s="228">
        <v>779</v>
      </c>
      <c r="BF40" s="229">
        <v>1.4923</v>
      </c>
      <c r="BG40" s="230">
        <v>85248</v>
      </c>
      <c r="BH40" s="230">
        <v>113010</v>
      </c>
      <c r="BI40" s="230">
        <v>-27762</v>
      </c>
      <c r="BJ40" s="229">
        <v>-0.2457</v>
      </c>
      <c r="BK40" s="230">
        <v>55833</v>
      </c>
      <c r="BL40" s="230">
        <v>64361</v>
      </c>
      <c r="BM40" s="230">
        <v>-8528</v>
      </c>
      <c r="BN40" s="229">
        <v>-0.13250000000000001</v>
      </c>
      <c r="BO40" s="230">
        <v>215742</v>
      </c>
      <c r="BP40" s="230">
        <v>250043</v>
      </c>
      <c r="BQ40" s="230">
        <v>-34301</v>
      </c>
      <c r="BR40" s="229">
        <v>-0.13719999999999999</v>
      </c>
      <c r="BS40" s="230">
        <v>11737683</v>
      </c>
      <c r="BT40" s="230">
        <v>8898086</v>
      </c>
      <c r="BU40" s="230">
        <v>2839597</v>
      </c>
      <c r="BV40" s="229">
        <v>0.31909999999999999</v>
      </c>
      <c r="BW40" s="230">
        <v>111511500</v>
      </c>
      <c r="BX40" s="230">
        <v>118432500</v>
      </c>
      <c r="BY40" s="230">
        <v>-6921000</v>
      </c>
      <c r="BZ40" s="229">
        <v>-5.8400000000000001E-2</v>
      </c>
      <c r="CA40" s="230">
        <v>9378000</v>
      </c>
      <c r="CB40" s="230">
        <v>23878500</v>
      </c>
      <c r="CC40" s="230">
        <v>-14500500</v>
      </c>
      <c r="CD40" s="229">
        <v>-0.60729999999999995</v>
      </c>
      <c r="CE40" s="230">
        <v>109400250</v>
      </c>
      <c r="CF40" s="230">
        <v>92910750</v>
      </c>
      <c r="CG40" s="230">
        <v>16489500</v>
      </c>
      <c r="CH40" s="229">
        <v>0.17749999999999999</v>
      </c>
      <c r="CI40" s="230">
        <v>2111250</v>
      </c>
      <c r="CJ40" s="230">
        <v>1643250</v>
      </c>
      <c r="CK40" s="230">
        <v>468000</v>
      </c>
      <c r="CL40" s="229">
        <v>0.2848</v>
      </c>
      <c r="CM40" s="230">
        <v>33031500</v>
      </c>
      <c r="CN40" s="230">
        <v>86687250</v>
      </c>
      <c r="CO40" s="230">
        <v>-53655750</v>
      </c>
      <c r="CP40" s="229">
        <v>-0.61899999999999999</v>
      </c>
      <c r="CQ40" s="230">
        <v>29543250</v>
      </c>
      <c r="CR40" s="230">
        <v>43364250</v>
      </c>
      <c r="CS40" s="230">
        <v>-13821000</v>
      </c>
      <c r="CT40" s="229">
        <v>-0.31869999999999998</v>
      </c>
      <c r="CU40" s="230">
        <v>174086250</v>
      </c>
      <c r="CV40" s="230">
        <v>248484000</v>
      </c>
      <c r="CW40" s="230">
        <v>-74397750</v>
      </c>
      <c r="CX40" s="229">
        <v>-0.2994</v>
      </c>
      <c r="CY40" s="228">
        <v>20.89</v>
      </c>
      <c r="CZ40" s="228">
        <v>20.78</v>
      </c>
      <c r="DA40" s="228">
        <v>0.11</v>
      </c>
      <c r="DB40" s="228">
        <v>0.11</v>
      </c>
      <c r="DC40" s="228">
        <v>28.4</v>
      </c>
      <c r="DD40" s="228">
        <v>28.46</v>
      </c>
      <c r="DE40" s="228">
        <v>-7.51</v>
      </c>
      <c r="DF40" s="228">
        <v>-0.06</v>
      </c>
      <c r="DG40" s="228">
        <v>21</v>
      </c>
      <c r="DH40" s="228">
        <v>21.04</v>
      </c>
      <c r="DI40" s="228">
        <v>-0.04</v>
      </c>
      <c r="DJ40" s="228">
        <v>-0.04</v>
      </c>
      <c r="DK40" s="228">
        <v>20.71</v>
      </c>
      <c r="DL40" s="228">
        <v>20.46</v>
      </c>
      <c r="DM40" s="228">
        <v>0.25</v>
      </c>
      <c r="DN40" s="228">
        <v>0.25</v>
      </c>
      <c r="DO40" s="228">
        <v>0.89</v>
      </c>
      <c r="DP40" s="228">
        <v>0.5</v>
      </c>
      <c r="DQ40" s="228">
        <v>0.39</v>
      </c>
      <c r="DR40" s="229">
        <v>0.78</v>
      </c>
      <c r="DS40" s="228">
        <v>820</v>
      </c>
      <c r="DT40" s="228">
        <v>820</v>
      </c>
      <c r="DU40" s="228">
        <v>0.65</v>
      </c>
      <c r="DV40" s="228">
        <v>0.56999999999999995</v>
      </c>
      <c r="DW40" s="228">
        <v>0.08</v>
      </c>
      <c r="DX40" s="229">
        <v>0.1404</v>
      </c>
      <c r="DY40" s="229">
        <v>0.9224</v>
      </c>
      <c r="DZ40" s="230">
        <v>94554000</v>
      </c>
      <c r="EA40" s="229">
        <v>6.1000000000000004E-3</v>
      </c>
      <c r="EB40" s="229">
        <v>0.9224</v>
      </c>
      <c r="EC40" s="228">
        <v>3.91</v>
      </c>
      <c r="ED40" s="229">
        <v>4.8999999999999998E-3</v>
      </c>
      <c r="EE40" s="230">
        <v>6192768</v>
      </c>
      <c r="EF40" s="230">
        <v>5512724</v>
      </c>
      <c r="EG40" s="229">
        <v>0.1234</v>
      </c>
      <c r="EH40" s="229">
        <v>0.52759999999999996</v>
      </c>
      <c r="EI40" s="231">
        <v>529247.93000000005</v>
      </c>
      <c r="EJ40" s="231">
        <v>338715.45</v>
      </c>
      <c r="EK40" s="231">
        <v>448348.85</v>
      </c>
      <c r="EL40" s="228">
        <v>0</v>
      </c>
      <c r="EM40" s="231">
        <v>1316312.23</v>
      </c>
      <c r="EN40" s="231">
        <v>1529505.48</v>
      </c>
      <c r="EO40" s="231">
        <v>-213193.25</v>
      </c>
      <c r="EP40" s="229">
        <v>-0.1394</v>
      </c>
      <c r="EQ40" s="231">
        <v>275441</v>
      </c>
      <c r="ER40" s="231">
        <v>237161</v>
      </c>
      <c r="ES40" s="231">
        <v>893415</v>
      </c>
      <c r="ET40" s="231">
        <v>753011455</v>
      </c>
      <c r="EU40" s="231">
        <v>1406017</v>
      </c>
      <c r="EV40" s="231">
        <v>2025648</v>
      </c>
      <c r="EW40" s="231">
        <v>-619631</v>
      </c>
      <c r="EX40" s="229">
        <v>-0.30590000000000001</v>
      </c>
      <c r="EY40" s="229">
        <v>0.23119999999999999</v>
      </c>
    </row>
    <row r="41" spans="1:155" ht="17.25" thickBot="1" x14ac:dyDescent="0.3">
      <c r="A41" s="226">
        <v>45869</v>
      </c>
      <c r="B41" s="227" t="s">
        <v>175</v>
      </c>
      <c r="C41" s="227" t="s">
        <v>562</v>
      </c>
      <c r="D41" s="228">
        <v>634.25</v>
      </c>
      <c r="E41" s="228">
        <v>635.29999999999995</v>
      </c>
      <c r="F41" s="228">
        <v>-1.05</v>
      </c>
      <c r="G41" s="229">
        <v>-1.6999999999999999E-3</v>
      </c>
      <c r="H41" s="228">
        <v>630.85</v>
      </c>
      <c r="I41" s="228">
        <v>632.79999999999995</v>
      </c>
      <c r="J41" s="228">
        <v>-1.95</v>
      </c>
      <c r="K41" s="229">
        <v>-3.0999999999999999E-3</v>
      </c>
      <c r="L41" s="228">
        <v>630.45000000000005</v>
      </c>
      <c r="M41" s="228">
        <v>631.79999999999995</v>
      </c>
      <c r="N41" s="228">
        <v>-1.35</v>
      </c>
      <c r="O41" s="229">
        <v>-2.0999999999999999E-3</v>
      </c>
      <c r="P41" s="228">
        <v>634.25</v>
      </c>
      <c r="Q41" s="228">
        <v>635.29999999999995</v>
      </c>
      <c r="R41" s="228">
        <v>-1.05</v>
      </c>
      <c r="S41" s="229">
        <v>-1.6999999999999999E-3</v>
      </c>
      <c r="T41" s="228">
        <v>638</v>
      </c>
      <c r="U41" s="228">
        <v>639.35</v>
      </c>
      <c r="V41" s="228">
        <v>-1.35</v>
      </c>
      <c r="W41" s="229">
        <v>-2.0999999999999999E-3</v>
      </c>
      <c r="X41" s="228">
        <v>3.4</v>
      </c>
      <c r="Y41" s="228">
        <v>-1</v>
      </c>
      <c r="Z41" s="228">
        <v>4.4000000000000004</v>
      </c>
      <c r="AA41" s="229">
        <v>5.4000000000000003E-3</v>
      </c>
      <c r="AB41" s="228">
        <v>-0.4</v>
      </c>
      <c r="AC41" s="228">
        <v>-1</v>
      </c>
      <c r="AD41" s="228">
        <v>0.6</v>
      </c>
      <c r="AE41" s="229">
        <v>-5.9999999999999995E-4</v>
      </c>
      <c r="AF41" s="228">
        <v>3.4</v>
      </c>
      <c r="AG41" s="228">
        <v>2.5</v>
      </c>
      <c r="AH41" s="228">
        <v>0.9</v>
      </c>
      <c r="AI41" s="229">
        <v>5.4000000000000003E-3</v>
      </c>
      <c r="AJ41" s="228">
        <v>7.15</v>
      </c>
      <c r="AK41" s="228">
        <v>6.55</v>
      </c>
      <c r="AL41" s="228">
        <v>0.6</v>
      </c>
      <c r="AM41" s="229">
        <v>1.1299999999999999E-2</v>
      </c>
      <c r="AN41" s="228">
        <v>631.79999999999995</v>
      </c>
      <c r="AO41" s="228">
        <v>635.35</v>
      </c>
      <c r="AP41" s="228">
        <v>0</v>
      </c>
      <c r="AQ41" s="230">
        <v>18876</v>
      </c>
      <c r="AR41" s="230">
        <v>26607</v>
      </c>
      <c r="AS41" s="230">
        <v>-7731</v>
      </c>
      <c r="AT41" s="229">
        <v>-0.29060000000000002</v>
      </c>
      <c r="AU41" s="230">
        <v>6885</v>
      </c>
      <c r="AV41" s="230">
        <v>13101</v>
      </c>
      <c r="AW41" s="230">
        <v>-6216</v>
      </c>
      <c r="AX41" s="229">
        <v>-0.47449999999999998</v>
      </c>
      <c r="AY41" s="230">
        <v>11784</v>
      </c>
      <c r="AZ41" s="230">
        <v>13354</v>
      </c>
      <c r="BA41" s="230">
        <v>-1570</v>
      </c>
      <c r="BB41" s="229">
        <v>-0.1176</v>
      </c>
      <c r="BC41" s="228">
        <v>207</v>
      </c>
      <c r="BD41" s="228">
        <v>152</v>
      </c>
      <c r="BE41" s="228">
        <v>55</v>
      </c>
      <c r="BF41" s="229">
        <v>0.36180000000000001</v>
      </c>
      <c r="BG41" s="230">
        <v>10333</v>
      </c>
      <c r="BH41" s="230">
        <v>14520</v>
      </c>
      <c r="BI41" s="230">
        <v>-4187</v>
      </c>
      <c r="BJ41" s="229">
        <v>-0.28839999999999999</v>
      </c>
      <c r="BK41" s="230">
        <v>6756</v>
      </c>
      <c r="BL41" s="230">
        <v>8896</v>
      </c>
      <c r="BM41" s="230">
        <v>-2140</v>
      </c>
      <c r="BN41" s="229">
        <v>-0.24060000000000001</v>
      </c>
      <c r="BO41" s="230">
        <v>35965</v>
      </c>
      <c r="BP41" s="230">
        <v>50023</v>
      </c>
      <c r="BQ41" s="230">
        <v>-14058</v>
      </c>
      <c r="BR41" s="229">
        <v>-0.28100000000000003</v>
      </c>
      <c r="BS41" s="230">
        <v>6566328</v>
      </c>
      <c r="BT41" s="230">
        <v>6110303</v>
      </c>
      <c r="BU41" s="230">
        <v>456025</v>
      </c>
      <c r="BV41" s="229">
        <v>7.46E-2</v>
      </c>
      <c r="BW41" s="230">
        <v>38151300</v>
      </c>
      <c r="BX41" s="230">
        <v>40924125</v>
      </c>
      <c r="BY41" s="230">
        <v>-2772825</v>
      </c>
      <c r="BZ41" s="229">
        <v>-6.7799999999999999E-2</v>
      </c>
      <c r="CA41" s="230">
        <v>1580700</v>
      </c>
      <c r="CB41" s="230">
        <v>4643100</v>
      </c>
      <c r="CC41" s="230">
        <v>-3062400</v>
      </c>
      <c r="CD41" s="229">
        <v>-0.65959999999999996</v>
      </c>
      <c r="CE41" s="230">
        <v>36738075</v>
      </c>
      <c r="CF41" s="230">
        <v>34915650</v>
      </c>
      <c r="CG41" s="230">
        <v>1822425</v>
      </c>
      <c r="CH41" s="229">
        <v>5.2200000000000003E-2</v>
      </c>
      <c r="CI41" s="230">
        <v>1413225</v>
      </c>
      <c r="CJ41" s="230">
        <v>1365375</v>
      </c>
      <c r="CK41" s="230">
        <v>47850</v>
      </c>
      <c r="CL41" s="229">
        <v>3.5000000000000003E-2</v>
      </c>
      <c r="CM41" s="230">
        <v>4837800</v>
      </c>
      <c r="CN41" s="230">
        <v>12466575</v>
      </c>
      <c r="CO41" s="230">
        <v>-7628775</v>
      </c>
      <c r="CP41" s="229">
        <v>-0.6119</v>
      </c>
      <c r="CQ41" s="230">
        <v>3785100</v>
      </c>
      <c r="CR41" s="230">
        <v>7303725</v>
      </c>
      <c r="CS41" s="230">
        <v>-3518625</v>
      </c>
      <c r="CT41" s="229">
        <v>-0.48180000000000001</v>
      </c>
      <c r="CU41" s="230">
        <v>46774200</v>
      </c>
      <c r="CV41" s="230">
        <v>60694425</v>
      </c>
      <c r="CW41" s="230">
        <v>-13920225</v>
      </c>
      <c r="CX41" s="229">
        <v>-0.2293</v>
      </c>
      <c r="CY41" s="228">
        <v>31.22</v>
      </c>
      <c r="CZ41" s="228">
        <v>31.33</v>
      </c>
      <c r="DA41" s="228">
        <v>-0.11</v>
      </c>
      <c r="DB41" s="228">
        <v>-0.11</v>
      </c>
      <c r="DC41" s="228">
        <v>42.98</v>
      </c>
      <c r="DD41" s="228">
        <v>43.08</v>
      </c>
      <c r="DE41" s="228">
        <v>-11.76</v>
      </c>
      <c r="DF41" s="228">
        <v>-0.1</v>
      </c>
      <c r="DG41" s="228">
        <v>31.35</v>
      </c>
      <c r="DH41" s="228">
        <v>31.47</v>
      </c>
      <c r="DI41" s="228">
        <v>-0.12</v>
      </c>
      <c r="DJ41" s="228">
        <v>-0.12</v>
      </c>
      <c r="DK41" s="228">
        <v>31.02</v>
      </c>
      <c r="DL41" s="228">
        <v>31.08</v>
      </c>
      <c r="DM41" s="228">
        <v>-0.06</v>
      </c>
      <c r="DN41" s="228">
        <v>-0.06</v>
      </c>
      <c r="DO41" s="228">
        <v>0.78</v>
      </c>
      <c r="DP41" s="228">
        <v>0.59</v>
      </c>
      <c r="DQ41" s="228">
        <v>0.19</v>
      </c>
      <c r="DR41" s="229">
        <v>0.32200000000000001</v>
      </c>
      <c r="DS41" s="228">
        <v>700</v>
      </c>
      <c r="DT41" s="228">
        <v>600</v>
      </c>
      <c r="DU41" s="228">
        <v>0.65</v>
      </c>
      <c r="DV41" s="228">
        <v>0.61</v>
      </c>
      <c r="DW41" s="228">
        <v>0.04</v>
      </c>
      <c r="DX41" s="229">
        <v>6.5600000000000006E-2</v>
      </c>
      <c r="DY41" s="229">
        <v>0.96020000000000005</v>
      </c>
      <c r="DZ41" s="230">
        <v>36281025</v>
      </c>
      <c r="EA41" s="229">
        <v>6.0000000000000001E-3</v>
      </c>
      <c r="EB41" s="229">
        <v>0.96020000000000005</v>
      </c>
      <c r="EC41" s="228">
        <v>3.55</v>
      </c>
      <c r="ED41" s="229">
        <v>5.5999999999999999E-3</v>
      </c>
      <c r="EE41" s="230">
        <v>3807849</v>
      </c>
      <c r="EF41" s="230">
        <v>4054897</v>
      </c>
      <c r="EG41" s="229">
        <v>-6.0900000000000003E-2</v>
      </c>
      <c r="EH41" s="229">
        <v>0.57989999999999997</v>
      </c>
      <c r="EI41" s="231">
        <v>57040.85</v>
      </c>
      <c r="EJ41" s="231">
        <v>35625.919999999998</v>
      </c>
      <c r="EK41" s="231">
        <v>98746.32</v>
      </c>
      <c r="EL41" s="228">
        <v>0</v>
      </c>
      <c r="EM41" s="231">
        <v>191413.09</v>
      </c>
      <c r="EN41" s="231">
        <v>264560.01</v>
      </c>
      <c r="EO41" s="231">
        <v>-73146.92</v>
      </c>
      <c r="EP41" s="229">
        <v>-0.27650000000000002</v>
      </c>
      <c r="EQ41" s="231">
        <v>32576</v>
      </c>
      <c r="ER41" s="231">
        <v>23194</v>
      </c>
      <c r="ES41" s="231">
        <v>242028</v>
      </c>
      <c r="ET41" s="231">
        <v>280560500</v>
      </c>
      <c r="EU41" s="231">
        <v>297797</v>
      </c>
      <c r="EV41" s="231">
        <v>391501</v>
      </c>
      <c r="EW41" s="231">
        <v>-93704</v>
      </c>
      <c r="EX41" s="229">
        <v>-0.23930000000000001</v>
      </c>
      <c r="EY41" s="229">
        <v>0.16669999999999999</v>
      </c>
    </row>
    <row r="42" spans="1:155" ht="17.25" thickBot="1" x14ac:dyDescent="0.3">
      <c r="A42" s="226">
        <v>45869</v>
      </c>
      <c r="B42" s="227" t="s">
        <v>170</v>
      </c>
      <c r="C42" s="227" t="s">
        <v>288</v>
      </c>
      <c r="D42" s="231">
        <v>1713.9</v>
      </c>
      <c r="E42" s="231">
        <v>1743.9</v>
      </c>
      <c r="F42" s="228">
        <v>-30</v>
      </c>
      <c r="G42" s="229">
        <v>-1.72E-2</v>
      </c>
      <c r="H42" s="231">
        <v>1706.7</v>
      </c>
      <c r="I42" s="231">
        <v>1733.8</v>
      </c>
      <c r="J42" s="228">
        <v>-27.1</v>
      </c>
      <c r="K42" s="229">
        <v>-1.5599999999999999E-2</v>
      </c>
      <c r="L42" s="231">
        <v>1708.1</v>
      </c>
      <c r="M42" s="231">
        <v>1732.6</v>
      </c>
      <c r="N42" s="228">
        <v>-24.5</v>
      </c>
      <c r="O42" s="229">
        <v>-1.41E-2</v>
      </c>
      <c r="P42" s="231">
        <v>1713.9</v>
      </c>
      <c r="Q42" s="231">
        <v>1743.9</v>
      </c>
      <c r="R42" s="228">
        <v>-30</v>
      </c>
      <c r="S42" s="229">
        <v>-1.72E-2</v>
      </c>
      <c r="T42" s="231">
        <v>1725.9</v>
      </c>
      <c r="U42" s="231">
        <v>1757.9</v>
      </c>
      <c r="V42" s="228">
        <v>-32</v>
      </c>
      <c r="W42" s="229">
        <v>-1.8200000000000001E-2</v>
      </c>
      <c r="X42" s="228">
        <v>7.2</v>
      </c>
      <c r="Y42" s="228">
        <v>-1.2</v>
      </c>
      <c r="Z42" s="228">
        <v>8.4</v>
      </c>
      <c r="AA42" s="229">
        <v>4.1999999999999997E-3</v>
      </c>
      <c r="AB42" s="228">
        <v>1.4</v>
      </c>
      <c r="AC42" s="228">
        <v>-1.2</v>
      </c>
      <c r="AD42" s="228">
        <v>2.6</v>
      </c>
      <c r="AE42" s="229">
        <v>8.0000000000000004E-4</v>
      </c>
      <c r="AF42" s="228">
        <v>7.2</v>
      </c>
      <c r="AG42" s="228">
        <v>10.1</v>
      </c>
      <c r="AH42" s="228">
        <v>-2.9</v>
      </c>
      <c r="AI42" s="229">
        <v>4.1999999999999997E-3</v>
      </c>
      <c r="AJ42" s="228">
        <v>19.2</v>
      </c>
      <c r="AK42" s="228">
        <v>24.1</v>
      </c>
      <c r="AL42" s="228">
        <v>-4.9000000000000004</v>
      </c>
      <c r="AM42" s="229">
        <v>1.12E-2</v>
      </c>
      <c r="AN42" s="231">
        <v>1722.38</v>
      </c>
      <c r="AO42" s="231">
        <v>1732.73</v>
      </c>
      <c r="AP42" s="228">
        <v>0</v>
      </c>
      <c r="AQ42" s="230">
        <v>54115</v>
      </c>
      <c r="AR42" s="230">
        <v>35173</v>
      </c>
      <c r="AS42" s="230">
        <v>18942</v>
      </c>
      <c r="AT42" s="229">
        <v>0.53849999999999998</v>
      </c>
      <c r="AU42" s="230">
        <v>21360</v>
      </c>
      <c r="AV42" s="230">
        <v>16906</v>
      </c>
      <c r="AW42" s="230">
        <v>4454</v>
      </c>
      <c r="AX42" s="229">
        <v>0.26350000000000001</v>
      </c>
      <c r="AY42" s="230">
        <v>32419</v>
      </c>
      <c r="AZ42" s="230">
        <v>18065</v>
      </c>
      <c r="BA42" s="230">
        <v>14354</v>
      </c>
      <c r="BB42" s="229">
        <v>0.79459999999999997</v>
      </c>
      <c r="BC42" s="228">
        <v>336</v>
      </c>
      <c r="BD42" s="228">
        <v>202</v>
      </c>
      <c r="BE42" s="228">
        <v>134</v>
      </c>
      <c r="BF42" s="229">
        <v>0.66339999999999999</v>
      </c>
      <c r="BG42" s="230">
        <v>88419</v>
      </c>
      <c r="BH42" s="230">
        <v>63672</v>
      </c>
      <c r="BI42" s="230">
        <v>24747</v>
      </c>
      <c r="BJ42" s="229">
        <v>0.38869999999999999</v>
      </c>
      <c r="BK42" s="230">
        <v>56185</v>
      </c>
      <c r="BL42" s="230">
        <v>26867</v>
      </c>
      <c r="BM42" s="230">
        <v>29318</v>
      </c>
      <c r="BN42" s="229">
        <v>1.0911999999999999</v>
      </c>
      <c r="BO42" s="230">
        <v>198719</v>
      </c>
      <c r="BP42" s="230">
        <v>125712</v>
      </c>
      <c r="BQ42" s="230">
        <v>73007</v>
      </c>
      <c r="BR42" s="229">
        <v>0.58069999999999999</v>
      </c>
      <c r="BS42" s="230">
        <v>3358027</v>
      </c>
      <c r="BT42" s="230">
        <v>2392483</v>
      </c>
      <c r="BU42" s="230">
        <v>965544</v>
      </c>
      <c r="BV42" s="229">
        <v>0.40360000000000001</v>
      </c>
      <c r="BW42" s="230">
        <v>19349750</v>
      </c>
      <c r="BX42" s="230">
        <v>21110250</v>
      </c>
      <c r="BY42" s="230">
        <v>-1760500</v>
      </c>
      <c r="BZ42" s="229">
        <v>-8.3400000000000002E-2</v>
      </c>
      <c r="CA42" s="230">
        <v>2965200</v>
      </c>
      <c r="CB42" s="230">
        <v>5141500</v>
      </c>
      <c r="CC42" s="230">
        <v>-2176300</v>
      </c>
      <c r="CD42" s="229">
        <v>-0.42330000000000001</v>
      </c>
      <c r="CE42" s="230">
        <v>19228650</v>
      </c>
      <c r="CF42" s="230">
        <v>15884050</v>
      </c>
      <c r="CG42" s="230">
        <v>3344600</v>
      </c>
      <c r="CH42" s="229">
        <v>0.21060000000000001</v>
      </c>
      <c r="CI42" s="230">
        <v>121100</v>
      </c>
      <c r="CJ42" s="230">
        <v>84700</v>
      </c>
      <c r="CK42" s="230">
        <v>36400</v>
      </c>
      <c r="CL42" s="229">
        <v>0.42980000000000002</v>
      </c>
      <c r="CM42" s="230">
        <v>3076150</v>
      </c>
      <c r="CN42" s="230">
        <v>9679600</v>
      </c>
      <c r="CO42" s="230">
        <v>-6603450</v>
      </c>
      <c r="CP42" s="229">
        <v>-0.68220000000000003</v>
      </c>
      <c r="CQ42" s="230">
        <v>1872150</v>
      </c>
      <c r="CR42" s="230">
        <v>5738250</v>
      </c>
      <c r="CS42" s="230">
        <v>-3866100</v>
      </c>
      <c r="CT42" s="229">
        <v>-0.67369999999999997</v>
      </c>
      <c r="CU42" s="230">
        <v>24298050</v>
      </c>
      <c r="CV42" s="230">
        <v>36528100</v>
      </c>
      <c r="CW42" s="230">
        <v>-12230050</v>
      </c>
      <c r="CX42" s="229">
        <v>-0.33479999999999999</v>
      </c>
      <c r="CY42" s="228">
        <v>23.44</v>
      </c>
      <c r="CZ42" s="228">
        <v>25.23</v>
      </c>
      <c r="DA42" s="228">
        <v>-1.79</v>
      </c>
      <c r="DB42" s="228">
        <v>-1.79</v>
      </c>
      <c r="DC42" s="228">
        <v>24.07</v>
      </c>
      <c r="DD42" s="228">
        <v>24.04</v>
      </c>
      <c r="DE42" s="228">
        <v>-0.63</v>
      </c>
      <c r="DF42" s="228">
        <v>0.03</v>
      </c>
      <c r="DG42" s="228">
        <v>23.09</v>
      </c>
      <c r="DH42" s="228">
        <v>25.11</v>
      </c>
      <c r="DI42" s="228">
        <v>-2.02</v>
      </c>
      <c r="DJ42" s="228">
        <v>-2.02</v>
      </c>
      <c r="DK42" s="228">
        <v>23.94</v>
      </c>
      <c r="DL42" s="228">
        <v>25.65</v>
      </c>
      <c r="DM42" s="228">
        <v>-1.71</v>
      </c>
      <c r="DN42" s="228">
        <v>-1.71</v>
      </c>
      <c r="DO42" s="228">
        <v>0.61</v>
      </c>
      <c r="DP42" s="228">
        <v>0.59</v>
      </c>
      <c r="DQ42" s="228">
        <v>0.02</v>
      </c>
      <c r="DR42" s="229">
        <v>3.39E-2</v>
      </c>
      <c r="DS42" s="231">
        <v>1720</v>
      </c>
      <c r="DT42" s="231">
        <v>1700</v>
      </c>
      <c r="DU42" s="228">
        <v>0.64</v>
      </c>
      <c r="DV42" s="228">
        <v>0.42</v>
      </c>
      <c r="DW42" s="228">
        <v>0.22</v>
      </c>
      <c r="DX42" s="229">
        <v>0.52380000000000004</v>
      </c>
      <c r="DY42" s="229">
        <v>0.86709999999999998</v>
      </c>
      <c r="DZ42" s="230">
        <v>15968750</v>
      </c>
      <c r="EA42" s="229">
        <v>3.3999999999999998E-3</v>
      </c>
      <c r="EB42" s="229">
        <v>0.86709999999999998</v>
      </c>
      <c r="EC42" s="228">
        <v>10.35</v>
      </c>
      <c r="ED42" s="229">
        <v>6.0000000000000001E-3</v>
      </c>
      <c r="EE42" s="230">
        <v>1307251</v>
      </c>
      <c r="EF42" s="230">
        <v>1453637</v>
      </c>
      <c r="EG42" s="229">
        <v>-0.1007</v>
      </c>
      <c r="EH42" s="229">
        <v>0.38929999999999998</v>
      </c>
      <c r="EI42" s="231">
        <v>549848.80000000005</v>
      </c>
      <c r="EJ42" s="231">
        <v>336604.89</v>
      </c>
      <c r="EK42" s="231">
        <v>327419.88</v>
      </c>
      <c r="EL42" s="228">
        <v>0</v>
      </c>
      <c r="EM42" s="231">
        <v>1213873.57</v>
      </c>
      <c r="EN42" s="231">
        <v>768857.82</v>
      </c>
      <c r="EO42" s="231">
        <v>445015.75</v>
      </c>
      <c r="EP42" s="229">
        <v>0.57879999999999998</v>
      </c>
      <c r="EQ42" s="231">
        <v>54966</v>
      </c>
      <c r="ER42" s="231">
        <v>30952</v>
      </c>
      <c r="ES42" s="231">
        <v>331650</v>
      </c>
      <c r="ET42" s="231">
        <v>218440087</v>
      </c>
      <c r="EU42" s="231">
        <v>417569</v>
      </c>
      <c r="EV42" s="231">
        <v>631906</v>
      </c>
      <c r="EW42" s="231">
        <v>-214337</v>
      </c>
      <c r="EX42" s="229">
        <v>-0.3392</v>
      </c>
      <c r="EY42" s="229">
        <v>0.11119999999999999</v>
      </c>
    </row>
    <row r="43" spans="1:155" ht="17.25" thickBot="1" x14ac:dyDescent="0.3">
      <c r="A43" s="226">
        <v>45869</v>
      </c>
      <c r="B43" s="227" t="s">
        <v>168</v>
      </c>
      <c r="C43" s="227" t="s">
        <v>291</v>
      </c>
      <c r="D43" s="231">
        <v>1076.4000000000001</v>
      </c>
      <c r="E43" s="231">
        <v>1079.3</v>
      </c>
      <c r="F43" s="228">
        <v>-2.9</v>
      </c>
      <c r="G43" s="229">
        <v>-2.7000000000000001E-3</v>
      </c>
      <c r="H43" s="231">
        <v>1073.2</v>
      </c>
      <c r="I43" s="231">
        <v>1073.0999999999999</v>
      </c>
      <c r="J43" s="228">
        <v>0.1</v>
      </c>
      <c r="K43" s="229">
        <v>1E-4</v>
      </c>
      <c r="L43" s="231">
        <v>1071.3</v>
      </c>
      <c r="M43" s="231">
        <v>1073.8</v>
      </c>
      <c r="N43" s="228">
        <v>-2.5</v>
      </c>
      <c r="O43" s="229">
        <v>-2.3E-3</v>
      </c>
      <c r="P43" s="231">
        <v>1076.4000000000001</v>
      </c>
      <c r="Q43" s="231">
        <v>1079.3</v>
      </c>
      <c r="R43" s="228">
        <v>-2.9</v>
      </c>
      <c r="S43" s="229">
        <v>-2.7000000000000001E-3</v>
      </c>
      <c r="T43" s="231">
        <v>1082.5</v>
      </c>
      <c r="U43" s="231">
        <v>1086.5999999999999</v>
      </c>
      <c r="V43" s="228">
        <v>-4.0999999999999996</v>
      </c>
      <c r="W43" s="229">
        <v>-3.8E-3</v>
      </c>
      <c r="X43" s="228">
        <v>3.2</v>
      </c>
      <c r="Y43" s="228">
        <v>0.7</v>
      </c>
      <c r="Z43" s="228">
        <v>2.5</v>
      </c>
      <c r="AA43" s="229">
        <v>3.0000000000000001E-3</v>
      </c>
      <c r="AB43" s="228">
        <v>-1.9</v>
      </c>
      <c r="AC43" s="228">
        <v>0.7</v>
      </c>
      <c r="AD43" s="228">
        <v>-2.6</v>
      </c>
      <c r="AE43" s="229">
        <v>-1.8E-3</v>
      </c>
      <c r="AF43" s="228">
        <v>3.2</v>
      </c>
      <c r="AG43" s="228">
        <v>6.2</v>
      </c>
      <c r="AH43" s="228">
        <v>-3</v>
      </c>
      <c r="AI43" s="229">
        <v>3.0000000000000001E-3</v>
      </c>
      <c r="AJ43" s="228">
        <v>9.3000000000000007</v>
      </c>
      <c r="AK43" s="228">
        <v>13.5</v>
      </c>
      <c r="AL43" s="228">
        <v>-4.2</v>
      </c>
      <c r="AM43" s="229">
        <v>8.6999999999999994E-3</v>
      </c>
      <c r="AN43" s="231">
        <v>1071.1099999999999</v>
      </c>
      <c r="AO43" s="231">
        <v>1076.06</v>
      </c>
      <c r="AP43" s="228">
        <v>0</v>
      </c>
      <c r="AQ43" s="230">
        <v>7885</v>
      </c>
      <c r="AR43" s="230">
        <v>16847</v>
      </c>
      <c r="AS43" s="230">
        <v>-8962</v>
      </c>
      <c r="AT43" s="229">
        <v>-0.53200000000000003</v>
      </c>
      <c r="AU43" s="230">
        <v>2876</v>
      </c>
      <c r="AV43" s="230">
        <v>8167</v>
      </c>
      <c r="AW43" s="230">
        <v>-5291</v>
      </c>
      <c r="AX43" s="229">
        <v>-0.64790000000000003</v>
      </c>
      <c r="AY43" s="230">
        <v>4899</v>
      </c>
      <c r="AZ43" s="230">
        <v>8627</v>
      </c>
      <c r="BA43" s="230">
        <v>-3728</v>
      </c>
      <c r="BB43" s="229">
        <v>-0.43209999999999998</v>
      </c>
      <c r="BC43" s="228">
        <v>110</v>
      </c>
      <c r="BD43" s="228">
        <v>53</v>
      </c>
      <c r="BE43" s="228">
        <v>57</v>
      </c>
      <c r="BF43" s="229">
        <v>1.0754999999999999</v>
      </c>
      <c r="BG43" s="230">
        <v>10190</v>
      </c>
      <c r="BH43" s="230">
        <v>17695</v>
      </c>
      <c r="BI43" s="230">
        <v>-7505</v>
      </c>
      <c r="BJ43" s="229">
        <v>-0.42409999999999998</v>
      </c>
      <c r="BK43" s="230">
        <v>2956</v>
      </c>
      <c r="BL43" s="230">
        <v>4893</v>
      </c>
      <c r="BM43" s="230">
        <v>-1937</v>
      </c>
      <c r="BN43" s="229">
        <v>-0.39589999999999997</v>
      </c>
      <c r="BO43" s="230">
        <v>21031</v>
      </c>
      <c r="BP43" s="230">
        <v>39435</v>
      </c>
      <c r="BQ43" s="230">
        <v>-18404</v>
      </c>
      <c r="BR43" s="229">
        <v>-0.4667</v>
      </c>
      <c r="BS43" s="230">
        <v>1145817</v>
      </c>
      <c r="BT43" s="230">
        <v>1233767</v>
      </c>
      <c r="BU43" s="230">
        <v>-87950</v>
      </c>
      <c r="BV43" s="229">
        <v>-7.1300000000000002E-2</v>
      </c>
      <c r="BW43" s="230">
        <v>14513400</v>
      </c>
      <c r="BX43" s="230">
        <v>15337850</v>
      </c>
      <c r="BY43" s="230">
        <v>-824450</v>
      </c>
      <c r="BZ43" s="229">
        <v>-5.3800000000000001E-2</v>
      </c>
      <c r="CA43" s="230">
        <v>493350</v>
      </c>
      <c r="CB43" s="230">
        <v>1472900</v>
      </c>
      <c r="CC43" s="230">
        <v>-979550</v>
      </c>
      <c r="CD43" s="229">
        <v>-0.66500000000000004</v>
      </c>
      <c r="CE43" s="230">
        <v>14403400</v>
      </c>
      <c r="CF43" s="230">
        <v>13785750</v>
      </c>
      <c r="CG43" s="230">
        <v>617650</v>
      </c>
      <c r="CH43" s="229">
        <v>4.48E-2</v>
      </c>
      <c r="CI43" s="230">
        <v>110000</v>
      </c>
      <c r="CJ43" s="230">
        <v>79200</v>
      </c>
      <c r="CK43" s="230">
        <v>30800</v>
      </c>
      <c r="CL43" s="229">
        <v>0.38890000000000002</v>
      </c>
      <c r="CM43" s="230">
        <v>1746800</v>
      </c>
      <c r="CN43" s="230">
        <v>6321150</v>
      </c>
      <c r="CO43" s="230">
        <v>-4574350</v>
      </c>
      <c r="CP43" s="229">
        <v>-0.72370000000000001</v>
      </c>
      <c r="CQ43" s="230">
        <v>1216050</v>
      </c>
      <c r="CR43" s="230">
        <v>4041400</v>
      </c>
      <c r="CS43" s="230">
        <v>-2825350</v>
      </c>
      <c r="CT43" s="229">
        <v>-0.69910000000000005</v>
      </c>
      <c r="CU43" s="230">
        <v>17476250</v>
      </c>
      <c r="CV43" s="230">
        <v>25700400</v>
      </c>
      <c r="CW43" s="230">
        <v>-8224150</v>
      </c>
      <c r="CX43" s="229">
        <v>-0.32</v>
      </c>
      <c r="CY43" s="228">
        <v>22.67</v>
      </c>
      <c r="CZ43" s="228">
        <v>22.44</v>
      </c>
      <c r="DA43" s="228">
        <v>0.23</v>
      </c>
      <c r="DB43" s="228">
        <v>0.23</v>
      </c>
      <c r="DC43" s="228">
        <v>28</v>
      </c>
      <c r="DD43" s="228">
        <v>28.07</v>
      </c>
      <c r="DE43" s="228">
        <v>-5.33</v>
      </c>
      <c r="DF43" s="228">
        <v>-7.0000000000000007E-2</v>
      </c>
      <c r="DG43" s="228">
        <v>22.69</v>
      </c>
      <c r="DH43" s="228">
        <v>22.12</v>
      </c>
      <c r="DI43" s="228">
        <v>0.56999999999999995</v>
      </c>
      <c r="DJ43" s="228">
        <v>0.56999999999999995</v>
      </c>
      <c r="DK43" s="228">
        <v>22.59</v>
      </c>
      <c r="DL43" s="228">
        <v>23.25</v>
      </c>
      <c r="DM43" s="228">
        <v>-0.66</v>
      </c>
      <c r="DN43" s="228">
        <v>-0.66</v>
      </c>
      <c r="DO43" s="228">
        <v>0.7</v>
      </c>
      <c r="DP43" s="228">
        <v>0.64</v>
      </c>
      <c r="DQ43" s="228">
        <v>0.06</v>
      </c>
      <c r="DR43" s="229">
        <v>9.3700000000000006E-2</v>
      </c>
      <c r="DS43" s="231">
        <v>1230</v>
      </c>
      <c r="DT43" s="228">
        <v>980</v>
      </c>
      <c r="DU43" s="228">
        <v>0.28999999999999998</v>
      </c>
      <c r="DV43" s="228">
        <v>0.28000000000000003</v>
      </c>
      <c r="DW43" s="228">
        <v>0.01</v>
      </c>
      <c r="DX43" s="229">
        <v>3.5700000000000003E-2</v>
      </c>
      <c r="DY43" s="229">
        <v>0.96709999999999996</v>
      </c>
      <c r="DZ43" s="230">
        <v>13864950</v>
      </c>
      <c r="EA43" s="229">
        <v>4.7999999999999996E-3</v>
      </c>
      <c r="EB43" s="229">
        <v>0.96709999999999996</v>
      </c>
      <c r="EC43" s="228">
        <v>4.95</v>
      </c>
      <c r="ED43" s="229">
        <v>4.5999999999999999E-3</v>
      </c>
      <c r="EE43" s="230">
        <v>582150</v>
      </c>
      <c r="EF43" s="230">
        <v>556614</v>
      </c>
      <c r="EG43" s="229">
        <v>4.5900000000000003E-2</v>
      </c>
      <c r="EH43" s="229">
        <v>0.5081</v>
      </c>
      <c r="EI43" s="231">
        <v>62304.51</v>
      </c>
      <c r="EJ43" s="231">
        <v>17361.02</v>
      </c>
      <c r="EK43" s="231">
        <v>46590.65</v>
      </c>
      <c r="EL43" s="228">
        <v>0</v>
      </c>
      <c r="EM43" s="231">
        <v>126256.18</v>
      </c>
      <c r="EN43" s="231">
        <v>236092.94</v>
      </c>
      <c r="EO43" s="231">
        <v>-109836.76</v>
      </c>
      <c r="EP43" s="229">
        <v>-0.4652</v>
      </c>
      <c r="EQ43" s="231">
        <v>19672</v>
      </c>
      <c r="ER43" s="231">
        <v>12393</v>
      </c>
      <c r="ES43" s="231">
        <v>156229</v>
      </c>
      <c r="ET43" s="231">
        <v>130936945</v>
      </c>
      <c r="EU43" s="231">
        <v>188294</v>
      </c>
      <c r="EV43" s="231">
        <v>279415</v>
      </c>
      <c r="EW43" s="231">
        <v>-91121</v>
      </c>
      <c r="EX43" s="229">
        <v>-0.3261</v>
      </c>
      <c r="EY43" s="229">
        <v>0.13350000000000001</v>
      </c>
    </row>
    <row r="44" spans="1:155" ht="17.25" thickBot="1" x14ac:dyDescent="0.3">
      <c r="A44" s="226">
        <v>45869</v>
      </c>
      <c r="B44" s="227" t="s">
        <v>162</v>
      </c>
      <c r="C44" s="227" t="s">
        <v>292</v>
      </c>
      <c r="D44" s="228">
        <v>668.4</v>
      </c>
      <c r="E44" s="228">
        <v>671.3</v>
      </c>
      <c r="F44" s="228">
        <v>-2.9</v>
      </c>
      <c r="G44" s="229">
        <v>-4.3E-3</v>
      </c>
      <c r="H44" s="228">
        <v>665.95</v>
      </c>
      <c r="I44" s="228">
        <v>668.45</v>
      </c>
      <c r="J44" s="228">
        <v>-2.5</v>
      </c>
      <c r="K44" s="229">
        <v>-3.7000000000000002E-3</v>
      </c>
      <c r="L44" s="228">
        <v>664.35</v>
      </c>
      <c r="M44" s="228">
        <v>667.85</v>
      </c>
      <c r="N44" s="228">
        <v>-3.5</v>
      </c>
      <c r="O44" s="229">
        <v>-5.1999999999999998E-3</v>
      </c>
      <c r="P44" s="228">
        <v>668.4</v>
      </c>
      <c r="Q44" s="228">
        <v>671.3</v>
      </c>
      <c r="R44" s="228">
        <v>-2.9</v>
      </c>
      <c r="S44" s="229">
        <v>-4.3E-3</v>
      </c>
      <c r="T44" s="228">
        <v>672.5</v>
      </c>
      <c r="U44" s="228">
        <v>675.35</v>
      </c>
      <c r="V44" s="228">
        <v>-2.85</v>
      </c>
      <c r="W44" s="229">
        <v>-4.1999999999999997E-3</v>
      </c>
      <c r="X44" s="228">
        <v>2.4500000000000002</v>
      </c>
      <c r="Y44" s="228">
        <v>-0.6</v>
      </c>
      <c r="Z44" s="228">
        <v>3.05</v>
      </c>
      <c r="AA44" s="229">
        <v>3.7000000000000002E-3</v>
      </c>
      <c r="AB44" s="228">
        <v>-1.6</v>
      </c>
      <c r="AC44" s="228">
        <v>-0.6</v>
      </c>
      <c r="AD44" s="228">
        <v>-1</v>
      </c>
      <c r="AE44" s="229">
        <v>-2.3999999999999998E-3</v>
      </c>
      <c r="AF44" s="228">
        <v>2.4500000000000002</v>
      </c>
      <c r="AG44" s="228">
        <v>2.85</v>
      </c>
      <c r="AH44" s="228">
        <v>-0.4</v>
      </c>
      <c r="AI44" s="229">
        <v>3.7000000000000002E-3</v>
      </c>
      <c r="AJ44" s="228">
        <v>6.55</v>
      </c>
      <c r="AK44" s="228">
        <v>6.9</v>
      </c>
      <c r="AL44" s="228">
        <v>-0.35</v>
      </c>
      <c r="AM44" s="229">
        <v>9.7999999999999997E-3</v>
      </c>
      <c r="AN44" s="228">
        <v>666.43</v>
      </c>
      <c r="AO44" s="228">
        <v>669.1</v>
      </c>
      <c r="AP44" s="228">
        <v>0</v>
      </c>
      <c r="AQ44" s="230">
        <v>58687</v>
      </c>
      <c r="AR44" s="230">
        <v>67370</v>
      </c>
      <c r="AS44" s="230">
        <v>-8683</v>
      </c>
      <c r="AT44" s="229">
        <v>-0.12889999999999999</v>
      </c>
      <c r="AU44" s="230">
        <v>22189</v>
      </c>
      <c r="AV44" s="230">
        <v>26954</v>
      </c>
      <c r="AW44" s="230">
        <v>-4765</v>
      </c>
      <c r="AX44" s="229">
        <v>-0.17680000000000001</v>
      </c>
      <c r="AY44" s="230">
        <v>34982</v>
      </c>
      <c r="AZ44" s="230">
        <v>38479</v>
      </c>
      <c r="BA44" s="230">
        <v>-3497</v>
      </c>
      <c r="BB44" s="229">
        <v>-9.0899999999999995E-2</v>
      </c>
      <c r="BC44" s="230">
        <v>1516</v>
      </c>
      <c r="BD44" s="230">
        <v>1937</v>
      </c>
      <c r="BE44" s="228">
        <v>-421</v>
      </c>
      <c r="BF44" s="229">
        <v>-0.21729999999999999</v>
      </c>
      <c r="BG44" s="230">
        <v>72946</v>
      </c>
      <c r="BH44" s="230">
        <v>111400</v>
      </c>
      <c r="BI44" s="230">
        <v>-38454</v>
      </c>
      <c r="BJ44" s="229">
        <v>-0.34520000000000001</v>
      </c>
      <c r="BK44" s="230">
        <v>51112</v>
      </c>
      <c r="BL44" s="230">
        <v>82958</v>
      </c>
      <c r="BM44" s="230">
        <v>-31846</v>
      </c>
      <c r="BN44" s="229">
        <v>-0.38390000000000002</v>
      </c>
      <c r="BO44" s="230">
        <v>182745</v>
      </c>
      <c r="BP44" s="230">
        <v>261728</v>
      </c>
      <c r="BQ44" s="230">
        <v>-78983</v>
      </c>
      <c r="BR44" s="229">
        <v>-0.30180000000000001</v>
      </c>
      <c r="BS44" s="230">
        <v>19565166</v>
      </c>
      <c r="BT44" s="230">
        <v>20408715</v>
      </c>
      <c r="BU44" s="230">
        <v>-843549</v>
      </c>
      <c r="BV44" s="229">
        <v>-4.1300000000000003E-2</v>
      </c>
      <c r="BW44" s="230">
        <v>77906400</v>
      </c>
      <c r="BX44" s="230">
        <v>81015200</v>
      </c>
      <c r="BY44" s="230">
        <v>-3108800</v>
      </c>
      <c r="BZ44" s="229">
        <v>-3.8399999999999997E-2</v>
      </c>
      <c r="CA44" s="230">
        <v>4037600</v>
      </c>
      <c r="CB44" s="230">
        <v>13879200</v>
      </c>
      <c r="CC44" s="230">
        <v>-9841600</v>
      </c>
      <c r="CD44" s="229">
        <v>-0.70909999999999995</v>
      </c>
      <c r="CE44" s="230">
        <v>74623200</v>
      </c>
      <c r="CF44" s="230">
        <v>64235200</v>
      </c>
      <c r="CG44" s="230">
        <v>10388000</v>
      </c>
      <c r="CH44" s="229">
        <v>0.16170000000000001</v>
      </c>
      <c r="CI44" s="230">
        <v>3283200</v>
      </c>
      <c r="CJ44" s="230">
        <v>2900800</v>
      </c>
      <c r="CK44" s="230">
        <v>382400</v>
      </c>
      <c r="CL44" s="229">
        <v>0.1318</v>
      </c>
      <c r="CM44" s="230">
        <v>21041600</v>
      </c>
      <c r="CN44" s="230">
        <v>44016000</v>
      </c>
      <c r="CO44" s="230">
        <v>-22974400</v>
      </c>
      <c r="CP44" s="229">
        <v>-0.52200000000000002</v>
      </c>
      <c r="CQ44" s="230">
        <v>18430400</v>
      </c>
      <c r="CR44" s="230">
        <v>29596000</v>
      </c>
      <c r="CS44" s="230">
        <v>-11165600</v>
      </c>
      <c r="CT44" s="229">
        <v>-0.37730000000000002</v>
      </c>
      <c r="CU44" s="230">
        <v>117378400</v>
      </c>
      <c r="CV44" s="230">
        <v>154627200</v>
      </c>
      <c r="CW44" s="230">
        <v>-37248800</v>
      </c>
      <c r="CX44" s="229">
        <v>-0.2409</v>
      </c>
      <c r="CY44" s="228">
        <v>32.36</v>
      </c>
      <c r="CZ44" s="228">
        <v>32.22</v>
      </c>
      <c r="DA44" s="228">
        <v>0.14000000000000001</v>
      </c>
      <c r="DB44" s="228">
        <v>0.14000000000000001</v>
      </c>
      <c r="DC44" s="228">
        <v>36.44</v>
      </c>
      <c r="DD44" s="228">
        <v>36.53</v>
      </c>
      <c r="DE44" s="228">
        <v>-4.08</v>
      </c>
      <c r="DF44" s="228">
        <v>-0.09</v>
      </c>
      <c r="DG44" s="228">
        <v>32.270000000000003</v>
      </c>
      <c r="DH44" s="228">
        <v>32.090000000000003</v>
      </c>
      <c r="DI44" s="228">
        <v>0.18</v>
      </c>
      <c r="DJ44" s="228">
        <v>0.18</v>
      </c>
      <c r="DK44" s="228">
        <v>32.49</v>
      </c>
      <c r="DL44" s="228">
        <v>32.4</v>
      </c>
      <c r="DM44" s="228">
        <v>0.09</v>
      </c>
      <c r="DN44" s="228">
        <v>0.09</v>
      </c>
      <c r="DO44" s="228">
        <v>0.88</v>
      </c>
      <c r="DP44" s="228">
        <v>0.67</v>
      </c>
      <c r="DQ44" s="228">
        <v>0.21</v>
      </c>
      <c r="DR44" s="229">
        <v>0.31340000000000001</v>
      </c>
      <c r="DS44" s="228">
        <v>700</v>
      </c>
      <c r="DT44" s="228">
        <v>800</v>
      </c>
      <c r="DU44" s="228">
        <v>0.7</v>
      </c>
      <c r="DV44" s="228">
        <v>0.74</v>
      </c>
      <c r="DW44" s="228">
        <v>-0.04</v>
      </c>
      <c r="DX44" s="229">
        <v>-5.4100000000000002E-2</v>
      </c>
      <c r="DY44" s="229">
        <v>0.95069999999999999</v>
      </c>
      <c r="DZ44" s="230">
        <v>67136000</v>
      </c>
      <c r="EA44" s="229">
        <v>6.1000000000000004E-3</v>
      </c>
      <c r="EB44" s="229">
        <v>0.95069999999999999</v>
      </c>
      <c r="EC44" s="228">
        <v>2.67</v>
      </c>
      <c r="ED44" s="229">
        <v>4.0000000000000001E-3</v>
      </c>
      <c r="EE44" s="230">
        <v>9060107</v>
      </c>
      <c r="EF44" s="230">
        <v>9551812</v>
      </c>
      <c r="EG44" s="229">
        <v>-5.1499999999999997E-2</v>
      </c>
      <c r="EH44" s="229">
        <v>0.46310000000000001</v>
      </c>
      <c r="EI44" s="231">
        <v>410705.06</v>
      </c>
      <c r="EJ44" s="231">
        <v>276541.42</v>
      </c>
      <c r="EK44" s="231">
        <v>313704.31</v>
      </c>
      <c r="EL44" s="228">
        <v>0</v>
      </c>
      <c r="EM44" s="231">
        <v>1000950.79</v>
      </c>
      <c r="EN44" s="231">
        <v>1436797.61</v>
      </c>
      <c r="EO44" s="231">
        <v>-435846.82</v>
      </c>
      <c r="EP44" s="229">
        <v>-0.30330000000000001</v>
      </c>
      <c r="EQ44" s="231">
        <v>150120</v>
      </c>
      <c r="ER44" s="231">
        <v>125297</v>
      </c>
      <c r="ES44" s="231">
        <v>520861</v>
      </c>
      <c r="ET44" s="231">
        <v>422796029</v>
      </c>
      <c r="EU44" s="231">
        <v>796279</v>
      </c>
      <c r="EV44" s="231">
        <v>1061790</v>
      </c>
      <c r="EW44" s="231">
        <v>-265511</v>
      </c>
      <c r="EX44" s="229">
        <v>-0.25009999999999999</v>
      </c>
      <c r="EY44" s="229">
        <v>0.27760000000000001</v>
      </c>
    </row>
    <row r="45" spans="1:155" ht="17.25" thickBot="1" x14ac:dyDescent="0.3">
      <c r="A45" s="226">
        <v>45869</v>
      </c>
      <c r="B45" s="227" t="s">
        <v>227</v>
      </c>
      <c r="C45" s="227" t="s">
        <v>294</v>
      </c>
      <c r="D45" s="228">
        <v>158.41999999999999</v>
      </c>
      <c r="E45" s="228">
        <v>162.33000000000001</v>
      </c>
      <c r="F45" s="228">
        <v>-3.91</v>
      </c>
      <c r="G45" s="229">
        <v>-2.41E-2</v>
      </c>
      <c r="H45" s="228">
        <v>157.94</v>
      </c>
      <c r="I45" s="228">
        <v>161.36000000000001</v>
      </c>
      <c r="J45" s="228">
        <v>-3.42</v>
      </c>
      <c r="K45" s="229">
        <v>-2.12E-2</v>
      </c>
      <c r="L45" s="228">
        <v>157.88</v>
      </c>
      <c r="M45" s="228">
        <v>161.46</v>
      </c>
      <c r="N45" s="228">
        <v>-3.58</v>
      </c>
      <c r="O45" s="229">
        <v>-2.2200000000000001E-2</v>
      </c>
      <c r="P45" s="228">
        <v>158.41999999999999</v>
      </c>
      <c r="Q45" s="228">
        <v>162.33000000000001</v>
      </c>
      <c r="R45" s="228">
        <v>-3.91</v>
      </c>
      <c r="S45" s="229">
        <v>-2.41E-2</v>
      </c>
      <c r="T45" s="228">
        <v>159.52000000000001</v>
      </c>
      <c r="U45" s="228">
        <v>163.24</v>
      </c>
      <c r="V45" s="228">
        <v>-3.72</v>
      </c>
      <c r="W45" s="229">
        <v>-2.2800000000000001E-2</v>
      </c>
      <c r="X45" s="228">
        <v>0.48</v>
      </c>
      <c r="Y45" s="228">
        <v>0.1</v>
      </c>
      <c r="Z45" s="228">
        <v>0.38</v>
      </c>
      <c r="AA45" s="229">
        <v>3.0000000000000001E-3</v>
      </c>
      <c r="AB45" s="228">
        <v>-0.06</v>
      </c>
      <c r="AC45" s="228">
        <v>0.1</v>
      </c>
      <c r="AD45" s="228">
        <v>-0.16</v>
      </c>
      <c r="AE45" s="229">
        <v>-4.0000000000000002E-4</v>
      </c>
      <c r="AF45" s="228">
        <v>0.48</v>
      </c>
      <c r="AG45" s="228">
        <v>0.97</v>
      </c>
      <c r="AH45" s="228">
        <v>-0.49</v>
      </c>
      <c r="AI45" s="229">
        <v>3.0000000000000001E-3</v>
      </c>
      <c r="AJ45" s="228">
        <v>1.58</v>
      </c>
      <c r="AK45" s="228">
        <v>1.88</v>
      </c>
      <c r="AL45" s="228">
        <v>-0.3</v>
      </c>
      <c r="AM45" s="229">
        <v>0.01</v>
      </c>
      <c r="AN45" s="228">
        <v>160.22999999999999</v>
      </c>
      <c r="AO45" s="228">
        <v>160.74</v>
      </c>
      <c r="AP45" s="228">
        <v>0</v>
      </c>
      <c r="AQ45" s="230">
        <v>24760</v>
      </c>
      <c r="AR45" s="230">
        <v>17467</v>
      </c>
      <c r="AS45" s="230">
        <v>7293</v>
      </c>
      <c r="AT45" s="229">
        <v>0.41749999999999998</v>
      </c>
      <c r="AU45" s="230">
        <v>8828</v>
      </c>
      <c r="AV45" s="230">
        <v>8485</v>
      </c>
      <c r="AW45" s="228">
        <v>343</v>
      </c>
      <c r="AX45" s="229">
        <v>4.0399999999999998E-2</v>
      </c>
      <c r="AY45" s="230">
        <v>15448</v>
      </c>
      <c r="AZ45" s="230">
        <v>8828</v>
      </c>
      <c r="BA45" s="230">
        <v>6620</v>
      </c>
      <c r="BB45" s="229">
        <v>0.74990000000000001</v>
      </c>
      <c r="BC45" s="228">
        <v>484</v>
      </c>
      <c r="BD45" s="228">
        <v>154</v>
      </c>
      <c r="BE45" s="228">
        <v>330</v>
      </c>
      <c r="BF45" s="229">
        <v>2.1429</v>
      </c>
      <c r="BG45" s="230">
        <v>56684</v>
      </c>
      <c r="BH45" s="230">
        <v>37036</v>
      </c>
      <c r="BI45" s="230">
        <v>19648</v>
      </c>
      <c r="BJ45" s="229">
        <v>0.53049999999999997</v>
      </c>
      <c r="BK45" s="230">
        <v>28131</v>
      </c>
      <c r="BL45" s="230">
        <v>15115</v>
      </c>
      <c r="BM45" s="230">
        <v>13016</v>
      </c>
      <c r="BN45" s="229">
        <v>0.86109999999999998</v>
      </c>
      <c r="BO45" s="230">
        <v>109575</v>
      </c>
      <c r="BP45" s="230">
        <v>69618</v>
      </c>
      <c r="BQ45" s="230">
        <v>39957</v>
      </c>
      <c r="BR45" s="229">
        <v>0.57389999999999997</v>
      </c>
      <c r="BS45" s="230">
        <v>27267142</v>
      </c>
      <c r="BT45" s="230">
        <v>16885457</v>
      </c>
      <c r="BU45" s="230">
        <v>10381685</v>
      </c>
      <c r="BV45" s="229">
        <v>0.61480000000000001</v>
      </c>
      <c r="BW45" s="230">
        <v>180895000</v>
      </c>
      <c r="BX45" s="230">
        <v>195156500</v>
      </c>
      <c r="BY45" s="230">
        <v>-14261500</v>
      </c>
      <c r="BZ45" s="229">
        <v>-7.3099999999999998E-2</v>
      </c>
      <c r="CA45" s="230">
        <v>26944500</v>
      </c>
      <c r="CB45" s="230">
        <v>38401000</v>
      </c>
      <c r="CC45" s="230">
        <v>-11456500</v>
      </c>
      <c r="CD45" s="229">
        <v>-0.29830000000000001</v>
      </c>
      <c r="CE45" s="230">
        <v>175103500</v>
      </c>
      <c r="CF45" s="230">
        <v>152075000</v>
      </c>
      <c r="CG45" s="230">
        <v>23028500</v>
      </c>
      <c r="CH45" s="229">
        <v>0.15140000000000001</v>
      </c>
      <c r="CI45" s="230">
        <v>5791500</v>
      </c>
      <c r="CJ45" s="230">
        <v>4680500</v>
      </c>
      <c r="CK45" s="230">
        <v>1111000</v>
      </c>
      <c r="CL45" s="229">
        <v>0.2374</v>
      </c>
      <c r="CM45" s="230">
        <v>80910500</v>
      </c>
      <c r="CN45" s="230">
        <v>145838000</v>
      </c>
      <c r="CO45" s="230">
        <v>-64927500</v>
      </c>
      <c r="CP45" s="229">
        <v>-0.44519999999999998</v>
      </c>
      <c r="CQ45" s="230">
        <v>50143500</v>
      </c>
      <c r="CR45" s="230">
        <v>91564000</v>
      </c>
      <c r="CS45" s="230">
        <v>-41420500</v>
      </c>
      <c r="CT45" s="229">
        <v>-0.45240000000000002</v>
      </c>
      <c r="CU45" s="230">
        <v>311949000</v>
      </c>
      <c r="CV45" s="230">
        <v>432558500</v>
      </c>
      <c r="CW45" s="230">
        <v>-120609500</v>
      </c>
      <c r="CX45" s="229">
        <v>-0.27879999999999999</v>
      </c>
      <c r="CY45" s="228">
        <v>27.49</v>
      </c>
      <c r="CZ45" s="228">
        <v>28.55</v>
      </c>
      <c r="DA45" s="228">
        <v>-1.06</v>
      </c>
      <c r="DB45" s="228">
        <v>-1.06</v>
      </c>
      <c r="DC45" s="228">
        <v>35</v>
      </c>
      <c r="DD45" s="228">
        <v>34.94</v>
      </c>
      <c r="DE45" s="228">
        <v>-7.51</v>
      </c>
      <c r="DF45" s="228">
        <v>0.06</v>
      </c>
      <c r="DG45" s="228">
        <v>28.23</v>
      </c>
      <c r="DH45" s="228">
        <v>29.02</v>
      </c>
      <c r="DI45" s="228">
        <v>-0.79</v>
      </c>
      <c r="DJ45" s="228">
        <v>-0.79</v>
      </c>
      <c r="DK45" s="228">
        <v>26.01</v>
      </c>
      <c r="DL45" s="228">
        <v>27.05</v>
      </c>
      <c r="DM45" s="228">
        <v>-1.04</v>
      </c>
      <c r="DN45" s="228">
        <v>-1.04</v>
      </c>
      <c r="DO45" s="228">
        <v>0.62</v>
      </c>
      <c r="DP45" s="228">
        <v>0.63</v>
      </c>
      <c r="DQ45" s="228">
        <v>-0.01</v>
      </c>
      <c r="DR45" s="229">
        <v>-1.5900000000000001E-2</v>
      </c>
      <c r="DS45" s="228">
        <v>180</v>
      </c>
      <c r="DT45" s="228">
        <v>160</v>
      </c>
      <c r="DU45" s="228">
        <v>0.5</v>
      </c>
      <c r="DV45" s="228">
        <v>0.41</v>
      </c>
      <c r="DW45" s="228">
        <v>0.09</v>
      </c>
      <c r="DX45" s="229">
        <v>0.2195</v>
      </c>
      <c r="DY45" s="229">
        <v>0.87039999999999995</v>
      </c>
      <c r="DZ45" s="230">
        <v>156755500</v>
      </c>
      <c r="EA45" s="229">
        <v>3.3999999999999998E-3</v>
      </c>
      <c r="EB45" s="229">
        <v>0.87039999999999995</v>
      </c>
      <c r="EC45" s="228">
        <v>0.51</v>
      </c>
      <c r="ED45" s="229">
        <v>3.2000000000000002E-3</v>
      </c>
      <c r="EE45" s="230">
        <v>8829964</v>
      </c>
      <c r="EF45" s="230">
        <v>9468458</v>
      </c>
      <c r="EG45" s="229">
        <v>-6.7400000000000002E-2</v>
      </c>
      <c r="EH45" s="229">
        <v>0.32379999999999998</v>
      </c>
      <c r="EI45" s="231">
        <v>527467.38</v>
      </c>
      <c r="EJ45" s="231">
        <v>246298.98</v>
      </c>
      <c r="EK45" s="231">
        <v>218668.46</v>
      </c>
      <c r="EL45" s="228">
        <v>0</v>
      </c>
      <c r="EM45" s="231">
        <v>992434.82</v>
      </c>
      <c r="EN45" s="231">
        <v>637569.32999999996</v>
      </c>
      <c r="EO45" s="231">
        <v>354865.49</v>
      </c>
      <c r="EP45" s="229">
        <v>0.55659999999999998</v>
      </c>
      <c r="EQ45" s="231">
        <v>137392</v>
      </c>
      <c r="ER45" s="231">
        <v>76583</v>
      </c>
      <c r="ES45" s="231">
        <v>286638</v>
      </c>
      <c r="ET45" s="231">
        <v>1667987352</v>
      </c>
      <c r="EU45" s="231">
        <v>500613</v>
      </c>
      <c r="EV45" s="231">
        <v>704285</v>
      </c>
      <c r="EW45" s="231">
        <v>-203672</v>
      </c>
      <c r="EX45" s="229">
        <v>-0.28920000000000001</v>
      </c>
      <c r="EY45" s="229">
        <v>0.187</v>
      </c>
    </row>
    <row r="46" spans="1:155" ht="17.25" thickBot="1" x14ac:dyDescent="0.3">
      <c r="A46" s="226">
        <v>45869</v>
      </c>
      <c r="B46" s="227" t="s">
        <v>221</v>
      </c>
      <c r="C46" s="227" t="s">
        <v>295</v>
      </c>
      <c r="D46" s="231">
        <v>3051.9</v>
      </c>
      <c r="E46" s="231">
        <v>3071.2</v>
      </c>
      <c r="F46" s="228">
        <v>-19.3</v>
      </c>
      <c r="G46" s="229">
        <v>-6.3E-3</v>
      </c>
      <c r="H46" s="231">
        <v>3036.8</v>
      </c>
      <c r="I46" s="231">
        <v>3053.6</v>
      </c>
      <c r="J46" s="228">
        <v>-16.8</v>
      </c>
      <c r="K46" s="229">
        <v>-5.4999999999999997E-3</v>
      </c>
      <c r="L46" s="231">
        <v>3033.5</v>
      </c>
      <c r="M46" s="231">
        <v>3056.5</v>
      </c>
      <c r="N46" s="228">
        <v>-23</v>
      </c>
      <c r="O46" s="229">
        <v>-7.4999999999999997E-3</v>
      </c>
      <c r="P46" s="231">
        <v>3051.9</v>
      </c>
      <c r="Q46" s="231">
        <v>3071.2</v>
      </c>
      <c r="R46" s="228">
        <v>-19.3</v>
      </c>
      <c r="S46" s="229">
        <v>-6.3E-3</v>
      </c>
      <c r="T46" s="231">
        <v>3070.3</v>
      </c>
      <c r="U46" s="231">
        <v>3088.9</v>
      </c>
      <c r="V46" s="228">
        <v>-18.600000000000001</v>
      </c>
      <c r="W46" s="229">
        <v>-6.0000000000000001E-3</v>
      </c>
      <c r="X46" s="228">
        <v>15.1</v>
      </c>
      <c r="Y46" s="228">
        <v>2.9</v>
      </c>
      <c r="Z46" s="228">
        <v>12.2</v>
      </c>
      <c r="AA46" s="229">
        <v>5.0000000000000001E-3</v>
      </c>
      <c r="AB46" s="228">
        <v>-3.3</v>
      </c>
      <c r="AC46" s="228">
        <v>2.9</v>
      </c>
      <c r="AD46" s="228">
        <v>-6.2</v>
      </c>
      <c r="AE46" s="229">
        <v>-1.1000000000000001E-3</v>
      </c>
      <c r="AF46" s="228">
        <v>15.1</v>
      </c>
      <c r="AG46" s="228">
        <v>17.600000000000001</v>
      </c>
      <c r="AH46" s="228">
        <v>-2.5</v>
      </c>
      <c r="AI46" s="229">
        <v>5.0000000000000001E-3</v>
      </c>
      <c r="AJ46" s="228">
        <v>33.5</v>
      </c>
      <c r="AK46" s="228">
        <v>35.299999999999997</v>
      </c>
      <c r="AL46" s="228">
        <v>-1.8</v>
      </c>
      <c r="AM46" s="229">
        <v>1.0999999999999999E-2</v>
      </c>
      <c r="AN46" s="231">
        <v>3034.08</v>
      </c>
      <c r="AO46" s="231">
        <v>3049.95</v>
      </c>
      <c r="AP46" s="228">
        <v>0</v>
      </c>
      <c r="AQ46" s="230">
        <v>75970</v>
      </c>
      <c r="AR46" s="230">
        <v>66423</v>
      </c>
      <c r="AS46" s="230">
        <v>9547</v>
      </c>
      <c r="AT46" s="229">
        <v>0.14369999999999999</v>
      </c>
      <c r="AU46" s="230">
        <v>31809</v>
      </c>
      <c r="AV46" s="230">
        <v>30284</v>
      </c>
      <c r="AW46" s="230">
        <v>1525</v>
      </c>
      <c r="AX46" s="229">
        <v>5.04E-2</v>
      </c>
      <c r="AY46" s="230">
        <v>42111</v>
      </c>
      <c r="AZ46" s="230">
        <v>34938</v>
      </c>
      <c r="BA46" s="230">
        <v>7173</v>
      </c>
      <c r="BB46" s="229">
        <v>0.20530000000000001</v>
      </c>
      <c r="BC46" s="230">
        <v>2050</v>
      </c>
      <c r="BD46" s="230">
        <v>1201</v>
      </c>
      <c r="BE46" s="228">
        <v>849</v>
      </c>
      <c r="BF46" s="229">
        <v>0.70689999999999997</v>
      </c>
      <c r="BG46" s="230">
        <v>133467</v>
      </c>
      <c r="BH46" s="230">
        <v>103342</v>
      </c>
      <c r="BI46" s="230">
        <v>30125</v>
      </c>
      <c r="BJ46" s="229">
        <v>0.29149999999999998</v>
      </c>
      <c r="BK46" s="230">
        <v>83432</v>
      </c>
      <c r="BL46" s="230">
        <v>50356</v>
      </c>
      <c r="BM46" s="230">
        <v>33076</v>
      </c>
      <c r="BN46" s="229">
        <v>0.65680000000000005</v>
      </c>
      <c r="BO46" s="230">
        <v>292869</v>
      </c>
      <c r="BP46" s="230">
        <v>220121</v>
      </c>
      <c r="BQ46" s="230">
        <v>72748</v>
      </c>
      <c r="BR46" s="229">
        <v>0.33050000000000002</v>
      </c>
      <c r="BS46" s="230">
        <v>3087218</v>
      </c>
      <c r="BT46" s="230">
        <v>2980533</v>
      </c>
      <c r="BU46" s="230">
        <v>106685</v>
      </c>
      <c r="BV46" s="229">
        <v>3.5799999999999998E-2</v>
      </c>
      <c r="BW46" s="230">
        <v>28867650</v>
      </c>
      <c r="BX46" s="230">
        <v>30241575</v>
      </c>
      <c r="BY46" s="230">
        <v>-1373925</v>
      </c>
      <c r="BZ46" s="229">
        <v>-4.5400000000000003E-2</v>
      </c>
      <c r="CA46" s="230">
        <v>2501450</v>
      </c>
      <c r="CB46" s="230">
        <v>5515825</v>
      </c>
      <c r="CC46" s="230">
        <v>-3014375</v>
      </c>
      <c r="CD46" s="229">
        <v>-0.54649999999999999</v>
      </c>
      <c r="CE46" s="230">
        <v>26630975</v>
      </c>
      <c r="CF46" s="230">
        <v>22704675</v>
      </c>
      <c r="CG46" s="230">
        <v>3926300</v>
      </c>
      <c r="CH46" s="229">
        <v>0.1729</v>
      </c>
      <c r="CI46" s="230">
        <v>2236675</v>
      </c>
      <c r="CJ46" s="230">
        <v>2021075</v>
      </c>
      <c r="CK46" s="230">
        <v>215600</v>
      </c>
      <c r="CL46" s="229">
        <v>0.1067</v>
      </c>
      <c r="CM46" s="230">
        <v>11860800</v>
      </c>
      <c r="CN46" s="230">
        <v>23809975</v>
      </c>
      <c r="CO46" s="230">
        <v>-11949175</v>
      </c>
      <c r="CP46" s="229">
        <v>-0.50190000000000001</v>
      </c>
      <c r="CQ46" s="230">
        <v>9025450</v>
      </c>
      <c r="CR46" s="230">
        <v>13620425</v>
      </c>
      <c r="CS46" s="230">
        <v>-4594975</v>
      </c>
      <c r="CT46" s="229">
        <v>-0.33739999999999998</v>
      </c>
      <c r="CU46" s="230">
        <v>49753900</v>
      </c>
      <c r="CV46" s="230">
        <v>67671975</v>
      </c>
      <c r="CW46" s="230">
        <v>-17918075</v>
      </c>
      <c r="CX46" s="229">
        <v>-0.26479999999999998</v>
      </c>
      <c r="CY46" s="228">
        <v>20.11</v>
      </c>
      <c r="CZ46" s="228">
        <v>20.99</v>
      </c>
      <c r="DA46" s="228">
        <v>-0.88</v>
      </c>
      <c r="DB46" s="228">
        <v>-0.88</v>
      </c>
      <c r="DC46" s="228">
        <v>24.63</v>
      </c>
      <c r="DD46" s="228">
        <v>24.68</v>
      </c>
      <c r="DE46" s="228">
        <v>-4.5199999999999996</v>
      </c>
      <c r="DF46" s="228">
        <v>-0.05</v>
      </c>
      <c r="DG46" s="228">
        <v>20.11</v>
      </c>
      <c r="DH46" s="228">
        <v>20.97</v>
      </c>
      <c r="DI46" s="228">
        <v>-0.86</v>
      </c>
      <c r="DJ46" s="228">
        <v>-0.86</v>
      </c>
      <c r="DK46" s="228">
        <v>20.100000000000001</v>
      </c>
      <c r="DL46" s="228">
        <v>21.03</v>
      </c>
      <c r="DM46" s="228">
        <v>-0.93</v>
      </c>
      <c r="DN46" s="228">
        <v>-0.93</v>
      </c>
      <c r="DO46" s="228">
        <v>0.76</v>
      </c>
      <c r="DP46" s="228">
        <v>0.56999999999999995</v>
      </c>
      <c r="DQ46" s="228">
        <v>0.19</v>
      </c>
      <c r="DR46" s="229">
        <v>0.33329999999999999</v>
      </c>
      <c r="DS46" s="231">
        <v>3200</v>
      </c>
      <c r="DT46" s="231">
        <v>3000</v>
      </c>
      <c r="DU46" s="228">
        <v>0.63</v>
      </c>
      <c r="DV46" s="228">
        <v>0.49</v>
      </c>
      <c r="DW46" s="228">
        <v>0.14000000000000001</v>
      </c>
      <c r="DX46" s="229">
        <v>0.28570000000000001</v>
      </c>
      <c r="DY46" s="229">
        <v>0.92030000000000001</v>
      </c>
      <c r="DZ46" s="230">
        <v>24725750</v>
      </c>
      <c r="EA46" s="229">
        <v>6.1000000000000004E-3</v>
      </c>
      <c r="EB46" s="229">
        <v>0.92030000000000001</v>
      </c>
      <c r="EC46" s="228">
        <v>15.87</v>
      </c>
      <c r="ED46" s="229">
        <v>5.1999999999999998E-3</v>
      </c>
      <c r="EE46" s="230">
        <v>1923486</v>
      </c>
      <c r="EF46" s="230">
        <v>2356833</v>
      </c>
      <c r="EG46" s="229">
        <v>-0.18390000000000001</v>
      </c>
      <c r="EH46" s="229">
        <v>0.623</v>
      </c>
      <c r="EI46" s="231">
        <v>749174.83</v>
      </c>
      <c r="EJ46" s="231">
        <v>460225.52</v>
      </c>
      <c r="EK46" s="231">
        <v>404648.72</v>
      </c>
      <c r="EL46" s="228">
        <v>0</v>
      </c>
      <c r="EM46" s="231">
        <v>1614049.07</v>
      </c>
      <c r="EN46" s="231">
        <v>1218025.49</v>
      </c>
      <c r="EO46" s="231">
        <v>396023.58</v>
      </c>
      <c r="EP46" s="229">
        <v>0.3251</v>
      </c>
      <c r="EQ46" s="231">
        <v>386672</v>
      </c>
      <c r="ER46" s="231">
        <v>280958</v>
      </c>
      <c r="ES46" s="231">
        <v>881423</v>
      </c>
      <c r="ET46" s="231">
        <v>204305778</v>
      </c>
      <c r="EU46" s="231">
        <v>1549054</v>
      </c>
      <c r="EV46" s="231">
        <v>2155301</v>
      </c>
      <c r="EW46" s="231">
        <v>-606247</v>
      </c>
      <c r="EX46" s="229">
        <v>-0.28129999999999999</v>
      </c>
      <c r="EY46" s="229">
        <v>0.24349999999999999</v>
      </c>
    </row>
    <row r="47" spans="1:155" ht="17.25" thickBot="1" x14ac:dyDescent="0.3">
      <c r="A47" s="226">
        <v>45869</v>
      </c>
      <c r="B47" s="227" t="s">
        <v>221</v>
      </c>
      <c r="C47" s="227" t="s">
        <v>296</v>
      </c>
      <c r="D47" s="231">
        <v>1469.4</v>
      </c>
      <c r="E47" s="231">
        <v>1470.5</v>
      </c>
      <c r="F47" s="228">
        <v>-1.1000000000000001</v>
      </c>
      <c r="G47" s="229">
        <v>-6.9999999999999999E-4</v>
      </c>
      <c r="H47" s="231">
        <v>1463.7</v>
      </c>
      <c r="I47" s="231">
        <v>1463.2</v>
      </c>
      <c r="J47" s="228">
        <v>0.5</v>
      </c>
      <c r="K47" s="229">
        <v>2.9999999999999997E-4</v>
      </c>
      <c r="L47" s="231">
        <v>1462.8</v>
      </c>
      <c r="M47" s="231">
        <v>1463.9</v>
      </c>
      <c r="N47" s="228">
        <v>-1.1000000000000001</v>
      </c>
      <c r="O47" s="229">
        <v>-8.0000000000000004E-4</v>
      </c>
      <c r="P47" s="231">
        <v>1469.4</v>
      </c>
      <c r="Q47" s="231">
        <v>1470.5</v>
      </c>
      <c r="R47" s="228">
        <v>-1.1000000000000001</v>
      </c>
      <c r="S47" s="229">
        <v>-6.9999999999999999E-4</v>
      </c>
      <c r="T47" s="231">
        <v>1478.4</v>
      </c>
      <c r="U47" s="231">
        <v>1479.6</v>
      </c>
      <c r="V47" s="228">
        <v>-1.2</v>
      </c>
      <c r="W47" s="229">
        <v>-8.0000000000000004E-4</v>
      </c>
      <c r="X47" s="228">
        <v>5.7</v>
      </c>
      <c r="Y47" s="228">
        <v>0.7</v>
      </c>
      <c r="Z47" s="228">
        <v>5</v>
      </c>
      <c r="AA47" s="229">
        <v>3.8999999999999998E-3</v>
      </c>
      <c r="AB47" s="228">
        <v>-0.9</v>
      </c>
      <c r="AC47" s="228">
        <v>0.7</v>
      </c>
      <c r="AD47" s="228">
        <v>-1.6</v>
      </c>
      <c r="AE47" s="229">
        <v>-5.9999999999999995E-4</v>
      </c>
      <c r="AF47" s="228">
        <v>5.7</v>
      </c>
      <c r="AG47" s="228">
        <v>7.3</v>
      </c>
      <c r="AH47" s="228">
        <v>-1.6</v>
      </c>
      <c r="AI47" s="229">
        <v>3.8999999999999998E-3</v>
      </c>
      <c r="AJ47" s="228">
        <v>14.7</v>
      </c>
      <c r="AK47" s="228">
        <v>16.399999999999999</v>
      </c>
      <c r="AL47" s="228">
        <v>-1.7</v>
      </c>
      <c r="AM47" s="229">
        <v>0.01</v>
      </c>
      <c r="AN47" s="231">
        <v>1461.03</v>
      </c>
      <c r="AO47" s="231">
        <v>1468.69</v>
      </c>
      <c r="AP47" s="228">
        <v>0</v>
      </c>
      <c r="AQ47" s="230">
        <v>13340</v>
      </c>
      <c r="AR47" s="230">
        <v>16820</v>
      </c>
      <c r="AS47" s="230">
        <v>-3480</v>
      </c>
      <c r="AT47" s="229">
        <v>-0.2069</v>
      </c>
      <c r="AU47" s="230">
        <v>5803</v>
      </c>
      <c r="AV47" s="230">
        <v>8249</v>
      </c>
      <c r="AW47" s="230">
        <v>-2446</v>
      </c>
      <c r="AX47" s="229">
        <v>-0.29649999999999999</v>
      </c>
      <c r="AY47" s="230">
        <v>7426</v>
      </c>
      <c r="AZ47" s="230">
        <v>8465</v>
      </c>
      <c r="BA47" s="230">
        <v>-1039</v>
      </c>
      <c r="BB47" s="229">
        <v>-0.1227</v>
      </c>
      <c r="BC47" s="228">
        <v>111</v>
      </c>
      <c r="BD47" s="228">
        <v>106</v>
      </c>
      <c r="BE47" s="228">
        <v>5</v>
      </c>
      <c r="BF47" s="229">
        <v>4.7199999999999999E-2</v>
      </c>
      <c r="BG47" s="230">
        <v>12119</v>
      </c>
      <c r="BH47" s="230">
        <v>13616</v>
      </c>
      <c r="BI47" s="230">
        <v>-1497</v>
      </c>
      <c r="BJ47" s="229">
        <v>-0.1099</v>
      </c>
      <c r="BK47" s="230">
        <v>6002</v>
      </c>
      <c r="BL47" s="230">
        <v>5179</v>
      </c>
      <c r="BM47" s="228">
        <v>823</v>
      </c>
      <c r="BN47" s="229">
        <v>0.15890000000000001</v>
      </c>
      <c r="BO47" s="230">
        <v>31461</v>
      </c>
      <c r="BP47" s="230">
        <v>35615</v>
      </c>
      <c r="BQ47" s="230">
        <v>-4154</v>
      </c>
      <c r="BR47" s="229">
        <v>-0.1166</v>
      </c>
      <c r="BS47" s="230">
        <v>1403526</v>
      </c>
      <c r="BT47" s="230">
        <v>1339041</v>
      </c>
      <c r="BU47" s="230">
        <v>64485</v>
      </c>
      <c r="BV47" s="229">
        <v>4.82E-2</v>
      </c>
      <c r="BW47" s="230">
        <v>16567800</v>
      </c>
      <c r="BX47" s="230">
        <v>18790200</v>
      </c>
      <c r="BY47" s="230">
        <v>-2222400</v>
      </c>
      <c r="BZ47" s="229">
        <v>-0.1183</v>
      </c>
      <c r="CA47" s="230">
        <v>1974600</v>
      </c>
      <c r="CB47" s="230">
        <v>4183800</v>
      </c>
      <c r="CC47" s="230">
        <v>-2209200</v>
      </c>
      <c r="CD47" s="229">
        <v>-0.52800000000000002</v>
      </c>
      <c r="CE47" s="230">
        <v>15948000</v>
      </c>
      <c r="CF47" s="230">
        <v>14022000</v>
      </c>
      <c r="CG47" s="230">
        <v>1926000</v>
      </c>
      <c r="CH47" s="229">
        <v>0.13739999999999999</v>
      </c>
      <c r="CI47" s="230">
        <v>619800</v>
      </c>
      <c r="CJ47" s="230">
        <v>584400</v>
      </c>
      <c r="CK47" s="230">
        <v>35400</v>
      </c>
      <c r="CL47" s="229">
        <v>6.0600000000000001E-2</v>
      </c>
      <c r="CM47" s="230">
        <v>4192200</v>
      </c>
      <c r="CN47" s="230">
        <v>12474000</v>
      </c>
      <c r="CO47" s="230">
        <v>-8281800</v>
      </c>
      <c r="CP47" s="229">
        <v>-0.66390000000000005</v>
      </c>
      <c r="CQ47" s="230">
        <v>2659200</v>
      </c>
      <c r="CR47" s="230">
        <v>6013200</v>
      </c>
      <c r="CS47" s="230">
        <v>-3354000</v>
      </c>
      <c r="CT47" s="229">
        <v>-0.55779999999999996</v>
      </c>
      <c r="CU47" s="230">
        <v>23419200</v>
      </c>
      <c r="CV47" s="230">
        <v>37277400</v>
      </c>
      <c r="CW47" s="230">
        <v>-13858200</v>
      </c>
      <c r="CX47" s="229">
        <v>-0.37180000000000002</v>
      </c>
      <c r="CY47" s="228">
        <v>23.09</v>
      </c>
      <c r="CZ47" s="228">
        <v>23.63</v>
      </c>
      <c r="DA47" s="228">
        <v>-0.54</v>
      </c>
      <c r="DB47" s="228">
        <v>-0.54</v>
      </c>
      <c r="DC47" s="228">
        <v>31.19</v>
      </c>
      <c r="DD47" s="228">
        <v>31.27</v>
      </c>
      <c r="DE47" s="228">
        <v>-8.1</v>
      </c>
      <c r="DF47" s="228">
        <v>-0.08</v>
      </c>
      <c r="DG47" s="228">
        <v>23.39</v>
      </c>
      <c r="DH47" s="228">
        <v>23.78</v>
      </c>
      <c r="DI47" s="228">
        <v>-0.39</v>
      </c>
      <c r="DJ47" s="228">
        <v>-0.39</v>
      </c>
      <c r="DK47" s="228">
        <v>22.45</v>
      </c>
      <c r="DL47" s="228">
        <v>23.38</v>
      </c>
      <c r="DM47" s="228">
        <v>-0.93</v>
      </c>
      <c r="DN47" s="228">
        <v>-0.93</v>
      </c>
      <c r="DO47" s="228">
        <v>0.63</v>
      </c>
      <c r="DP47" s="228">
        <v>0.48</v>
      </c>
      <c r="DQ47" s="228">
        <v>0.15</v>
      </c>
      <c r="DR47" s="229">
        <v>0.3125</v>
      </c>
      <c r="DS47" s="231">
        <v>1600</v>
      </c>
      <c r="DT47" s="231">
        <v>1390</v>
      </c>
      <c r="DU47" s="228">
        <v>0.5</v>
      </c>
      <c r="DV47" s="228">
        <v>0.38</v>
      </c>
      <c r="DW47" s="228">
        <v>0.12</v>
      </c>
      <c r="DX47" s="229">
        <v>0.31580000000000003</v>
      </c>
      <c r="DY47" s="229">
        <v>0.89349999999999996</v>
      </c>
      <c r="DZ47" s="230">
        <v>14606400</v>
      </c>
      <c r="EA47" s="229">
        <v>4.4999999999999997E-3</v>
      </c>
      <c r="EB47" s="229">
        <v>0.89349999999999996</v>
      </c>
      <c r="EC47" s="228">
        <v>7.66</v>
      </c>
      <c r="ED47" s="229">
        <v>5.1999999999999998E-3</v>
      </c>
      <c r="EE47" s="230">
        <v>865269</v>
      </c>
      <c r="EF47" s="230">
        <v>850266</v>
      </c>
      <c r="EG47" s="229">
        <v>1.7600000000000001E-2</v>
      </c>
      <c r="EH47" s="229">
        <v>0.61650000000000005</v>
      </c>
      <c r="EI47" s="231">
        <v>112808.13</v>
      </c>
      <c r="EJ47" s="231">
        <v>54571.26</v>
      </c>
      <c r="EK47" s="231">
        <v>117292.9</v>
      </c>
      <c r="EL47" s="228">
        <v>0</v>
      </c>
      <c r="EM47" s="231">
        <v>284672.28999999998</v>
      </c>
      <c r="EN47" s="231">
        <v>321199.7</v>
      </c>
      <c r="EO47" s="231">
        <v>-36527.410000000003</v>
      </c>
      <c r="EP47" s="229">
        <v>-0.1137</v>
      </c>
      <c r="EQ47" s="231">
        <v>65724</v>
      </c>
      <c r="ER47" s="231">
        <v>39166</v>
      </c>
      <c r="ES47" s="231">
        <v>243503</v>
      </c>
      <c r="ET47" s="231">
        <v>127258876</v>
      </c>
      <c r="EU47" s="231">
        <v>348393</v>
      </c>
      <c r="EV47" s="231">
        <v>567868</v>
      </c>
      <c r="EW47" s="231">
        <v>-219475</v>
      </c>
      <c r="EX47" s="229">
        <v>-0.38650000000000001</v>
      </c>
      <c r="EY47" s="229">
        <v>0.184</v>
      </c>
    </row>
    <row r="48" spans="1:155" ht="17.25" thickBot="1" x14ac:dyDescent="0.3">
      <c r="A48" s="226">
        <v>45869</v>
      </c>
      <c r="B48" s="227" t="s">
        <v>168</v>
      </c>
      <c r="C48" s="227" t="s">
        <v>297</v>
      </c>
      <c r="D48" s="231">
        <v>3359.1</v>
      </c>
      <c r="E48" s="231">
        <v>3396.5</v>
      </c>
      <c r="F48" s="228">
        <v>-37.4</v>
      </c>
      <c r="G48" s="229">
        <v>-1.0999999999999999E-2</v>
      </c>
      <c r="H48" s="231">
        <v>3347.3</v>
      </c>
      <c r="I48" s="231">
        <v>3376.5</v>
      </c>
      <c r="J48" s="228">
        <v>-29.2</v>
      </c>
      <c r="K48" s="229">
        <v>-8.6E-3</v>
      </c>
      <c r="L48" s="231">
        <v>3341.8</v>
      </c>
      <c r="M48" s="231">
        <v>3377.4</v>
      </c>
      <c r="N48" s="228">
        <v>-35.6</v>
      </c>
      <c r="O48" s="229">
        <v>-1.0500000000000001E-2</v>
      </c>
      <c r="P48" s="231">
        <v>3359.1</v>
      </c>
      <c r="Q48" s="231">
        <v>3396.5</v>
      </c>
      <c r="R48" s="228">
        <v>-37.4</v>
      </c>
      <c r="S48" s="229">
        <v>-1.0999999999999999E-2</v>
      </c>
      <c r="T48" s="231">
        <v>3378.8</v>
      </c>
      <c r="U48" s="231">
        <v>3416</v>
      </c>
      <c r="V48" s="228">
        <v>-37.200000000000003</v>
      </c>
      <c r="W48" s="229">
        <v>-1.09E-2</v>
      </c>
      <c r="X48" s="228">
        <v>11.8</v>
      </c>
      <c r="Y48" s="228">
        <v>0.9</v>
      </c>
      <c r="Z48" s="228">
        <v>10.9</v>
      </c>
      <c r="AA48" s="229">
        <v>3.5000000000000001E-3</v>
      </c>
      <c r="AB48" s="228">
        <v>-5.5</v>
      </c>
      <c r="AC48" s="228">
        <v>0.9</v>
      </c>
      <c r="AD48" s="228">
        <v>-6.4</v>
      </c>
      <c r="AE48" s="229">
        <v>-1.6000000000000001E-3</v>
      </c>
      <c r="AF48" s="228">
        <v>11.8</v>
      </c>
      <c r="AG48" s="228">
        <v>20</v>
      </c>
      <c r="AH48" s="228">
        <v>-8.1999999999999993</v>
      </c>
      <c r="AI48" s="229">
        <v>3.5000000000000001E-3</v>
      </c>
      <c r="AJ48" s="228">
        <v>31.5</v>
      </c>
      <c r="AK48" s="228">
        <v>39.5</v>
      </c>
      <c r="AL48" s="228">
        <v>-8</v>
      </c>
      <c r="AM48" s="229">
        <v>9.4000000000000004E-3</v>
      </c>
      <c r="AN48" s="231">
        <v>3346.7</v>
      </c>
      <c r="AO48" s="231">
        <v>3361.89</v>
      </c>
      <c r="AP48" s="228">
        <v>0</v>
      </c>
      <c r="AQ48" s="230">
        <v>28597</v>
      </c>
      <c r="AR48" s="230">
        <v>40374</v>
      </c>
      <c r="AS48" s="230">
        <v>-11777</v>
      </c>
      <c r="AT48" s="229">
        <v>-0.29170000000000001</v>
      </c>
      <c r="AU48" s="230">
        <v>13131</v>
      </c>
      <c r="AV48" s="230">
        <v>19700</v>
      </c>
      <c r="AW48" s="230">
        <v>-6569</v>
      </c>
      <c r="AX48" s="229">
        <v>-0.33350000000000002</v>
      </c>
      <c r="AY48" s="230">
        <v>15346</v>
      </c>
      <c r="AZ48" s="230">
        <v>20532</v>
      </c>
      <c r="BA48" s="230">
        <v>-5186</v>
      </c>
      <c r="BB48" s="229">
        <v>-0.25259999999999999</v>
      </c>
      <c r="BC48" s="228">
        <v>120</v>
      </c>
      <c r="BD48" s="228">
        <v>142</v>
      </c>
      <c r="BE48" s="228">
        <v>-22</v>
      </c>
      <c r="BF48" s="229">
        <v>-0.15490000000000001</v>
      </c>
      <c r="BG48" s="230">
        <v>20370</v>
      </c>
      <c r="BH48" s="230">
        <v>17547</v>
      </c>
      <c r="BI48" s="230">
        <v>2823</v>
      </c>
      <c r="BJ48" s="229">
        <v>0.16089999999999999</v>
      </c>
      <c r="BK48" s="230">
        <v>14840</v>
      </c>
      <c r="BL48" s="230">
        <v>9158</v>
      </c>
      <c r="BM48" s="230">
        <v>5682</v>
      </c>
      <c r="BN48" s="229">
        <v>0.62039999999999995</v>
      </c>
      <c r="BO48" s="230">
        <v>63807</v>
      </c>
      <c r="BP48" s="230">
        <v>67079</v>
      </c>
      <c r="BQ48" s="230">
        <v>-3272</v>
      </c>
      <c r="BR48" s="229">
        <v>-4.8800000000000003E-2</v>
      </c>
      <c r="BS48" s="230">
        <v>569832</v>
      </c>
      <c r="BT48" s="230">
        <v>466106</v>
      </c>
      <c r="BU48" s="230">
        <v>103726</v>
      </c>
      <c r="BV48" s="229">
        <v>0.2225</v>
      </c>
      <c r="BW48" s="230">
        <v>9788975</v>
      </c>
      <c r="BX48" s="230">
        <v>10399025</v>
      </c>
      <c r="BY48" s="230">
        <v>-610050</v>
      </c>
      <c r="BZ48" s="229">
        <v>-5.8700000000000002E-2</v>
      </c>
      <c r="CA48" s="230">
        <v>503825</v>
      </c>
      <c r="CB48" s="230">
        <v>1556450</v>
      </c>
      <c r="CC48" s="230">
        <v>-1052625</v>
      </c>
      <c r="CD48" s="229">
        <v>-0.67630000000000001</v>
      </c>
      <c r="CE48" s="230">
        <v>9529625</v>
      </c>
      <c r="CF48" s="230">
        <v>8592500</v>
      </c>
      <c r="CG48" s="230">
        <v>937125</v>
      </c>
      <c r="CH48" s="229">
        <v>0.1091</v>
      </c>
      <c r="CI48" s="230">
        <v>259350</v>
      </c>
      <c r="CJ48" s="230">
        <v>250075</v>
      </c>
      <c r="CK48" s="230">
        <v>9275</v>
      </c>
      <c r="CL48" s="229">
        <v>3.7100000000000001E-2</v>
      </c>
      <c r="CM48" s="230">
        <v>1240050</v>
      </c>
      <c r="CN48" s="230">
        <v>4699800</v>
      </c>
      <c r="CO48" s="230">
        <v>-3459750</v>
      </c>
      <c r="CP48" s="229">
        <v>-0.73609999999999998</v>
      </c>
      <c r="CQ48" s="230">
        <v>1246875</v>
      </c>
      <c r="CR48" s="230">
        <v>2585275</v>
      </c>
      <c r="CS48" s="230">
        <v>-1338400</v>
      </c>
      <c r="CT48" s="229">
        <v>-0.51770000000000005</v>
      </c>
      <c r="CU48" s="230">
        <v>12275900</v>
      </c>
      <c r="CV48" s="230">
        <v>17684100</v>
      </c>
      <c r="CW48" s="230">
        <v>-5408200</v>
      </c>
      <c r="CX48" s="229">
        <v>-0.30580000000000002</v>
      </c>
      <c r="CY48" s="228">
        <v>23.85</v>
      </c>
      <c r="CZ48" s="228">
        <v>24.18</v>
      </c>
      <c r="DA48" s="228">
        <v>-0.33</v>
      </c>
      <c r="DB48" s="228">
        <v>-0.33</v>
      </c>
      <c r="DC48" s="228">
        <v>27.25</v>
      </c>
      <c r="DD48" s="228">
        <v>27.29</v>
      </c>
      <c r="DE48" s="228">
        <v>-3.4</v>
      </c>
      <c r="DF48" s="228">
        <v>-0.04</v>
      </c>
      <c r="DG48" s="228">
        <v>23.93</v>
      </c>
      <c r="DH48" s="228">
        <v>23.95</v>
      </c>
      <c r="DI48" s="228">
        <v>-0.02</v>
      </c>
      <c r="DJ48" s="228">
        <v>-0.02</v>
      </c>
      <c r="DK48" s="228">
        <v>23.76</v>
      </c>
      <c r="DL48" s="228">
        <v>24.48</v>
      </c>
      <c r="DM48" s="228">
        <v>-0.72</v>
      </c>
      <c r="DN48" s="228">
        <v>-0.72</v>
      </c>
      <c r="DO48" s="228">
        <v>1.01</v>
      </c>
      <c r="DP48" s="228">
        <v>0.55000000000000004</v>
      </c>
      <c r="DQ48" s="228">
        <v>0.46</v>
      </c>
      <c r="DR48" s="229">
        <v>0.83640000000000003</v>
      </c>
      <c r="DS48" s="231">
        <v>4000</v>
      </c>
      <c r="DT48" s="231">
        <v>3500</v>
      </c>
      <c r="DU48" s="228">
        <v>0.73</v>
      </c>
      <c r="DV48" s="228">
        <v>0.52</v>
      </c>
      <c r="DW48" s="228">
        <v>0.21</v>
      </c>
      <c r="DX48" s="229">
        <v>0.40379999999999999</v>
      </c>
      <c r="DY48" s="229">
        <v>0.95109999999999995</v>
      </c>
      <c r="DZ48" s="230">
        <v>8842575</v>
      </c>
      <c r="EA48" s="229">
        <v>5.1999999999999998E-3</v>
      </c>
      <c r="EB48" s="229">
        <v>0.95109999999999995</v>
      </c>
      <c r="EC48" s="228">
        <v>15.19</v>
      </c>
      <c r="ED48" s="229">
        <v>4.4999999999999997E-3</v>
      </c>
      <c r="EE48" s="230">
        <v>299192</v>
      </c>
      <c r="EF48" s="230">
        <v>238592</v>
      </c>
      <c r="EG48" s="229">
        <v>0.254</v>
      </c>
      <c r="EH48" s="229">
        <v>0.52510000000000001</v>
      </c>
      <c r="EI48" s="231">
        <v>125318.96</v>
      </c>
      <c r="EJ48" s="231">
        <v>89231.31</v>
      </c>
      <c r="EK48" s="231">
        <v>167899.87</v>
      </c>
      <c r="EL48" s="228">
        <v>0</v>
      </c>
      <c r="EM48" s="231">
        <v>382450.14</v>
      </c>
      <c r="EN48" s="231">
        <v>400926.92</v>
      </c>
      <c r="EO48" s="231">
        <v>-18476.78</v>
      </c>
      <c r="EP48" s="229">
        <v>-4.6100000000000002E-2</v>
      </c>
      <c r="EQ48" s="231">
        <v>44193</v>
      </c>
      <c r="ER48" s="231">
        <v>41817</v>
      </c>
      <c r="ES48" s="231">
        <v>328873</v>
      </c>
      <c r="ET48" s="231">
        <v>83488668</v>
      </c>
      <c r="EU48" s="231">
        <v>414883</v>
      </c>
      <c r="EV48" s="231">
        <v>612554</v>
      </c>
      <c r="EW48" s="231">
        <v>-197671</v>
      </c>
      <c r="EX48" s="229">
        <v>-0.32269999999999999</v>
      </c>
      <c r="EY48" s="229">
        <v>0.14699999999999999</v>
      </c>
    </row>
    <row r="49" spans="1:155" ht="17.25" thickBot="1" x14ac:dyDescent="0.3">
      <c r="A49" s="226">
        <v>45869</v>
      </c>
      <c r="B49" s="227" t="s">
        <v>197</v>
      </c>
      <c r="C49" s="227" t="s">
        <v>482</v>
      </c>
      <c r="D49" s="231">
        <v>5040.5</v>
      </c>
      <c r="E49" s="231">
        <v>5065.5</v>
      </c>
      <c r="F49" s="228">
        <v>-25</v>
      </c>
      <c r="G49" s="229">
        <v>-4.8999999999999998E-3</v>
      </c>
      <c r="H49" s="231">
        <v>5018</v>
      </c>
      <c r="I49" s="231">
        <v>5043.5</v>
      </c>
      <c r="J49" s="228">
        <v>-25.5</v>
      </c>
      <c r="K49" s="229">
        <v>-5.1000000000000004E-3</v>
      </c>
      <c r="L49" s="231">
        <v>5018</v>
      </c>
      <c r="M49" s="231">
        <v>5041</v>
      </c>
      <c r="N49" s="228">
        <v>-23</v>
      </c>
      <c r="O49" s="229">
        <v>-4.5999999999999999E-3</v>
      </c>
      <c r="P49" s="231">
        <v>5040.5</v>
      </c>
      <c r="Q49" s="231">
        <v>5065.5</v>
      </c>
      <c r="R49" s="228">
        <v>-25</v>
      </c>
      <c r="S49" s="229">
        <v>-4.8999999999999998E-3</v>
      </c>
      <c r="T49" s="231">
        <v>5070.5</v>
      </c>
      <c r="U49" s="231">
        <v>5095.5</v>
      </c>
      <c r="V49" s="228">
        <v>-25</v>
      </c>
      <c r="W49" s="229">
        <v>-4.8999999999999998E-3</v>
      </c>
      <c r="X49" s="228">
        <v>22.5</v>
      </c>
      <c r="Y49" s="228">
        <v>-2.5</v>
      </c>
      <c r="Z49" s="228">
        <v>25</v>
      </c>
      <c r="AA49" s="229">
        <v>4.4999999999999997E-3</v>
      </c>
      <c r="AB49" s="228">
        <v>0</v>
      </c>
      <c r="AC49" s="228">
        <v>-2.5</v>
      </c>
      <c r="AD49" s="228">
        <v>2.5</v>
      </c>
      <c r="AE49" s="229">
        <v>0</v>
      </c>
      <c r="AF49" s="228">
        <v>22.5</v>
      </c>
      <c r="AG49" s="228">
        <v>22</v>
      </c>
      <c r="AH49" s="228">
        <v>0.5</v>
      </c>
      <c r="AI49" s="229">
        <v>4.4999999999999997E-3</v>
      </c>
      <c r="AJ49" s="228">
        <v>52.5</v>
      </c>
      <c r="AK49" s="228">
        <v>52</v>
      </c>
      <c r="AL49" s="228">
        <v>0.5</v>
      </c>
      <c r="AM49" s="229">
        <v>1.0500000000000001E-2</v>
      </c>
      <c r="AN49" s="231">
        <v>5030.26</v>
      </c>
      <c r="AO49" s="231">
        <v>5052.99</v>
      </c>
      <c r="AP49" s="228">
        <v>0</v>
      </c>
      <c r="AQ49" s="230">
        <v>29462</v>
      </c>
      <c r="AR49" s="230">
        <v>37346</v>
      </c>
      <c r="AS49" s="230">
        <v>-7884</v>
      </c>
      <c r="AT49" s="229">
        <v>-0.21110000000000001</v>
      </c>
      <c r="AU49" s="230">
        <v>13398</v>
      </c>
      <c r="AV49" s="230">
        <v>18486</v>
      </c>
      <c r="AW49" s="230">
        <v>-5088</v>
      </c>
      <c r="AX49" s="229">
        <v>-0.2752</v>
      </c>
      <c r="AY49" s="230">
        <v>15618</v>
      </c>
      <c r="AZ49" s="230">
        <v>18357</v>
      </c>
      <c r="BA49" s="230">
        <v>-2739</v>
      </c>
      <c r="BB49" s="229">
        <v>-0.1492</v>
      </c>
      <c r="BC49" s="228">
        <v>446</v>
      </c>
      <c r="BD49" s="228">
        <v>503</v>
      </c>
      <c r="BE49" s="228">
        <v>-57</v>
      </c>
      <c r="BF49" s="229">
        <v>-0.1133</v>
      </c>
      <c r="BG49" s="230">
        <v>54859</v>
      </c>
      <c r="BH49" s="230">
        <v>70718</v>
      </c>
      <c r="BI49" s="230">
        <v>-15859</v>
      </c>
      <c r="BJ49" s="229">
        <v>-0.2243</v>
      </c>
      <c r="BK49" s="230">
        <v>22974</v>
      </c>
      <c r="BL49" s="230">
        <v>27179</v>
      </c>
      <c r="BM49" s="230">
        <v>-4205</v>
      </c>
      <c r="BN49" s="229">
        <v>-0.1547</v>
      </c>
      <c r="BO49" s="230">
        <v>107295</v>
      </c>
      <c r="BP49" s="230">
        <v>135243</v>
      </c>
      <c r="BQ49" s="230">
        <v>-27948</v>
      </c>
      <c r="BR49" s="229">
        <v>-0.20669999999999999</v>
      </c>
      <c r="BS49" s="230">
        <v>789068</v>
      </c>
      <c r="BT49" s="230">
        <v>659756</v>
      </c>
      <c r="BU49" s="230">
        <v>129312</v>
      </c>
      <c r="BV49" s="229">
        <v>0.19600000000000001</v>
      </c>
      <c r="BW49" s="230">
        <v>7104100</v>
      </c>
      <c r="BX49" s="230">
        <v>8164500</v>
      </c>
      <c r="BY49" s="230">
        <v>-1060400</v>
      </c>
      <c r="BZ49" s="229">
        <v>-0.12989999999999999</v>
      </c>
      <c r="CA49" s="230">
        <v>889100</v>
      </c>
      <c r="CB49" s="230">
        <v>1872800</v>
      </c>
      <c r="CC49" s="230">
        <v>-983700</v>
      </c>
      <c r="CD49" s="229">
        <v>-0.52529999999999999</v>
      </c>
      <c r="CE49" s="230">
        <v>6902500</v>
      </c>
      <c r="CF49" s="230">
        <v>6108700</v>
      </c>
      <c r="CG49" s="230">
        <v>793800</v>
      </c>
      <c r="CH49" s="229">
        <v>0.12989999999999999</v>
      </c>
      <c r="CI49" s="230">
        <v>201600</v>
      </c>
      <c r="CJ49" s="230">
        <v>183000</v>
      </c>
      <c r="CK49" s="230">
        <v>18600</v>
      </c>
      <c r="CL49" s="229">
        <v>0.1016</v>
      </c>
      <c r="CM49" s="230">
        <v>1675700</v>
      </c>
      <c r="CN49" s="230">
        <v>6346800</v>
      </c>
      <c r="CO49" s="230">
        <v>-4671100</v>
      </c>
      <c r="CP49" s="229">
        <v>-0.73599999999999999</v>
      </c>
      <c r="CQ49" s="230">
        <v>1300000</v>
      </c>
      <c r="CR49" s="230">
        <v>3054500</v>
      </c>
      <c r="CS49" s="230">
        <v>-1754500</v>
      </c>
      <c r="CT49" s="229">
        <v>-0.57440000000000002</v>
      </c>
      <c r="CU49" s="230">
        <v>10079800</v>
      </c>
      <c r="CV49" s="230">
        <v>17565800</v>
      </c>
      <c r="CW49" s="230">
        <v>-7486000</v>
      </c>
      <c r="CX49" s="229">
        <v>-0.42620000000000002</v>
      </c>
      <c r="CY49" s="228">
        <v>36.83</v>
      </c>
      <c r="CZ49" s="228">
        <v>37.21</v>
      </c>
      <c r="DA49" s="228">
        <v>-0.38</v>
      </c>
      <c r="DB49" s="228">
        <v>-0.38</v>
      </c>
      <c r="DC49" s="228">
        <v>48.84</v>
      </c>
      <c r="DD49" s="228">
        <v>48.96</v>
      </c>
      <c r="DE49" s="228">
        <v>-12.01</v>
      </c>
      <c r="DF49" s="228">
        <v>-0.12</v>
      </c>
      <c r="DG49" s="228">
        <v>37.020000000000003</v>
      </c>
      <c r="DH49" s="228">
        <v>37.119999999999997</v>
      </c>
      <c r="DI49" s="228">
        <v>-0.1</v>
      </c>
      <c r="DJ49" s="228">
        <v>-0.1</v>
      </c>
      <c r="DK49" s="228">
        <v>36.46</v>
      </c>
      <c r="DL49" s="228">
        <v>37.44</v>
      </c>
      <c r="DM49" s="228">
        <v>-0.98</v>
      </c>
      <c r="DN49" s="228">
        <v>-0.98</v>
      </c>
      <c r="DO49" s="228">
        <v>0.78</v>
      </c>
      <c r="DP49" s="228">
        <v>0.48</v>
      </c>
      <c r="DQ49" s="228">
        <v>0.3</v>
      </c>
      <c r="DR49" s="229">
        <v>0.625</v>
      </c>
      <c r="DS49" s="231">
        <v>6000</v>
      </c>
      <c r="DT49" s="231">
        <v>5000</v>
      </c>
      <c r="DU49" s="228">
        <v>0.42</v>
      </c>
      <c r="DV49" s="228">
        <v>0.38</v>
      </c>
      <c r="DW49" s="228">
        <v>0.04</v>
      </c>
      <c r="DX49" s="229">
        <v>0.1053</v>
      </c>
      <c r="DY49" s="229">
        <v>0.88880000000000003</v>
      </c>
      <c r="DZ49" s="230">
        <v>6291700</v>
      </c>
      <c r="EA49" s="229">
        <v>4.4999999999999997E-3</v>
      </c>
      <c r="EB49" s="229">
        <v>0.88880000000000003</v>
      </c>
      <c r="EC49" s="228">
        <v>22.73</v>
      </c>
      <c r="ED49" s="229">
        <v>4.4999999999999997E-3</v>
      </c>
      <c r="EE49" s="230">
        <v>438301</v>
      </c>
      <c r="EF49" s="230">
        <v>357548</v>
      </c>
      <c r="EG49" s="229">
        <v>0.22589999999999999</v>
      </c>
      <c r="EH49" s="229">
        <v>0.55549999999999999</v>
      </c>
      <c r="EI49" s="231">
        <v>304398.78000000003</v>
      </c>
      <c r="EJ49" s="231">
        <v>118845.62</v>
      </c>
      <c r="EK49" s="231">
        <v>148579.51999999999</v>
      </c>
      <c r="EL49" s="228">
        <v>0</v>
      </c>
      <c r="EM49" s="231">
        <v>571823.92000000004</v>
      </c>
      <c r="EN49" s="231">
        <v>710918.23</v>
      </c>
      <c r="EO49" s="231">
        <v>-139094.31</v>
      </c>
      <c r="EP49" s="229">
        <v>-0.19570000000000001</v>
      </c>
      <c r="EQ49" s="231">
        <v>92400</v>
      </c>
      <c r="ER49" s="231">
        <v>67032</v>
      </c>
      <c r="ES49" s="231">
        <v>358143</v>
      </c>
      <c r="ET49" s="231">
        <v>44787316</v>
      </c>
      <c r="EU49" s="231">
        <v>517575</v>
      </c>
      <c r="EV49" s="231">
        <v>943867</v>
      </c>
      <c r="EW49" s="231">
        <v>-426292</v>
      </c>
      <c r="EX49" s="229">
        <v>-0.4516</v>
      </c>
      <c r="EY49" s="229">
        <v>0.22509999999999999</v>
      </c>
    </row>
    <row r="50" spans="1:155" ht="17.25" thickBot="1" x14ac:dyDescent="0.3">
      <c r="A50" s="226">
        <v>45869</v>
      </c>
      <c r="B50" s="227" t="s">
        <v>157</v>
      </c>
      <c r="C50" s="227" t="s">
        <v>302</v>
      </c>
      <c r="D50" s="231">
        <v>12320</v>
      </c>
      <c r="E50" s="231">
        <v>12332</v>
      </c>
      <c r="F50" s="228">
        <v>-12</v>
      </c>
      <c r="G50" s="229">
        <v>-1E-3</v>
      </c>
      <c r="H50" s="231">
        <v>12249</v>
      </c>
      <c r="I50" s="231">
        <v>12268</v>
      </c>
      <c r="J50" s="228">
        <v>-19</v>
      </c>
      <c r="K50" s="229">
        <v>-1.5E-3</v>
      </c>
      <c r="L50" s="231">
        <v>12283</v>
      </c>
      <c r="M50" s="231">
        <v>12268</v>
      </c>
      <c r="N50" s="228">
        <v>15</v>
      </c>
      <c r="O50" s="229">
        <v>1.1999999999999999E-3</v>
      </c>
      <c r="P50" s="231">
        <v>12320</v>
      </c>
      <c r="Q50" s="231">
        <v>12332</v>
      </c>
      <c r="R50" s="228">
        <v>-12</v>
      </c>
      <c r="S50" s="229">
        <v>-1E-3</v>
      </c>
      <c r="T50" s="231">
        <v>12382</v>
      </c>
      <c r="U50" s="231">
        <v>12388</v>
      </c>
      <c r="V50" s="228">
        <v>-6</v>
      </c>
      <c r="W50" s="229">
        <v>-5.0000000000000001E-4</v>
      </c>
      <c r="X50" s="228">
        <v>71</v>
      </c>
      <c r="Y50" s="228">
        <v>0</v>
      </c>
      <c r="Z50" s="228">
        <v>71</v>
      </c>
      <c r="AA50" s="229">
        <v>5.7999999999999996E-3</v>
      </c>
      <c r="AB50" s="228">
        <v>34</v>
      </c>
      <c r="AC50" s="228">
        <v>0</v>
      </c>
      <c r="AD50" s="228">
        <v>34</v>
      </c>
      <c r="AE50" s="229">
        <v>2.8E-3</v>
      </c>
      <c r="AF50" s="228">
        <v>71</v>
      </c>
      <c r="AG50" s="228">
        <v>64</v>
      </c>
      <c r="AH50" s="228">
        <v>7</v>
      </c>
      <c r="AI50" s="229">
        <v>5.7999999999999996E-3</v>
      </c>
      <c r="AJ50" s="228">
        <v>133</v>
      </c>
      <c r="AK50" s="228">
        <v>120</v>
      </c>
      <c r="AL50" s="228">
        <v>13</v>
      </c>
      <c r="AM50" s="229">
        <v>1.09E-2</v>
      </c>
      <c r="AN50" s="231">
        <v>12269.87</v>
      </c>
      <c r="AO50" s="231">
        <v>12326.2</v>
      </c>
      <c r="AP50" s="228">
        <v>0</v>
      </c>
      <c r="AQ50" s="230">
        <v>10029</v>
      </c>
      <c r="AR50" s="230">
        <v>14687</v>
      </c>
      <c r="AS50" s="230">
        <v>-4658</v>
      </c>
      <c r="AT50" s="229">
        <v>-0.31719999999999998</v>
      </c>
      <c r="AU50" s="230">
        <v>4221</v>
      </c>
      <c r="AV50" s="230">
        <v>7340</v>
      </c>
      <c r="AW50" s="230">
        <v>-3119</v>
      </c>
      <c r="AX50" s="229">
        <v>-0.4249</v>
      </c>
      <c r="AY50" s="230">
        <v>5722</v>
      </c>
      <c r="AZ50" s="230">
        <v>7269</v>
      </c>
      <c r="BA50" s="230">
        <v>-1547</v>
      </c>
      <c r="BB50" s="229">
        <v>-0.21279999999999999</v>
      </c>
      <c r="BC50" s="228">
        <v>86</v>
      </c>
      <c r="BD50" s="228">
        <v>78</v>
      </c>
      <c r="BE50" s="228">
        <v>8</v>
      </c>
      <c r="BF50" s="229">
        <v>0.1026</v>
      </c>
      <c r="BG50" s="230">
        <v>19639</v>
      </c>
      <c r="BH50" s="230">
        <v>36978</v>
      </c>
      <c r="BI50" s="230">
        <v>-17339</v>
      </c>
      <c r="BJ50" s="229">
        <v>-0.46889999999999998</v>
      </c>
      <c r="BK50" s="230">
        <v>8362</v>
      </c>
      <c r="BL50" s="230">
        <v>10212</v>
      </c>
      <c r="BM50" s="230">
        <v>-1850</v>
      </c>
      <c r="BN50" s="229">
        <v>-0.1812</v>
      </c>
      <c r="BO50" s="230">
        <v>38030</v>
      </c>
      <c r="BP50" s="230">
        <v>61877</v>
      </c>
      <c r="BQ50" s="230">
        <v>-23847</v>
      </c>
      <c r="BR50" s="229">
        <v>-0.38540000000000002</v>
      </c>
      <c r="BS50" s="230">
        <v>153925</v>
      </c>
      <c r="BT50" s="230">
        <v>209738</v>
      </c>
      <c r="BU50" s="230">
        <v>-55813</v>
      </c>
      <c r="BV50" s="229">
        <v>-0.2661</v>
      </c>
      <c r="BW50" s="230">
        <v>2518000</v>
      </c>
      <c r="BX50" s="230">
        <v>2567350</v>
      </c>
      <c r="BY50" s="230">
        <v>-49350</v>
      </c>
      <c r="BZ50" s="229">
        <v>-1.9199999999999998E-2</v>
      </c>
      <c r="CA50" s="230">
        <v>46650</v>
      </c>
      <c r="CB50" s="230">
        <v>146800</v>
      </c>
      <c r="CC50" s="230">
        <v>-100150</v>
      </c>
      <c r="CD50" s="229">
        <v>-0.68220000000000003</v>
      </c>
      <c r="CE50" s="230">
        <v>2509000</v>
      </c>
      <c r="CF50" s="230">
        <v>2412850</v>
      </c>
      <c r="CG50" s="230">
        <v>96150</v>
      </c>
      <c r="CH50" s="229">
        <v>3.9800000000000002E-2</v>
      </c>
      <c r="CI50" s="230">
        <v>9000</v>
      </c>
      <c r="CJ50" s="230">
        <v>7700</v>
      </c>
      <c r="CK50" s="230">
        <v>1300</v>
      </c>
      <c r="CL50" s="229">
        <v>0.16880000000000001</v>
      </c>
      <c r="CM50" s="230">
        <v>254450</v>
      </c>
      <c r="CN50" s="230">
        <v>1225200</v>
      </c>
      <c r="CO50" s="230">
        <v>-970750</v>
      </c>
      <c r="CP50" s="229">
        <v>-0.7923</v>
      </c>
      <c r="CQ50" s="230">
        <v>133050</v>
      </c>
      <c r="CR50" s="230">
        <v>561050</v>
      </c>
      <c r="CS50" s="230">
        <v>-428000</v>
      </c>
      <c r="CT50" s="229">
        <v>-0.76290000000000002</v>
      </c>
      <c r="CU50" s="230">
        <v>2905500</v>
      </c>
      <c r="CV50" s="230">
        <v>4353600</v>
      </c>
      <c r="CW50" s="230">
        <v>-1448100</v>
      </c>
      <c r="CX50" s="229">
        <v>-0.33260000000000001</v>
      </c>
      <c r="CY50" s="228">
        <v>20.54</v>
      </c>
      <c r="CZ50" s="228">
        <v>20.52</v>
      </c>
      <c r="DA50" s="228">
        <v>0.02</v>
      </c>
      <c r="DB50" s="228">
        <v>0.02</v>
      </c>
      <c r="DC50" s="228">
        <v>26.62</v>
      </c>
      <c r="DD50" s="228">
        <v>26.68</v>
      </c>
      <c r="DE50" s="228">
        <v>-6.08</v>
      </c>
      <c r="DF50" s="228">
        <v>-0.06</v>
      </c>
      <c r="DG50" s="228">
        <v>20.350000000000001</v>
      </c>
      <c r="DH50" s="228">
        <v>20.57</v>
      </c>
      <c r="DI50" s="228">
        <v>-0.22</v>
      </c>
      <c r="DJ50" s="228">
        <v>-0.22</v>
      </c>
      <c r="DK50" s="228">
        <v>20.86</v>
      </c>
      <c r="DL50" s="228">
        <v>20.41</v>
      </c>
      <c r="DM50" s="228">
        <v>0.45</v>
      </c>
      <c r="DN50" s="228">
        <v>0.45</v>
      </c>
      <c r="DO50" s="228">
        <v>0.52</v>
      </c>
      <c r="DP50" s="228">
        <v>0.46</v>
      </c>
      <c r="DQ50" s="228">
        <v>0.06</v>
      </c>
      <c r="DR50" s="229">
        <v>0.13039999999999999</v>
      </c>
      <c r="DS50" s="231">
        <v>13800</v>
      </c>
      <c r="DT50" s="231">
        <v>11000</v>
      </c>
      <c r="DU50" s="228">
        <v>0.43</v>
      </c>
      <c r="DV50" s="228">
        <v>0.28000000000000003</v>
      </c>
      <c r="DW50" s="228">
        <v>0.15</v>
      </c>
      <c r="DX50" s="229">
        <v>0.53569999999999995</v>
      </c>
      <c r="DY50" s="229">
        <v>0.98180000000000001</v>
      </c>
      <c r="DZ50" s="230">
        <v>2420550</v>
      </c>
      <c r="EA50" s="229">
        <v>3.0000000000000001E-3</v>
      </c>
      <c r="EB50" s="229">
        <v>0.98180000000000001</v>
      </c>
      <c r="EC50" s="228">
        <v>56.33</v>
      </c>
      <c r="ED50" s="229">
        <v>4.5999999999999999E-3</v>
      </c>
      <c r="EE50" s="230">
        <v>79587</v>
      </c>
      <c r="EF50" s="230">
        <v>133142</v>
      </c>
      <c r="EG50" s="229">
        <v>-0.4022</v>
      </c>
      <c r="EH50" s="229">
        <v>0.5171</v>
      </c>
      <c r="EI50" s="231">
        <v>124599.94</v>
      </c>
      <c r="EJ50" s="231">
        <v>50376.74</v>
      </c>
      <c r="EK50" s="231">
        <v>61692.86</v>
      </c>
      <c r="EL50" s="228">
        <v>0</v>
      </c>
      <c r="EM50" s="231">
        <v>236669.54</v>
      </c>
      <c r="EN50" s="231">
        <v>386123.7</v>
      </c>
      <c r="EO50" s="231">
        <v>-149454.16</v>
      </c>
      <c r="EP50" s="229">
        <v>-0.3871</v>
      </c>
      <c r="EQ50" s="231">
        <v>32560</v>
      </c>
      <c r="ER50" s="231">
        <v>15776</v>
      </c>
      <c r="ES50" s="231">
        <v>310223</v>
      </c>
      <c r="ET50" s="231">
        <v>23922935</v>
      </c>
      <c r="EU50" s="231">
        <v>358560</v>
      </c>
      <c r="EV50" s="231">
        <v>539230</v>
      </c>
      <c r="EW50" s="231">
        <v>-180670</v>
      </c>
      <c r="EX50" s="229">
        <v>-0.33510000000000001</v>
      </c>
      <c r="EY50" s="229">
        <v>0.1215</v>
      </c>
    </row>
    <row r="51" spans="1:155" ht="17.25" thickBot="1" x14ac:dyDescent="0.3">
      <c r="A51" s="226">
        <v>45869</v>
      </c>
      <c r="B51" s="227" t="s">
        <v>221</v>
      </c>
      <c r="C51" s="227" t="s">
        <v>306</v>
      </c>
      <c r="D51" s="228">
        <v>248.25</v>
      </c>
      <c r="E51" s="228">
        <v>249.5</v>
      </c>
      <c r="F51" s="228">
        <v>-1.25</v>
      </c>
      <c r="G51" s="229">
        <v>-5.0000000000000001E-3</v>
      </c>
      <c r="H51" s="228">
        <v>248.3</v>
      </c>
      <c r="I51" s="228">
        <v>250.2</v>
      </c>
      <c r="J51" s="228">
        <v>-1.9</v>
      </c>
      <c r="K51" s="229">
        <v>-7.6E-3</v>
      </c>
      <c r="L51" s="228">
        <v>248.2</v>
      </c>
      <c r="M51" s="228">
        <v>250.4</v>
      </c>
      <c r="N51" s="228">
        <v>-2.2000000000000002</v>
      </c>
      <c r="O51" s="229">
        <v>-8.8000000000000005E-3</v>
      </c>
      <c r="P51" s="228">
        <v>248.25</v>
      </c>
      <c r="Q51" s="228">
        <v>249.5</v>
      </c>
      <c r="R51" s="228">
        <v>-1.25</v>
      </c>
      <c r="S51" s="229">
        <v>-5.0000000000000001E-3</v>
      </c>
      <c r="T51" s="228">
        <v>248.5</v>
      </c>
      <c r="U51" s="228">
        <v>249.55</v>
      </c>
      <c r="V51" s="228">
        <v>-1.05</v>
      </c>
      <c r="W51" s="229">
        <v>-4.1999999999999997E-3</v>
      </c>
      <c r="X51" s="228">
        <v>-0.05</v>
      </c>
      <c r="Y51" s="228">
        <v>0.2</v>
      </c>
      <c r="Z51" s="228">
        <v>-0.25</v>
      </c>
      <c r="AA51" s="229">
        <v>-2.0000000000000001E-4</v>
      </c>
      <c r="AB51" s="228">
        <v>-0.1</v>
      </c>
      <c r="AC51" s="228">
        <v>0.2</v>
      </c>
      <c r="AD51" s="228">
        <v>-0.3</v>
      </c>
      <c r="AE51" s="229">
        <v>-4.0000000000000002E-4</v>
      </c>
      <c r="AF51" s="228">
        <v>-0.05</v>
      </c>
      <c r="AG51" s="228">
        <v>-0.7</v>
      </c>
      <c r="AH51" s="228">
        <v>0.65</v>
      </c>
      <c r="AI51" s="229">
        <v>-2.0000000000000001E-4</v>
      </c>
      <c r="AJ51" s="228">
        <v>0.2</v>
      </c>
      <c r="AK51" s="228">
        <v>-0.65</v>
      </c>
      <c r="AL51" s="228">
        <v>0.85</v>
      </c>
      <c r="AM51" s="229">
        <v>8.0000000000000004E-4</v>
      </c>
      <c r="AN51" s="228">
        <v>247.91</v>
      </c>
      <c r="AO51" s="228">
        <v>247.54</v>
      </c>
      <c r="AP51" s="228">
        <v>0</v>
      </c>
      <c r="AQ51" s="230">
        <v>12727</v>
      </c>
      <c r="AR51" s="230">
        <v>24390</v>
      </c>
      <c r="AS51" s="230">
        <v>-11663</v>
      </c>
      <c r="AT51" s="229">
        <v>-0.47820000000000001</v>
      </c>
      <c r="AU51" s="230">
        <v>5287</v>
      </c>
      <c r="AV51" s="230">
        <v>11568</v>
      </c>
      <c r="AW51" s="230">
        <v>-6281</v>
      </c>
      <c r="AX51" s="229">
        <v>-0.54300000000000004</v>
      </c>
      <c r="AY51" s="230">
        <v>7170</v>
      </c>
      <c r="AZ51" s="230">
        <v>12603</v>
      </c>
      <c r="BA51" s="230">
        <v>-5433</v>
      </c>
      <c r="BB51" s="229">
        <v>-0.43109999999999998</v>
      </c>
      <c r="BC51" s="228">
        <v>270</v>
      </c>
      <c r="BD51" s="228">
        <v>219</v>
      </c>
      <c r="BE51" s="228">
        <v>51</v>
      </c>
      <c r="BF51" s="229">
        <v>0.2329</v>
      </c>
      <c r="BG51" s="230">
        <v>13210</v>
      </c>
      <c r="BH51" s="230">
        <v>14783</v>
      </c>
      <c r="BI51" s="230">
        <v>-1573</v>
      </c>
      <c r="BJ51" s="229">
        <v>-0.10639999999999999</v>
      </c>
      <c r="BK51" s="230">
        <v>7534</v>
      </c>
      <c r="BL51" s="230">
        <v>5599</v>
      </c>
      <c r="BM51" s="230">
        <v>1935</v>
      </c>
      <c r="BN51" s="229">
        <v>0.34560000000000002</v>
      </c>
      <c r="BO51" s="230">
        <v>33471</v>
      </c>
      <c r="BP51" s="230">
        <v>44772</v>
      </c>
      <c r="BQ51" s="230">
        <v>-11301</v>
      </c>
      <c r="BR51" s="229">
        <v>-0.25240000000000001</v>
      </c>
      <c r="BS51" s="230">
        <v>7486940</v>
      </c>
      <c r="BT51" s="230">
        <v>6293643</v>
      </c>
      <c r="BU51" s="230">
        <v>1193297</v>
      </c>
      <c r="BV51" s="229">
        <v>0.18959999999999999</v>
      </c>
      <c r="BW51" s="230">
        <v>108312000</v>
      </c>
      <c r="BX51" s="230">
        <v>119112000</v>
      </c>
      <c r="BY51" s="230">
        <v>-10800000</v>
      </c>
      <c r="BZ51" s="229">
        <v>-9.0700000000000003E-2</v>
      </c>
      <c r="CA51" s="230">
        <v>8349000</v>
      </c>
      <c r="CB51" s="230">
        <v>16308000</v>
      </c>
      <c r="CC51" s="230">
        <v>-7959000</v>
      </c>
      <c r="CD51" s="229">
        <v>-0.48799999999999999</v>
      </c>
      <c r="CE51" s="230">
        <v>105633000</v>
      </c>
      <c r="CF51" s="230">
        <v>100398000</v>
      </c>
      <c r="CG51" s="230">
        <v>5235000</v>
      </c>
      <c r="CH51" s="229">
        <v>5.21E-2</v>
      </c>
      <c r="CI51" s="230">
        <v>2679000</v>
      </c>
      <c r="CJ51" s="230">
        <v>2406000</v>
      </c>
      <c r="CK51" s="230">
        <v>273000</v>
      </c>
      <c r="CL51" s="229">
        <v>0.1135</v>
      </c>
      <c r="CM51" s="230">
        <v>28650000</v>
      </c>
      <c r="CN51" s="230">
        <v>70089000</v>
      </c>
      <c r="CO51" s="230">
        <v>-41439000</v>
      </c>
      <c r="CP51" s="229">
        <v>-0.59119999999999995</v>
      </c>
      <c r="CQ51" s="230">
        <v>18516000</v>
      </c>
      <c r="CR51" s="230">
        <v>35184000</v>
      </c>
      <c r="CS51" s="230">
        <v>-16668000</v>
      </c>
      <c r="CT51" s="229">
        <v>-0.47370000000000001</v>
      </c>
      <c r="CU51" s="230">
        <v>155478000</v>
      </c>
      <c r="CV51" s="230">
        <v>224385000</v>
      </c>
      <c r="CW51" s="230">
        <v>-68907000</v>
      </c>
      <c r="CX51" s="229">
        <v>-0.30709999999999998</v>
      </c>
      <c r="CY51" s="228">
        <v>24.17</v>
      </c>
      <c r="CZ51" s="228">
        <v>24.86</v>
      </c>
      <c r="DA51" s="228">
        <v>-0.69</v>
      </c>
      <c r="DB51" s="228">
        <v>-0.69</v>
      </c>
      <c r="DC51" s="228">
        <v>32.229999999999997</v>
      </c>
      <c r="DD51" s="228">
        <v>32.29</v>
      </c>
      <c r="DE51" s="228">
        <v>-8.06</v>
      </c>
      <c r="DF51" s="228">
        <v>-0.06</v>
      </c>
      <c r="DG51" s="228">
        <v>24.74</v>
      </c>
      <c r="DH51" s="228">
        <v>25.41</v>
      </c>
      <c r="DI51" s="228">
        <v>-0.67</v>
      </c>
      <c r="DJ51" s="228">
        <v>-0.67</v>
      </c>
      <c r="DK51" s="228">
        <v>23.22</v>
      </c>
      <c r="DL51" s="228">
        <v>23.97</v>
      </c>
      <c r="DM51" s="228">
        <v>-0.75</v>
      </c>
      <c r="DN51" s="228">
        <v>-0.75</v>
      </c>
      <c r="DO51" s="228">
        <v>0.65</v>
      </c>
      <c r="DP51" s="228">
        <v>0.5</v>
      </c>
      <c r="DQ51" s="228">
        <v>0.15</v>
      </c>
      <c r="DR51" s="229">
        <v>0.3</v>
      </c>
      <c r="DS51" s="228">
        <v>270</v>
      </c>
      <c r="DT51" s="228">
        <v>250</v>
      </c>
      <c r="DU51" s="228">
        <v>0.56999999999999995</v>
      </c>
      <c r="DV51" s="228">
        <v>0.38</v>
      </c>
      <c r="DW51" s="228">
        <v>0.19</v>
      </c>
      <c r="DX51" s="229">
        <v>0.5</v>
      </c>
      <c r="DY51" s="229">
        <v>0.9284</v>
      </c>
      <c r="DZ51" s="230">
        <v>102804000</v>
      </c>
      <c r="EA51" s="229">
        <v>2.0000000000000001E-4</v>
      </c>
      <c r="EB51" s="229">
        <v>0.9284</v>
      </c>
      <c r="EC51" s="228">
        <v>-0.37</v>
      </c>
      <c r="ED51" s="229">
        <v>-1.5E-3</v>
      </c>
      <c r="EE51" s="230">
        <v>3977564</v>
      </c>
      <c r="EF51" s="230">
        <v>3648496</v>
      </c>
      <c r="EG51" s="229">
        <v>9.0200000000000002E-2</v>
      </c>
      <c r="EH51" s="229">
        <v>0.53129999999999999</v>
      </c>
      <c r="EI51" s="231">
        <v>103023.59</v>
      </c>
      <c r="EJ51" s="231">
        <v>57150.79</v>
      </c>
      <c r="EK51" s="231">
        <v>94573.61</v>
      </c>
      <c r="EL51" s="228">
        <v>0</v>
      </c>
      <c r="EM51" s="231">
        <v>254747.99</v>
      </c>
      <c r="EN51" s="231">
        <v>342185.8</v>
      </c>
      <c r="EO51" s="231">
        <v>-87437.81</v>
      </c>
      <c r="EP51" s="229">
        <v>-0.2555</v>
      </c>
      <c r="EQ51" s="231">
        <v>76661</v>
      </c>
      <c r="ER51" s="231">
        <v>46120</v>
      </c>
      <c r="ES51" s="231">
        <v>268891</v>
      </c>
      <c r="ET51" s="231">
        <v>570590784</v>
      </c>
      <c r="EU51" s="231">
        <v>391673</v>
      </c>
      <c r="EV51" s="231">
        <v>576012</v>
      </c>
      <c r="EW51" s="231">
        <v>-184339</v>
      </c>
      <c r="EX51" s="229">
        <v>-0.32</v>
      </c>
      <c r="EY51" s="229">
        <v>0.27250000000000002</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F6" sqref="F6"/>
    </sheetView>
  </sheetViews>
  <sheetFormatPr defaultColWidth="13.7109375" defaultRowHeight="15" x14ac:dyDescent="0.25"/>
  <cols>
    <col min="1" max="1" width="23.85546875" customWidth="1"/>
    <col min="2" max="2" width="11" customWidth="1"/>
    <col min="3" max="3" width="12.7109375" customWidth="1"/>
    <col min="4" max="4" width="11.140625" customWidth="1"/>
    <col min="5" max="5" width="12.7109375" customWidth="1"/>
    <col min="6" max="6" width="11.140625" customWidth="1"/>
    <col min="7" max="7" width="9.28515625" customWidth="1"/>
    <col min="8" max="8" width="9.5703125" customWidth="1"/>
    <col min="9" max="9" width="12.7109375" customWidth="1"/>
    <col min="10" max="10" width="12.85546875" customWidth="1"/>
    <col min="11" max="11" width="12" customWidth="1"/>
    <col min="12" max="12" width="11.85546875" customWidth="1"/>
    <col min="13" max="13" width="11.140625" customWidth="1"/>
    <col min="14" max="14" width="10"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617</v>
      </c>
      <c r="B2" s="226">
        <v>45869</v>
      </c>
      <c r="C2" s="230">
        <v>50454065</v>
      </c>
      <c r="D2" s="230">
        <v>9382866</v>
      </c>
      <c r="E2" s="230">
        <v>50417908</v>
      </c>
      <c r="F2" s="230">
        <v>9371727</v>
      </c>
      <c r="G2" s="230">
        <v>36157</v>
      </c>
      <c r="H2" s="230">
        <v>11139</v>
      </c>
      <c r="I2" s="230">
        <v>10742024</v>
      </c>
      <c r="J2" s="230">
        <v>1260661</v>
      </c>
      <c r="K2" s="230">
        <v>-3193942</v>
      </c>
      <c r="L2" s="230">
        <v>-493862</v>
      </c>
      <c r="M2" s="230">
        <v>7548082</v>
      </c>
      <c r="N2" s="230">
        <v>766799</v>
      </c>
      <c r="O2" s="61"/>
      <c r="P2" s="61"/>
      <c r="Q2" s="61"/>
      <c r="R2" s="61"/>
      <c r="S2" s="61"/>
      <c r="U2" t="s">
        <v>453</v>
      </c>
      <c r="V2">
        <f>SUM('Data Vlaue (Cr)'!CD:CD)</f>
        <v>109444</v>
      </c>
      <c r="W2" t="s">
        <v>454</v>
      </c>
    </row>
    <row r="3" spans="1:23" ht="17.25" thickBot="1" x14ac:dyDescent="0.3">
      <c r="A3" s="227" t="s">
        <v>618</v>
      </c>
      <c r="B3" s="226">
        <v>45869</v>
      </c>
      <c r="C3" s="230">
        <v>20723</v>
      </c>
      <c r="D3" s="230">
        <v>4065</v>
      </c>
      <c r="E3" s="230">
        <v>19380</v>
      </c>
      <c r="F3" s="230">
        <v>3805</v>
      </c>
      <c r="G3" s="230">
        <v>1343</v>
      </c>
      <c r="H3" s="228">
        <v>260</v>
      </c>
      <c r="I3" s="230">
        <v>39331</v>
      </c>
      <c r="J3" s="230">
        <v>7750</v>
      </c>
      <c r="K3" s="230">
        <v>-11586</v>
      </c>
      <c r="L3" s="230">
        <v>-2293</v>
      </c>
      <c r="M3" s="230">
        <v>27745</v>
      </c>
      <c r="N3" s="230">
        <v>5457</v>
      </c>
      <c r="O3" s="61"/>
      <c r="P3" s="61"/>
      <c r="Q3" s="61"/>
      <c r="R3" s="61"/>
      <c r="S3" s="61"/>
      <c r="U3" t="s">
        <v>453</v>
      </c>
      <c r="V3">
        <f>SUM('Data shares'!CC:CC)</f>
        <v>2772865019</v>
      </c>
      <c r="W3" t="s">
        <v>455</v>
      </c>
    </row>
    <row r="4" spans="1:23" ht="17.25" thickBot="1" x14ac:dyDescent="0.3">
      <c r="A4" s="227" t="s">
        <v>619</v>
      </c>
      <c r="B4" s="226">
        <v>45869</v>
      </c>
      <c r="C4" s="230">
        <v>5045501</v>
      </c>
      <c r="D4" s="230">
        <v>991204</v>
      </c>
      <c r="E4" s="230">
        <v>5030449</v>
      </c>
      <c r="F4" s="230">
        <v>988157</v>
      </c>
      <c r="G4" s="230">
        <v>15052</v>
      </c>
      <c r="H4" s="230">
        <v>3046</v>
      </c>
      <c r="I4" s="230">
        <v>317275</v>
      </c>
      <c r="J4" s="230">
        <v>62353</v>
      </c>
      <c r="K4" s="230">
        <v>-229761</v>
      </c>
      <c r="L4" s="230">
        <v>-45212</v>
      </c>
      <c r="M4" s="230">
        <v>87514</v>
      </c>
      <c r="N4" s="230">
        <v>17141</v>
      </c>
      <c r="O4" s="61"/>
      <c r="P4" s="61"/>
      <c r="Q4" s="61"/>
      <c r="R4" s="61"/>
      <c r="S4" s="61"/>
    </row>
    <row r="5" spans="1:23" ht="17.25" thickBot="1" x14ac:dyDescent="0.3">
      <c r="A5" s="227" t="s">
        <v>620</v>
      </c>
      <c r="B5" s="226">
        <v>45869</v>
      </c>
      <c r="C5" s="228">
        <v>575</v>
      </c>
      <c r="D5" s="228">
        <v>100</v>
      </c>
      <c r="E5" s="228">
        <v>353</v>
      </c>
      <c r="F5" s="228">
        <v>61</v>
      </c>
      <c r="G5" s="228">
        <v>222</v>
      </c>
      <c r="H5" s="228">
        <v>39</v>
      </c>
      <c r="I5" s="228">
        <v>633</v>
      </c>
      <c r="J5" s="228">
        <v>110</v>
      </c>
      <c r="K5" s="228">
        <v>87</v>
      </c>
      <c r="L5" s="228">
        <v>15</v>
      </c>
      <c r="M5" s="228">
        <v>720</v>
      </c>
      <c r="N5" s="228">
        <v>125</v>
      </c>
      <c r="O5" s="61"/>
      <c r="P5" s="61"/>
      <c r="Q5" s="61"/>
      <c r="R5" s="61"/>
      <c r="S5" s="61"/>
    </row>
    <row r="6" spans="1:23" ht="17.25" thickBot="1" x14ac:dyDescent="0.3">
      <c r="A6" s="227" t="s">
        <v>621</v>
      </c>
      <c r="B6" s="226">
        <v>45869</v>
      </c>
      <c r="C6" s="230">
        <v>677315</v>
      </c>
      <c r="D6" s="230">
        <v>117654</v>
      </c>
      <c r="E6" s="230">
        <v>686732</v>
      </c>
      <c r="F6" s="230">
        <v>119306</v>
      </c>
      <c r="G6" s="230">
        <v>-9417</v>
      </c>
      <c r="H6" s="230">
        <v>-1652</v>
      </c>
      <c r="I6" s="230">
        <v>18997</v>
      </c>
      <c r="J6" s="230">
        <v>3297</v>
      </c>
      <c r="K6" s="230">
        <v>-17757</v>
      </c>
      <c r="L6" s="230">
        <v>-3083</v>
      </c>
      <c r="M6" s="230">
        <v>1240</v>
      </c>
      <c r="N6" s="228">
        <v>215</v>
      </c>
      <c r="O6" s="61"/>
      <c r="P6" s="61"/>
      <c r="Q6" s="61"/>
      <c r="R6" s="61"/>
      <c r="S6" s="61"/>
    </row>
    <row r="7" spans="1:23" ht="17.25" thickBot="1" x14ac:dyDescent="0.3">
      <c r="A7" s="227" t="s">
        <v>622</v>
      </c>
      <c r="B7" s="226">
        <v>45869</v>
      </c>
      <c r="C7" s="230">
        <v>60775</v>
      </c>
      <c r="D7" s="230">
        <v>11486</v>
      </c>
      <c r="E7" s="230">
        <v>67403</v>
      </c>
      <c r="F7" s="230">
        <v>12722</v>
      </c>
      <c r="G7" s="230">
        <v>-6628</v>
      </c>
      <c r="H7" s="230">
        <v>-1236</v>
      </c>
      <c r="I7" s="230">
        <v>240689</v>
      </c>
      <c r="J7" s="230">
        <v>45269</v>
      </c>
      <c r="K7" s="230">
        <v>-70353</v>
      </c>
      <c r="L7" s="230">
        <v>-13341</v>
      </c>
      <c r="M7" s="230">
        <v>170336</v>
      </c>
      <c r="N7" s="230">
        <v>31928</v>
      </c>
    </row>
    <row r="8" spans="1:23" ht="17.25" thickBot="1" x14ac:dyDescent="0.3">
      <c r="A8" s="227" t="s">
        <v>623</v>
      </c>
      <c r="B8" s="226">
        <v>45869</v>
      </c>
      <c r="C8" s="230">
        <v>24780277</v>
      </c>
      <c r="D8" s="230">
        <v>4652815</v>
      </c>
      <c r="E8" s="230">
        <v>24739609</v>
      </c>
      <c r="F8" s="230">
        <v>4644858</v>
      </c>
      <c r="G8" s="230">
        <v>40668</v>
      </c>
      <c r="H8" s="230">
        <v>7957</v>
      </c>
      <c r="I8" s="230">
        <v>1949984</v>
      </c>
      <c r="J8" s="230">
        <v>366221</v>
      </c>
      <c r="K8" s="230">
        <v>-1067618</v>
      </c>
      <c r="L8" s="230">
        <v>-201469</v>
      </c>
      <c r="M8" s="230">
        <v>882366</v>
      </c>
      <c r="N8" s="230">
        <v>164753</v>
      </c>
    </row>
    <row r="9" spans="1:23" ht="17.25" thickBot="1" x14ac:dyDescent="0.3">
      <c r="A9" s="227" t="s">
        <v>624</v>
      </c>
      <c r="B9" s="226">
        <v>45869</v>
      </c>
      <c r="C9" s="230">
        <v>5344</v>
      </c>
      <c r="D9" s="228">
        <v>966</v>
      </c>
      <c r="E9" s="230">
        <v>5672</v>
      </c>
      <c r="F9" s="230">
        <v>1025</v>
      </c>
      <c r="G9" s="228">
        <v>-328</v>
      </c>
      <c r="H9" s="228">
        <v>-59</v>
      </c>
      <c r="I9" s="230">
        <v>21768</v>
      </c>
      <c r="J9" s="230">
        <v>3977</v>
      </c>
      <c r="K9" s="230">
        <v>-2802</v>
      </c>
      <c r="L9" s="228">
        <v>-546</v>
      </c>
      <c r="M9" s="230">
        <v>18966</v>
      </c>
      <c r="N9" s="230">
        <v>3431</v>
      </c>
    </row>
    <row r="10" spans="1:23" ht="17.25" thickBot="1" x14ac:dyDescent="0.3">
      <c r="A10" s="227" t="s">
        <v>625</v>
      </c>
      <c r="B10" s="226">
        <v>45869</v>
      </c>
      <c r="C10" s="230">
        <v>955013</v>
      </c>
      <c r="D10" s="230">
        <v>172676</v>
      </c>
      <c r="E10" s="230">
        <v>961915</v>
      </c>
      <c r="F10" s="230">
        <v>173961</v>
      </c>
      <c r="G10" s="230">
        <v>-6902</v>
      </c>
      <c r="H10" s="230">
        <v>-1285</v>
      </c>
      <c r="I10" s="230">
        <v>55047</v>
      </c>
      <c r="J10" s="230">
        <v>10026</v>
      </c>
      <c r="K10" s="230">
        <v>-50292</v>
      </c>
      <c r="L10" s="230">
        <v>-9169</v>
      </c>
      <c r="M10" s="230">
        <v>4755</v>
      </c>
      <c r="N10" s="228">
        <v>857</v>
      </c>
    </row>
    <row r="11" spans="1:23" ht="17.25" thickBot="1" x14ac:dyDescent="0.3">
      <c r="A11" s="227" t="s">
        <v>626</v>
      </c>
      <c r="B11" s="226">
        <v>45869</v>
      </c>
      <c r="C11" s="230">
        <v>34038</v>
      </c>
      <c r="D11" s="230">
        <v>6339</v>
      </c>
      <c r="E11" s="230">
        <v>41873</v>
      </c>
      <c r="F11" s="230">
        <v>7809</v>
      </c>
      <c r="G11" s="230">
        <v>-7835</v>
      </c>
      <c r="H11" s="230">
        <v>-1470</v>
      </c>
      <c r="I11" s="230">
        <v>178226</v>
      </c>
      <c r="J11" s="230">
        <v>33309</v>
      </c>
      <c r="K11" s="230">
        <v>-55982</v>
      </c>
      <c r="L11" s="230">
        <v>-10505</v>
      </c>
      <c r="M11" s="230">
        <v>122244</v>
      </c>
      <c r="N11" s="230">
        <v>22804</v>
      </c>
    </row>
    <row r="12" spans="1:23" ht="17.25" thickBot="1" x14ac:dyDescent="0.3">
      <c r="A12" s="227" t="s">
        <v>627</v>
      </c>
      <c r="B12" s="226">
        <v>45869</v>
      </c>
      <c r="C12" s="230">
        <v>18100375</v>
      </c>
      <c r="D12" s="230">
        <v>3370933</v>
      </c>
      <c r="E12" s="230">
        <v>18058018</v>
      </c>
      <c r="F12" s="230">
        <v>3363014</v>
      </c>
      <c r="G12" s="230">
        <v>42357</v>
      </c>
      <c r="H12" s="230">
        <v>7919</v>
      </c>
      <c r="I12" s="230">
        <v>1558067</v>
      </c>
      <c r="J12" s="230">
        <v>290444</v>
      </c>
      <c r="K12" s="230">
        <v>-769213</v>
      </c>
      <c r="L12" s="230">
        <v>-143904</v>
      </c>
      <c r="M12" s="230">
        <v>788854</v>
      </c>
      <c r="N12" s="230">
        <v>146540</v>
      </c>
    </row>
    <row r="13" spans="1:23" ht="17.25" thickBot="1" x14ac:dyDescent="0.3">
      <c r="A13" s="227" t="s">
        <v>628</v>
      </c>
      <c r="B13" s="226">
        <v>45869</v>
      </c>
      <c r="C13" s="228">
        <v>95</v>
      </c>
      <c r="D13" s="228">
        <v>16</v>
      </c>
      <c r="E13" s="228">
        <v>125</v>
      </c>
      <c r="F13" s="228">
        <v>21</v>
      </c>
      <c r="G13" s="228">
        <v>-30</v>
      </c>
      <c r="H13" s="228">
        <v>-5</v>
      </c>
      <c r="I13" s="228">
        <v>731</v>
      </c>
      <c r="J13" s="228">
        <v>124</v>
      </c>
      <c r="K13" s="228">
        <v>-70</v>
      </c>
      <c r="L13" s="228">
        <v>-12</v>
      </c>
      <c r="M13" s="228">
        <v>661</v>
      </c>
      <c r="N13" s="228">
        <v>111</v>
      </c>
    </row>
    <row r="14" spans="1:23" ht="17.25" thickBot="1" x14ac:dyDescent="0.3">
      <c r="A14" s="227" t="s">
        <v>629</v>
      </c>
      <c r="B14" s="226">
        <v>45869</v>
      </c>
      <c r="C14" s="230">
        <v>2073</v>
      </c>
      <c r="D14" s="228">
        <v>348</v>
      </c>
      <c r="E14" s="230">
        <v>2495</v>
      </c>
      <c r="F14" s="228">
        <v>420</v>
      </c>
      <c r="G14" s="228">
        <v>-422</v>
      </c>
      <c r="H14" s="228">
        <v>-71</v>
      </c>
      <c r="I14" s="228">
        <v>598</v>
      </c>
      <c r="J14" s="228">
        <v>101</v>
      </c>
      <c r="K14" s="228">
        <v>-595</v>
      </c>
      <c r="L14" s="228">
        <v>-100</v>
      </c>
      <c r="M14" s="228">
        <v>3</v>
      </c>
      <c r="N14" s="228">
        <v>1</v>
      </c>
    </row>
    <row r="15" spans="1:23" ht="17.25" thickBot="1" x14ac:dyDescent="0.3">
      <c r="A15" s="227" t="s">
        <v>630</v>
      </c>
      <c r="B15" s="226">
        <v>45869</v>
      </c>
      <c r="C15" s="230">
        <v>566475</v>
      </c>
      <c r="D15" s="230">
        <v>39446</v>
      </c>
      <c r="E15" s="230">
        <v>587407</v>
      </c>
      <c r="F15" s="230">
        <v>40976</v>
      </c>
      <c r="G15" s="230">
        <v>-20932</v>
      </c>
      <c r="H15" s="230">
        <v>-1530</v>
      </c>
      <c r="I15" s="230">
        <v>5599109</v>
      </c>
      <c r="J15" s="230">
        <v>385779</v>
      </c>
      <c r="K15" s="230">
        <v>-244624</v>
      </c>
      <c r="L15" s="230">
        <v>-18350</v>
      </c>
      <c r="M15" s="230">
        <v>5354485</v>
      </c>
      <c r="N15" s="230">
        <v>367430</v>
      </c>
    </row>
    <row r="16" spans="1:23" ht="17.25" thickBot="1" x14ac:dyDescent="0.3">
      <c r="A16" s="227" t="s">
        <v>631</v>
      </c>
      <c r="B16" s="226">
        <v>45869</v>
      </c>
      <c r="C16" s="230">
        <v>205486</v>
      </c>
      <c r="D16" s="230">
        <v>14818</v>
      </c>
      <c r="E16" s="230">
        <v>216477</v>
      </c>
      <c r="F16" s="230">
        <v>15591</v>
      </c>
      <c r="G16" s="230">
        <v>-10991</v>
      </c>
      <c r="H16" s="228">
        <v>-773</v>
      </c>
      <c r="I16" s="230">
        <v>761569</v>
      </c>
      <c r="J16" s="230">
        <v>51901</v>
      </c>
      <c r="K16" s="230">
        <v>-673376</v>
      </c>
      <c r="L16" s="230">
        <v>-45893</v>
      </c>
      <c r="M16" s="230">
        <v>88193</v>
      </c>
      <c r="N16" s="230">
        <v>6008</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7" activePane="bottomLeft" state="frozen"/>
      <selection activeCell="A6" sqref="A6:S6"/>
      <selection pane="bottomLeft" activeCell="Q14" sqref="Q14"/>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60" t="s">
        <v>325</v>
      </c>
      <c r="B3" s="261"/>
      <c r="C3" s="261"/>
      <c r="D3" s="261"/>
      <c r="E3" s="261"/>
      <c r="F3" s="261"/>
      <c r="G3" s="261"/>
      <c r="H3" s="261"/>
      <c r="I3" s="261"/>
      <c r="J3" s="261"/>
      <c r="K3" s="261"/>
      <c r="L3" s="261"/>
      <c r="M3" s="261"/>
      <c r="N3" s="261"/>
      <c r="O3" s="261"/>
      <c r="P3" s="261"/>
      <c r="Q3" s="262"/>
    </row>
    <row r="4" spans="1:17" s="64" customFormat="1" x14ac:dyDescent="0.25">
      <c r="A4" s="263"/>
      <c r="B4" s="263" t="s">
        <v>308</v>
      </c>
      <c r="C4" s="263"/>
      <c r="D4" s="264"/>
      <c r="E4" s="264"/>
      <c r="F4" s="263" t="s">
        <v>326</v>
      </c>
      <c r="G4" s="263"/>
      <c r="H4" s="263"/>
      <c r="I4" s="263" t="s">
        <v>327</v>
      </c>
      <c r="J4" s="263"/>
      <c r="K4" s="263"/>
      <c r="L4" s="263" t="s">
        <v>311</v>
      </c>
      <c r="M4" s="263"/>
      <c r="N4" s="263"/>
      <c r="O4" s="263"/>
      <c r="P4" s="263"/>
      <c r="Q4" s="263"/>
    </row>
    <row r="5" spans="1:17" s="64" customFormat="1" x14ac:dyDescent="0.25">
      <c r="A5" s="258"/>
      <c r="B5" s="73" t="s">
        <v>312</v>
      </c>
      <c r="C5" s="258" t="s">
        <v>313</v>
      </c>
      <c r="D5" s="259"/>
      <c r="E5" s="259"/>
      <c r="F5" s="258" t="s">
        <v>314</v>
      </c>
      <c r="G5" s="258"/>
      <c r="H5" s="258"/>
      <c r="I5" s="258" t="s">
        <v>315</v>
      </c>
      <c r="J5" s="258"/>
      <c r="K5" s="258"/>
      <c r="L5" s="258" t="s">
        <v>316</v>
      </c>
      <c r="M5" s="258"/>
      <c r="N5" s="258"/>
      <c r="O5" s="258" t="s">
        <v>317</v>
      </c>
      <c r="P5" s="258"/>
      <c r="Q5" s="258"/>
    </row>
    <row r="6" spans="1:17" s="72" customFormat="1" ht="33.75" x14ac:dyDescent="0.25">
      <c r="A6" s="71" t="s">
        <v>558</v>
      </c>
      <c r="B6" s="66">
        <f>'Snapshot (Value)'!C10</f>
        <v>45869</v>
      </c>
      <c r="C6" s="66">
        <f>'Snapshot (Value)'!D10</f>
        <v>45869</v>
      </c>
      <c r="D6" s="71" t="s">
        <v>322</v>
      </c>
      <c r="E6" s="71" t="s">
        <v>328</v>
      </c>
      <c r="F6" s="66">
        <f>C6</f>
        <v>45869</v>
      </c>
      <c r="G6" s="71" t="s">
        <v>322</v>
      </c>
      <c r="H6" s="71" t="s">
        <v>328</v>
      </c>
      <c r="I6" s="66">
        <f>C6</f>
        <v>45869</v>
      </c>
      <c r="J6" s="71" t="s">
        <v>322</v>
      </c>
      <c r="K6" s="71" t="s">
        <v>328</v>
      </c>
      <c r="L6" s="66">
        <f>C6</f>
        <v>45869</v>
      </c>
      <c r="M6" s="71" t="s">
        <v>322</v>
      </c>
      <c r="N6" s="71" t="s">
        <v>328</v>
      </c>
      <c r="O6" s="66">
        <f>C6</f>
        <v>45869</v>
      </c>
      <c r="P6" s="71" t="s">
        <v>322</v>
      </c>
      <c r="Q6" s="71" t="s">
        <v>328</v>
      </c>
    </row>
    <row r="7" spans="1:17" x14ac:dyDescent="0.25">
      <c r="A7" s="97" t="str">
        <f>'Data Vlaue (Cr)'!C2</f>
        <v>360ONE</v>
      </c>
      <c r="B7" s="140">
        <f>VLOOKUP($A7,'Data shares'!$C:$FB,7)</f>
        <v>1052.7</v>
      </c>
      <c r="C7" s="140">
        <f>VLOOKUP($A7,'Data shares'!$C:$FB,3)</f>
        <v>1057.5999999999999</v>
      </c>
      <c r="D7" s="140">
        <f>VLOOKUP($A7,'Data shares'!$C:$FB,4)</f>
        <v>1066.9000000000001</v>
      </c>
      <c r="E7" s="50">
        <f>(C7-D7)/D7*100</f>
        <v>-0.8716843190552237</v>
      </c>
      <c r="F7" s="49">
        <f>VLOOKUP($A7,'Data shares'!$C:$FB,98)</f>
        <v>6214000</v>
      </c>
      <c r="G7" s="49">
        <f>VLOOKUP($A7,'Data shares'!$C:$FB,99)</f>
        <v>9780000</v>
      </c>
      <c r="H7" s="50">
        <f>(F7-G7)/G7*100</f>
        <v>-36.462167689161554</v>
      </c>
      <c r="I7" s="49">
        <f>VLOOKUP($A7,'Data shares'!$C:$FB,66)</f>
        <v>6015000</v>
      </c>
      <c r="J7" s="49">
        <f>VLOOKUP($A7,'Data shares'!$C:$FB,67)</f>
        <v>5044000</v>
      </c>
      <c r="K7" s="50">
        <f>(I7-J7)/I7*100</f>
        <v>16.142975893599335</v>
      </c>
      <c r="L7" s="50">
        <f>VLOOKUP($A7,'Data shares'!$C:$FB,118)</f>
        <v>0.75</v>
      </c>
      <c r="M7" s="50">
        <f>VLOOKUP($A7,'Data shares'!$C:$FB,119)</f>
        <v>0.57999999999999996</v>
      </c>
      <c r="N7" s="50">
        <f>VLOOKUP($A7,'Data shares'!$C:$FB,121)*100</f>
        <v>29.310000000000002</v>
      </c>
      <c r="O7" s="50">
        <f>VLOOKUP($A7,'Data shares'!$C:$FB,124)</f>
        <v>0.4</v>
      </c>
      <c r="P7" s="50">
        <f>VLOOKUP($A7,'Data shares'!$C:$FB,125)</f>
        <v>0.2</v>
      </c>
      <c r="Q7" s="50">
        <f>VLOOKUP($A7,'Data shares'!$C:$FB,127)*100</f>
        <v>100</v>
      </c>
    </row>
    <row r="8" spans="1:17" x14ac:dyDescent="0.25">
      <c r="A8" s="97" t="str">
        <f>'Data Vlaue (Cr)'!C3</f>
        <v>AARTIIND</v>
      </c>
      <c r="B8" s="140">
        <f>VLOOKUP($A8,'Data shares'!$C:$FB,7)</f>
        <v>420.05</v>
      </c>
      <c r="C8" s="140">
        <f>VLOOKUP($A8,'Data shares'!$C:$FB,3)</f>
        <v>0</v>
      </c>
      <c r="D8" s="140">
        <f>VLOOKUP($A8,'Data shares'!$C:$FB,4)</f>
        <v>0</v>
      </c>
      <c r="E8" s="50" t="e">
        <f t="shared" ref="E8:E71" si="0">(C8-D8)/D8*100</f>
        <v>#DIV/0!</v>
      </c>
      <c r="F8" s="49">
        <f>VLOOKUP($A8,'Data shares'!$C:$FB,98)</f>
        <v>8407125</v>
      </c>
      <c r="G8" s="49">
        <f>VLOOKUP($A8,'Data shares'!$C:$FB,99)</f>
        <v>15784725</v>
      </c>
      <c r="H8" s="50">
        <f t="shared" ref="H8:H71" si="1">(F8-G8)/G8*100</f>
        <v>-46.738856711155883</v>
      </c>
      <c r="I8" s="49">
        <f>VLOOKUP($A8,'Data shares'!$C:$FB,66)</f>
        <v>15111625</v>
      </c>
      <c r="J8" s="49">
        <f>VLOOKUP($A8,'Data shares'!$C:$FB,67)</f>
        <v>11198900</v>
      </c>
      <c r="K8" s="50">
        <f t="shared" ref="K8:K71" si="2">(I8-J8)/I8*100</f>
        <v>25.892152564664624</v>
      </c>
      <c r="L8" s="50">
        <f>VLOOKUP($A8,'Data shares'!$C:$FB,118)</f>
        <v>0.37</v>
      </c>
      <c r="M8" s="50">
        <f>VLOOKUP($A8,'Data shares'!$C:$FB,119)</f>
        <v>0.43</v>
      </c>
      <c r="N8" s="50">
        <f>VLOOKUP($A8,'Data shares'!$C:$FB,121)*100</f>
        <v>-13.950000000000001</v>
      </c>
      <c r="O8" s="50">
        <f>VLOOKUP($A8,'Data shares'!$C:$FB,124)</f>
        <v>0.74</v>
      </c>
      <c r="P8" s="50">
        <f>VLOOKUP($A8,'Data shares'!$C:$FB,125)</f>
        <v>0.48</v>
      </c>
      <c r="Q8" s="50">
        <f>VLOOKUP($A8,'Data shares'!$C:$FB,127)*100</f>
        <v>54.169999999999995</v>
      </c>
    </row>
    <row r="9" spans="1:17" x14ac:dyDescent="0.25">
      <c r="A9" s="97" t="str">
        <f>'Data Vlaue (Cr)'!C4</f>
        <v>ABB</v>
      </c>
      <c r="B9" s="140">
        <f>VLOOKUP($A9,'Data shares'!$C:$FB,7)</f>
        <v>5510</v>
      </c>
      <c r="C9" s="140">
        <f>VLOOKUP($A9,'Data shares'!$C:$FB,3)</f>
        <v>5525</v>
      </c>
      <c r="D9" s="140">
        <f>VLOOKUP($A9,'Data shares'!$C:$FB,4)</f>
        <v>5568.5</v>
      </c>
      <c r="E9" s="50">
        <f t="shared" si="0"/>
        <v>-0.78117985094729281</v>
      </c>
      <c r="F9" s="49">
        <f>VLOOKUP($A9,'Data shares'!$C:$FB,98)</f>
        <v>3622625</v>
      </c>
      <c r="G9" s="49">
        <f>VLOOKUP($A9,'Data shares'!$C:$FB,99)</f>
        <v>5172000</v>
      </c>
      <c r="H9" s="50">
        <f t="shared" si="1"/>
        <v>-29.956979891724671</v>
      </c>
      <c r="I9" s="49">
        <f>VLOOKUP($A9,'Data shares'!$C:$FB,66)</f>
        <v>3105250</v>
      </c>
      <c r="J9" s="49">
        <f>VLOOKUP($A9,'Data shares'!$C:$FB,67)</f>
        <v>6190500</v>
      </c>
      <c r="K9" s="50">
        <f t="shared" si="2"/>
        <v>-99.355929474277431</v>
      </c>
      <c r="L9" s="50">
        <f>VLOOKUP($A9,'Data shares'!$C:$FB,118)</f>
        <v>1.1399999999999999</v>
      </c>
      <c r="M9" s="50">
        <f>VLOOKUP($A9,'Data shares'!$C:$FB,119)</f>
        <v>0.59</v>
      </c>
      <c r="N9" s="50">
        <f>VLOOKUP($A9,'Data shares'!$C:$FB,121)*100</f>
        <v>93.22</v>
      </c>
      <c r="O9" s="50">
        <f>VLOOKUP($A9,'Data shares'!$C:$FB,124)</f>
        <v>0.56999999999999995</v>
      </c>
      <c r="P9" s="50">
        <f>VLOOKUP($A9,'Data shares'!$C:$FB,125)</f>
        <v>0.7</v>
      </c>
      <c r="Q9" s="50">
        <f>VLOOKUP($A9,'Data shares'!$C:$FB,127)*100</f>
        <v>-18.57</v>
      </c>
    </row>
    <row r="10" spans="1:17" x14ac:dyDescent="0.25">
      <c r="A10" s="97" t="str">
        <f>'Data Vlaue (Cr)'!C5</f>
        <v>ABCAPITAL</v>
      </c>
      <c r="B10" s="140">
        <f>VLOOKUP($A10,'Data shares'!$C:$FB,7)</f>
        <v>256.64999999999998</v>
      </c>
      <c r="C10" s="140">
        <f>VLOOKUP($A10,'Data shares'!$C:$FB,3)</f>
        <v>257.3</v>
      </c>
      <c r="D10" s="140">
        <f>VLOOKUP($A10,'Data shares'!$C:$FB,4)</f>
        <v>250.2</v>
      </c>
      <c r="E10" s="50">
        <f t="shared" si="0"/>
        <v>2.8377298161470916</v>
      </c>
      <c r="F10" s="49">
        <f>VLOOKUP($A10,'Data shares'!$C:$FB,98)</f>
        <v>68317800</v>
      </c>
      <c r="G10" s="49">
        <f>VLOOKUP($A10,'Data shares'!$C:$FB,99)</f>
        <v>91580200</v>
      </c>
      <c r="H10" s="50">
        <f t="shared" si="1"/>
        <v>-25.401123823708616</v>
      </c>
      <c r="I10" s="49">
        <f>VLOOKUP($A10,'Data shares'!$C:$FB,66)</f>
        <v>71954100</v>
      </c>
      <c r="J10" s="49">
        <f>VLOOKUP($A10,'Data shares'!$C:$FB,67)</f>
        <v>53047200</v>
      </c>
      <c r="K10" s="50">
        <f t="shared" si="2"/>
        <v>26.276334496574901</v>
      </c>
      <c r="L10" s="50">
        <f>VLOOKUP($A10,'Data shares'!$C:$FB,118)</f>
        <v>0.56999999999999995</v>
      </c>
      <c r="M10" s="50">
        <f>VLOOKUP($A10,'Data shares'!$C:$FB,119)</f>
        <v>0.51</v>
      </c>
      <c r="N10" s="50">
        <f>VLOOKUP($A10,'Data shares'!$C:$FB,121)*100</f>
        <v>11.76</v>
      </c>
      <c r="O10" s="50">
        <f>VLOOKUP($A10,'Data shares'!$C:$FB,124)</f>
        <v>0.5</v>
      </c>
      <c r="P10" s="50">
        <f>VLOOKUP($A10,'Data shares'!$C:$FB,125)</f>
        <v>0.54</v>
      </c>
      <c r="Q10" s="50">
        <f>VLOOKUP($A10,'Data shares'!$C:$FB,127)*100</f>
        <v>-7.41</v>
      </c>
    </row>
    <row r="11" spans="1:17" x14ac:dyDescent="0.25">
      <c r="A11" s="97" t="str">
        <f>'Data Vlaue (Cr)'!C6</f>
        <v>ABFRL</v>
      </c>
      <c r="B11" s="140">
        <f>VLOOKUP($A11,'Data shares'!$C:$FB,7)</f>
        <v>72.87</v>
      </c>
      <c r="C11" s="140">
        <f>VLOOKUP($A11,'Data shares'!$C:$FB,3)</f>
        <v>73.22</v>
      </c>
      <c r="D11" s="140">
        <f>VLOOKUP($A11,'Data shares'!$C:$FB,4)</f>
        <v>75.13</v>
      </c>
      <c r="E11" s="50">
        <f t="shared" si="0"/>
        <v>-2.5422600825236215</v>
      </c>
      <c r="F11" s="49">
        <f>VLOOKUP($A11,'Data shares'!$C:$FB,98)</f>
        <v>64079600</v>
      </c>
      <c r="G11" s="49">
        <f>VLOOKUP($A11,'Data shares'!$C:$FB,99)</f>
        <v>92960400</v>
      </c>
      <c r="H11" s="50">
        <f t="shared" si="1"/>
        <v>-31.067852547966663</v>
      </c>
      <c r="I11" s="49">
        <f>VLOOKUP($A11,'Data shares'!$C:$FB,66)</f>
        <v>55598400</v>
      </c>
      <c r="J11" s="49">
        <f>VLOOKUP($A11,'Data shares'!$C:$FB,67)</f>
        <v>42000400</v>
      </c>
      <c r="K11" s="50">
        <f t="shared" si="2"/>
        <v>24.457538346427235</v>
      </c>
      <c r="L11" s="50">
        <f>VLOOKUP($A11,'Data shares'!$C:$FB,118)</f>
        <v>0.96</v>
      </c>
      <c r="M11" s="50">
        <f>VLOOKUP($A11,'Data shares'!$C:$FB,119)</f>
        <v>0.69</v>
      </c>
      <c r="N11" s="50">
        <f>VLOOKUP($A11,'Data shares'!$C:$FB,121)*100</f>
        <v>39.129999999999995</v>
      </c>
      <c r="O11" s="50">
        <f>VLOOKUP($A11,'Data shares'!$C:$FB,124)</f>
        <v>1.27</v>
      </c>
      <c r="P11" s="50">
        <f>VLOOKUP($A11,'Data shares'!$C:$FB,125)</f>
        <v>1.1299999999999999</v>
      </c>
      <c r="Q11" s="50">
        <f>VLOOKUP($A11,'Data shares'!$C:$FB,127)*100</f>
        <v>12.389999999999999</v>
      </c>
    </row>
    <row r="12" spans="1:17" x14ac:dyDescent="0.25">
      <c r="A12" s="97" t="str">
        <f>'Data Vlaue (Cr)'!C7</f>
        <v>ACC</v>
      </c>
      <c r="B12" s="140">
        <f>VLOOKUP($A12,'Data shares'!$C:$FB,7)</f>
        <v>1788.4</v>
      </c>
      <c r="C12" s="140">
        <f>VLOOKUP($A12,'Data shares'!$C:$FB,3)</f>
        <v>0</v>
      </c>
      <c r="D12" s="140">
        <f>VLOOKUP($A12,'Data shares'!$C:$FB,4)</f>
        <v>0</v>
      </c>
      <c r="E12" s="50" t="e">
        <f t="shared" si="0"/>
        <v>#DIV/0!</v>
      </c>
      <c r="F12" s="49">
        <f>VLOOKUP($A12,'Data shares'!$C:$FB,98)</f>
        <v>1812000</v>
      </c>
      <c r="G12" s="49">
        <f>VLOOKUP($A12,'Data shares'!$C:$FB,99)</f>
        <v>4494000</v>
      </c>
      <c r="H12" s="50">
        <f t="shared" si="1"/>
        <v>-59.679572763684916</v>
      </c>
      <c r="I12" s="49">
        <f>VLOOKUP($A12,'Data shares'!$C:$FB,66)</f>
        <v>3452100</v>
      </c>
      <c r="J12" s="49">
        <f>VLOOKUP($A12,'Data shares'!$C:$FB,67)</f>
        <v>2478900</v>
      </c>
      <c r="K12" s="50">
        <f t="shared" si="2"/>
        <v>28.191535587033979</v>
      </c>
      <c r="L12" s="50">
        <f>VLOOKUP($A12,'Data shares'!$C:$FB,118)</f>
        <v>0.49</v>
      </c>
      <c r="M12" s="50">
        <f>VLOOKUP($A12,'Data shares'!$C:$FB,119)</f>
        <v>0.59</v>
      </c>
      <c r="N12" s="50">
        <f>VLOOKUP($A12,'Data shares'!$C:$FB,121)*100</f>
        <v>-16.950000000000003</v>
      </c>
      <c r="O12" s="50">
        <f>VLOOKUP($A12,'Data shares'!$C:$FB,124)</f>
        <v>0.77</v>
      </c>
      <c r="P12" s="50">
        <f>VLOOKUP($A12,'Data shares'!$C:$FB,125)</f>
        <v>0.4</v>
      </c>
      <c r="Q12" s="50">
        <f>VLOOKUP($A12,'Data shares'!$C:$FB,127)*100</f>
        <v>92.5</v>
      </c>
    </row>
    <row r="13" spans="1:17" x14ac:dyDescent="0.25">
      <c r="A13" s="97" t="str">
        <f>'Data Vlaue (Cr)'!C8</f>
        <v>ADANIENSOL</v>
      </c>
      <c r="B13" s="140">
        <f>VLOOKUP($A13,'Data shares'!$C:$FB,7)</f>
        <v>808.4</v>
      </c>
      <c r="C13" s="140">
        <f>VLOOKUP($A13,'Data shares'!$C:$FB,3)</f>
        <v>811.4</v>
      </c>
      <c r="D13" s="140">
        <f>VLOOKUP($A13,'Data shares'!$C:$FB,4)</f>
        <v>828.55</v>
      </c>
      <c r="E13" s="50">
        <f t="shared" si="0"/>
        <v>-2.069881117615108</v>
      </c>
      <c r="F13" s="49">
        <f>VLOOKUP($A13,'Data shares'!$C:$FB,98)</f>
        <v>22324950</v>
      </c>
      <c r="G13" s="49">
        <f>VLOOKUP($A13,'Data shares'!$C:$FB,99)</f>
        <v>26634825</v>
      </c>
      <c r="H13" s="50">
        <f t="shared" si="1"/>
        <v>-16.181352796573659</v>
      </c>
      <c r="I13" s="49">
        <f>VLOOKUP($A13,'Data shares'!$C:$FB,66)</f>
        <v>10876275</v>
      </c>
      <c r="J13" s="49">
        <f>VLOOKUP($A13,'Data shares'!$C:$FB,67)</f>
        <v>11847600</v>
      </c>
      <c r="K13" s="50">
        <f t="shared" si="2"/>
        <v>-8.9306770930304733</v>
      </c>
      <c r="L13" s="50">
        <f>VLOOKUP($A13,'Data shares'!$C:$FB,118)</f>
        <v>1.02</v>
      </c>
      <c r="M13" s="50">
        <f>VLOOKUP($A13,'Data shares'!$C:$FB,119)</f>
        <v>0.72</v>
      </c>
      <c r="N13" s="50">
        <f>VLOOKUP($A13,'Data shares'!$C:$FB,121)*100</f>
        <v>41.67</v>
      </c>
      <c r="O13" s="50">
        <f>VLOOKUP($A13,'Data shares'!$C:$FB,124)</f>
        <v>0.71</v>
      </c>
      <c r="P13" s="50">
        <f>VLOOKUP($A13,'Data shares'!$C:$FB,125)</f>
        <v>0.59</v>
      </c>
      <c r="Q13" s="50">
        <f>VLOOKUP($A13,'Data shares'!$C:$FB,127)*100</f>
        <v>20.34</v>
      </c>
    </row>
    <row r="14" spans="1:17" x14ac:dyDescent="0.25">
      <c r="A14" s="97" t="str">
        <f>'Data Vlaue (Cr)'!C9</f>
        <v>ADANIENT</v>
      </c>
      <c r="B14" s="140">
        <f>VLOOKUP($A14,'Data shares'!$C:$FB,7)</f>
        <v>2430.6999999999998</v>
      </c>
      <c r="C14" s="140">
        <f>VLOOKUP($A14,'Data shares'!$C:$FB,3)</f>
        <v>2440.1</v>
      </c>
      <c r="D14" s="140">
        <f>VLOOKUP($A14,'Data shares'!$C:$FB,4)</f>
        <v>2544.6999999999998</v>
      </c>
      <c r="E14" s="50">
        <f>(C14-D14)/D14*100</f>
        <v>-4.1105041851691722</v>
      </c>
      <c r="F14" s="49">
        <f>VLOOKUP($A14,'Data shares'!$C:$FB,98)</f>
        <v>27541800</v>
      </c>
      <c r="G14" s="49">
        <f>VLOOKUP($A14,'Data shares'!$C:$FB,99)</f>
        <v>33294600</v>
      </c>
      <c r="H14" s="50">
        <f t="shared" si="1"/>
        <v>-17.278477590960698</v>
      </c>
      <c r="I14" s="49">
        <f>VLOOKUP($A14,'Data shares'!$C:$FB,66)</f>
        <v>39693900</v>
      </c>
      <c r="J14" s="49">
        <f>VLOOKUP($A14,'Data shares'!$C:$FB,67)</f>
        <v>17179800</v>
      </c>
      <c r="K14" s="50">
        <f t="shared" si="2"/>
        <v>56.719294400399058</v>
      </c>
      <c r="L14" s="50">
        <f>VLOOKUP($A14,'Data shares'!$C:$FB,118)</f>
        <v>1.08</v>
      </c>
      <c r="M14" s="50">
        <f>VLOOKUP($A14,'Data shares'!$C:$FB,119)</f>
        <v>0.8</v>
      </c>
      <c r="N14" s="50">
        <f>VLOOKUP($A14,'Data shares'!$C:$FB,121)*100</f>
        <v>35</v>
      </c>
      <c r="O14" s="50">
        <f>VLOOKUP($A14,'Data shares'!$C:$FB,124)</f>
        <v>0.61</v>
      </c>
      <c r="P14" s="50">
        <f>VLOOKUP($A14,'Data shares'!$C:$FB,125)</f>
        <v>0.4</v>
      </c>
      <c r="Q14" s="50">
        <f>VLOOKUP($A14,'Data shares'!$C:$FB,127)*100</f>
        <v>52.5</v>
      </c>
    </row>
    <row r="15" spans="1:17" x14ac:dyDescent="0.25">
      <c r="A15" s="97" t="str">
        <f>'Data Vlaue (Cr)'!C10</f>
        <v>ADANIGREEN</v>
      </c>
      <c r="B15" s="140">
        <f>VLOOKUP($A15,'Data shares'!$C:$FB,7)</f>
        <v>984.7</v>
      </c>
      <c r="C15" s="140">
        <f>VLOOKUP($A15,'Data shares'!$C:$FB,3)</f>
        <v>988.2</v>
      </c>
      <c r="D15" s="140">
        <f>VLOOKUP($A15,'Data shares'!$C:$FB,4)</f>
        <v>1015.8</v>
      </c>
      <c r="E15" s="50">
        <f t="shared" si="0"/>
        <v>-2.7170702894270438</v>
      </c>
      <c r="F15" s="49">
        <f>VLOOKUP($A15,'Data shares'!$C:$FB,98)</f>
        <v>25468800</v>
      </c>
      <c r="G15" s="49">
        <f>VLOOKUP($A15,'Data shares'!$C:$FB,99)</f>
        <v>32786400</v>
      </c>
      <c r="H15" s="50">
        <f t="shared" si="1"/>
        <v>-22.319010321352756</v>
      </c>
      <c r="I15" s="49">
        <f>VLOOKUP($A15,'Data shares'!$C:$FB,66)</f>
        <v>29225400</v>
      </c>
      <c r="J15" s="49">
        <f>VLOOKUP($A15,'Data shares'!$C:$FB,67)</f>
        <v>26680200</v>
      </c>
      <c r="K15" s="50">
        <f t="shared" si="2"/>
        <v>8.7088628384898072</v>
      </c>
      <c r="L15" s="50">
        <f>VLOOKUP($A15,'Data shares'!$C:$FB,118)</f>
        <v>0.63</v>
      </c>
      <c r="M15" s="50">
        <f>VLOOKUP($A15,'Data shares'!$C:$FB,119)</f>
        <v>0.62</v>
      </c>
      <c r="N15" s="50">
        <f>VLOOKUP($A15,'Data shares'!$C:$FB,121)*100</f>
        <v>1.6099999999999999</v>
      </c>
      <c r="O15" s="50">
        <f>VLOOKUP($A15,'Data shares'!$C:$FB,124)</f>
        <v>0.7</v>
      </c>
      <c r="P15" s="50">
        <f>VLOOKUP($A15,'Data shares'!$C:$FB,125)</f>
        <v>0.56000000000000005</v>
      </c>
      <c r="Q15" s="50">
        <f>VLOOKUP($A15,'Data shares'!$C:$FB,127)*100</f>
        <v>25</v>
      </c>
    </row>
    <row r="16" spans="1:17" x14ac:dyDescent="0.25">
      <c r="A16" s="97" t="str">
        <f>'Data Vlaue (Cr)'!C11</f>
        <v>ADANIPORTS</v>
      </c>
      <c r="B16" s="140">
        <f>VLOOKUP($A16,'Data shares'!$C:$FB,7)</f>
        <v>1373.1</v>
      </c>
      <c r="C16" s="140">
        <f>VLOOKUP($A16,'Data shares'!$C:$FB,3)</f>
        <v>1380.9</v>
      </c>
      <c r="D16" s="140">
        <f>VLOOKUP($A16,'Data shares'!$C:$FB,4)</f>
        <v>1402.8</v>
      </c>
      <c r="E16" s="50">
        <f t="shared" si="0"/>
        <v>-1.5611633875106832</v>
      </c>
      <c r="F16" s="49">
        <f>VLOOKUP($A16,'Data shares'!$C:$FB,98)</f>
        <v>27558075</v>
      </c>
      <c r="G16" s="49">
        <f>VLOOKUP($A16,'Data shares'!$C:$FB,99)</f>
        <v>35695300</v>
      </c>
      <c r="H16" s="50">
        <f t="shared" si="1"/>
        <v>-22.796348538883272</v>
      </c>
      <c r="I16" s="49">
        <f>VLOOKUP($A16,'Data shares'!$C:$FB,66)</f>
        <v>23902950</v>
      </c>
      <c r="J16" s="49">
        <f>VLOOKUP($A16,'Data shares'!$C:$FB,67)</f>
        <v>22559650</v>
      </c>
      <c r="K16" s="50">
        <f t="shared" si="2"/>
        <v>5.6198084336870551</v>
      </c>
      <c r="L16" s="50">
        <f>VLOOKUP($A16,'Data shares'!$C:$FB,118)</f>
        <v>1.1000000000000001</v>
      </c>
      <c r="M16" s="50">
        <f>VLOOKUP($A16,'Data shares'!$C:$FB,119)</f>
        <v>0.79</v>
      </c>
      <c r="N16" s="50">
        <f>VLOOKUP($A16,'Data shares'!$C:$FB,121)*100</f>
        <v>39.24</v>
      </c>
      <c r="O16" s="50">
        <f>VLOOKUP($A16,'Data shares'!$C:$FB,124)</f>
        <v>0.86</v>
      </c>
      <c r="P16" s="50">
        <f>VLOOKUP($A16,'Data shares'!$C:$FB,125)</f>
        <v>0.57999999999999996</v>
      </c>
      <c r="Q16" s="50">
        <f>VLOOKUP($A16,'Data shares'!$C:$FB,127)*100</f>
        <v>48.28</v>
      </c>
    </row>
    <row r="17" spans="1:17" x14ac:dyDescent="0.25">
      <c r="A17" s="97" t="str">
        <f>'Data Vlaue (Cr)'!C12</f>
        <v>ALKEM</v>
      </c>
      <c r="B17" s="140">
        <f>VLOOKUP($A17,'Data shares'!$C:$FB,7)</f>
        <v>5031.1000000000004</v>
      </c>
      <c r="C17" s="140">
        <f>VLOOKUP($A17,'Data shares'!$C:$FB,3)</f>
        <v>5039.3999999999996</v>
      </c>
      <c r="D17" s="140">
        <f>VLOOKUP($A17,'Data shares'!$C:$FB,4)</f>
        <v>5120.8</v>
      </c>
      <c r="E17" s="50">
        <f t="shared" si="0"/>
        <v>-1.589595375722554</v>
      </c>
      <c r="F17" s="49">
        <f>VLOOKUP($A17,'Data shares'!$C:$FB,98)</f>
        <v>1297250</v>
      </c>
      <c r="G17" s="49">
        <f>VLOOKUP($A17,'Data shares'!$C:$FB,99)</f>
        <v>1722125</v>
      </c>
      <c r="H17" s="50">
        <f t="shared" si="1"/>
        <v>-24.671554039340933</v>
      </c>
      <c r="I17" s="49">
        <f>VLOOKUP($A17,'Data shares'!$C:$FB,66)</f>
        <v>1039250</v>
      </c>
      <c r="J17" s="49">
        <f>VLOOKUP($A17,'Data shares'!$C:$FB,67)</f>
        <v>1466500</v>
      </c>
      <c r="K17" s="50">
        <f t="shared" si="2"/>
        <v>-41.111378397883087</v>
      </c>
      <c r="L17" s="50">
        <f>VLOOKUP($A17,'Data shares'!$C:$FB,118)</f>
        <v>0.59</v>
      </c>
      <c r="M17" s="50">
        <f>VLOOKUP($A17,'Data shares'!$C:$FB,119)</f>
        <v>0.69</v>
      </c>
      <c r="N17" s="50">
        <f>VLOOKUP($A17,'Data shares'!$C:$FB,121)*100</f>
        <v>-14.49</v>
      </c>
      <c r="O17" s="50">
        <f>VLOOKUP($A17,'Data shares'!$C:$FB,124)</f>
        <v>0.57999999999999996</v>
      </c>
      <c r="P17" s="50">
        <f>VLOOKUP($A17,'Data shares'!$C:$FB,125)</f>
        <v>0.56999999999999995</v>
      </c>
      <c r="Q17" s="50">
        <f>VLOOKUP($A17,'Data shares'!$C:$FB,127)*100</f>
        <v>1.7500000000000002</v>
      </c>
    </row>
    <row r="18" spans="1:17" x14ac:dyDescent="0.25">
      <c r="A18" s="97" t="str">
        <f>'Data Vlaue (Cr)'!C13</f>
        <v>AMBER</v>
      </c>
      <c r="B18" s="140">
        <f>VLOOKUP($A18,'Data shares'!$C:$FB,7)</f>
        <v>7963.5</v>
      </c>
      <c r="C18" s="140">
        <f>VLOOKUP($A18,'Data shares'!$C:$FB,3)</f>
        <v>7995</v>
      </c>
      <c r="D18" s="140">
        <f>VLOOKUP($A18,'Data shares'!$C:$FB,4)</f>
        <v>8067.5</v>
      </c>
      <c r="E18" s="50">
        <f t="shared" si="0"/>
        <v>-0.89866749302757976</v>
      </c>
      <c r="F18" s="49">
        <f>VLOOKUP($A18,'Data shares'!$C:$FB,98)</f>
        <v>856500</v>
      </c>
      <c r="G18" s="49">
        <f>VLOOKUP($A18,'Data shares'!$C:$FB,99)</f>
        <v>1399500</v>
      </c>
      <c r="H18" s="50">
        <f t="shared" si="1"/>
        <v>-38.79957127545552</v>
      </c>
      <c r="I18" s="49">
        <f>VLOOKUP($A18,'Data shares'!$C:$FB,66)</f>
        <v>2100100</v>
      </c>
      <c r="J18" s="49">
        <f>VLOOKUP($A18,'Data shares'!$C:$FB,67)</f>
        <v>6424200</v>
      </c>
      <c r="K18" s="50">
        <f t="shared" si="2"/>
        <v>-205.89971906099711</v>
      </c>
      <c r="L18" s="50">
        <f>VLOOKUP($A18,'Data shares'!$C:$FB,118)</f>
        <v>0.63</v>
      </c>
      <c r="M18" s="50">
        <f>VLOOKUP($A18,'Data shares'!$C:$FB,119)</f>
        <v>0.8</v>
      </c>
      <c r="N18" s="50">
        <f>VLOOKUP($A18,'Data shares'!$C:$FB,121)*100</f>
        <v>-21.25</v>
      </c>
      <c r="O18" s="50">
        <f>VLOOKUP($A18,'Data shares'!$C:$FB,124)</f>
        <v>0.63</v>
      </c>
      <c r="P18" s="50">
        <f>VLOOKUP($A18,'Data shares'!$C:$FB,125)</f>
        <v>0.31</v>
      </c>
      <c r="Q18" s="50">
        <f>VLOOKUP($A18,'Data shares'!$C:$FB,127)*100</f>
        <v>103.23</v>
      </c>
    </row>
    <row r="19" spans="1:17" x14ac:dyDescent="0.25">
      <c r="A19" s="97" t="str">
        <f>'Data Vlaue (Cr)'!C14</f>
        <v>AMBUJACEM</v>
      </c>
      <c r="B19" s="140">
        <f>VLOOKUP($A19,'Data shares'!$C:$FB,7)</f>
        <v>592.70000000000005</v>
      </c>
      <c r="C19" s="140">
        <f>VLOOKUP($A19,'Data shares'!$C:$FB,3)</f>
        <v>594.65</v>
      </c>
      <c r="D19" s="140">
        <f>VLOOKUP($A19,'Data shares'!$C:$FB,4)</f>
        <v>621.15</v>
      </c>
      <c r="E19" s="50">
        <f t="shared" si="0"/>
        <v>-4.2662802865652418</v>
      </c>
      <c r="F19" s="49">
        <f>VLOOKUP($A19,'Data shares'!$C:$FB,98)</f>
        <v>41697600</v>
      </c>
      <c r="G19" s="49">
        <f>VLOOKUP($A19,'Data shares'!$C:$FB,99)</f>
        <v>41111700</v>
      </c>
      <c r="H19" s="50">
        <f t="shared" si="1"/>
        <v>1.4251417479695561</v>
      </c>
      <c r="I19" s="49">
        <f>VLOOKUP($A19,'Data shares'!$C:$FB,66)</f>
        <v>83608350</v>
      </c>
      <c r="J19" s="49">
        <f>VLOOKUP($A19,'Data shares'!$C:$FB,67)</f>
        <v>31023300</v>
      </c>
      <c r="K19" s="50">
        <f t="shared" si="2"/>
        <v>62.894495585668174</v>
      </c>
      <c r="L19" s="50">
        <f>VLOOKUP($A19,'Data shares'!$C:$FB,118)</f>
        <v>0.56999999999999995</v>
      </c>
      <c r="M19" s="50">
        <f>VLOOKUP($A19,'Data shares'!$C:$FB,119)</f>
        <v>0.88</v>
      </c>
      <c r="N19" s="50">
        <f>VLOOKUP($A19,'Data shares'!$C:$FB,121)*100</f>
        <v>-35.229999999999997</v>
      </c>
      <c r="O19" s="50">
        <f>VLOOKUP($A19,'Data shares'!$C:$FB,124)</f>
        <v>0.41</v>
      </c>
      <c r="P19" s="50">
        <f>VLOOKUP($A19,'Data shares'!$C:$FB,125)</f>
        <v>0.42</v>
      </c>
      <c r="Q19" s="50">
        <f>VLOOKUP($A19,'Data shares'!$C:$FB,127)*100</f>
        <v>-2.3800000000000003</v>
      </c>
    </row>
    <row r="20" spans="1:17" x14ac:dyDescent="0.25">
      <c r="A20" s="97" t="str">
        <f>'Data Vlaue (Cr)'!C15</f>
        <v>ANGELONE</v>
      </c>
      <c r="B20" s="140">
        <f>VLOOKUP($A20,'Data shares'!$C:$FB,7)</f>
        <v>2600.9</v>
      </c>
      <c r="C20" s="140">
        <f>VLOOKUP($A20,'Data shares'!$C:$FB,3)</f>
        <v>2611.8000000000002</v>
      </c>
      <c r="D20" s="140">
        <f>VLOOKUP($A20,'Data shares'!$C:$FB,4)</f>
        <v>2652.4</v>
      </c>
      <c r="E20" s="50">
        <f t="shared" si="0"/>
        <v>-1.5306891871512558</v>
      </c>
      <c r="F20" s="49">
        <f>VLOOKUP($A20,'Data shares'!$C:$FB,98)</f>
        <v>3337250</v>
      </c>
      <c r="G20" s="49">
        <f>VLOOKUP($A20,'Data shares'!$C:$FB,99)</f>
        <v>7177250</v>
      </c>
      <c r="H20" s="50">
        <f t="shared" si="1"/>
        <v>-53.502386011355327</v>
      </c>
      <c r="I20" s="49">
        <f>VLOOKUP($A20,'Data shares'!$C:$FB,66)</f>
        <v>5107250</v>
      </c>
      <c r="J20" s="49">
        <f>VLOOKUP($A20,'Data shares'!$C:$FB,67)</f>
        <v>6639250</v>
      </c>
      <c r="K20" s="50">
        <f t="shared" si="2"/>
        <v>-29.996573498458073</v>
      </c>
      <c r="L20" s="50">
        <f>VLOOKUP($A20,'Data shares'!$C:$FB,118)</f>
        <v>0.82</v>
      </c>
      <c r="M20" s="50">
        <f>VLOOKUP($A20,'Data shares'!$C:$FB,119)</f>
        <v>0.63</v>
      </c>
      <c r="N20" s="50">
        <f>VLOOKUP($A20,'Data shares'!$C:$FB,121)*100</f>
        <v>30.159999999999997</v>
      </c>
      <c r="O20" s="50">
        <f>VLOOKUP($A20,'Data shares'!$C:$FB,124)</f>
        <v>0.64</v>
      </c>
      <c r="P20" s="50">
        <f>VLOOKUP($A20,'Data shares'!$C:$FB,125)</f>
        <v>0.56999999999999995</v>
      </c>
      <c r="Q20" s="50">
        <f>VLOOKUP($A20,'Data shares'!$C:$FB,127)*100</f>
        <v>12.280000000000001</v>
      </c>
    </row>
    <row r="21" spans="1:17" x14ac:dyDescent="0.25">
      <c r="A21" s="97" t="str">
        <f>'Data Vlaue (Cr)'!C16</f>
        <v>APLAPOLLO</v>
      </c>
      <c r="B21" s="140">
        <f>VLOOKUP($A21,'Data shares'!$C:$FB,7)</f>
        <v>1601.2</v>
      </c>
      <c r="C21" s="140">
        <f>VLOOKUP($A21,'Data shares'!$C:$FB,3)</f>
        <v>1600.6</v>
      </c>
      <c r="D21" s="140">
        <f>VLOOKUP($A21,'Data shares'!$C:$FB,4)</f>
        <v>1568</v>
      </c>
      <c r="E21" s="50">
        <f t="shared" si="0"/>
        <v>2.0790816326530552</v>
      </c>
      <c r="F21" s="49">
        <f>VLOOKUP($A21,'Data shares'!$C:$FB,98)</f>
        <v>7509950</v>
      </c>
      <c r="G21" s="49">
        <f>VLOOKUP($A21,'Data shares'!$C:$FB,99)</f>
        <v>11606350</v>
      </c>
      <c r="H21" s="50">
        <f t="shared" si="1"/>
        <v>-35.294472422423937</v>
      </c>
      <c r="I21" s="49">
        <f>VLOOKUP($A21,'Data shares'!$C:$FB,66)</f>
        <v>9677850</v>
      </c>
      <c r="J21" s="49">
        <f>VLOOKUP($A21,'Data shares'!$C:$FB,67)</f>
        <v>21934850</v>
      </c>
      <c r="K21" s="50">
        <f t="shared" si="2"/>
        <v>-126.65003074029872</v>
      </c>
      <c r="L21" s="50">
        <f>VLOOKUP($A21,'Data shares'!$C:$FB,118)</f>
        <v>1.0900000000000001</v>
      </c>
      <c r="M21" s="50">
        <f>VLOOKUP($A21,'Data shares'!$C:$FB,119)</f>
        <v>0.72</v>
      </c>
      <c r="N21" s="50">
        <f>VLOOKUP($A21,'Data shares'!$C:$FB,121)*100</f>
        <v>51.39</v>
      </c>
      <c r="O21" s="50">
        <f>VLOOKUP($A21,'Data shares'!$C:$FB,124)</f>
        <v>0.27</v>
      </c>
      <c r="P21" s="50">
        <f>VLOOKUP($A21,'Data shares'!$C:$FB,125)</f>
        <v>0.27</v>
      </c>
      <c r="Q21" s="50">
        <f>VLOOKUP($A21,'Data shares'!$C:$FB,127)*100</f>
        <v>0</v>
      </c>
    </row>
    <row r="22" spans="1:17" x14ac:dyDescent="0.25">
      <c r="A22" s="97" t="str">
        <f>'Data Vlaue (Cr)'!C17</f>
        <v>APOLLOHOSP</v>
      </c>
      <c r="B22" s="140">
        <f>VLOOKUP($A22,'Data shares'!$C:$FB,7)</f>
        <v>7498</v>
      </c>
      <c r="C22" s="140">
        <f>VLOOKUP($A22,'Data shares'!$C:$FB,3)</f>
        <v>7517.5</v>
      </c>
      <c r="D22" s="140">
        <f>VLOOKUP($A22,'Data shares'!$C:$FB,4)</f>
        <v>7473</v>
      </c>
      <c r="E22" s="50">
        <f t="shared" si="0"/>
        <v>0.59547705071591062</v>
      </c>
      <c r="F22" s="49">
        <f>VLOOKUP($A22,'Data shares'!$C:$FB,98)</f>
        <v>2810125</v>
      </c>
      <c r="G22" s="49">
        <f>VLOOKUP($A22,'Data shares'!$C:$FB,99)</f>
        <v>5084875</v>
      </c>
      <c r="H22" s="50">
        <f t="shared" si="1"/>
        <v>-44.735612969837021</v>
      </c>
      <c r="I22" s="49">
        <f>VLOOKUP($A22,'Data shares'!$C:$FB,66)</f>
        <v>2873875</v>
      </c>
      <c r="J22" s="49">
        <f>VLOOKUP($A22,'Data shares'!$C:$FB,67)</f>
        <v>3228500</v>
      </c>
      <c r="K22" s="50">
        <f t="shared" si="2"/>
        <v>-12.339611152189986</v>
      </c>
      <c r="L22" s="50">
        <f>VLOOKUP($A22,'Data shares'!$C:$FB,118)</f>
        <v>0.64</v>
      </c>
      <c r="M22" s="50">
        <f>VLOOKUP($A22,'Data shares'!$C:$FB,119)</f>
        <v>0.56000000000000005</v>
      </c>
      <c r="N22" s="50">
        <f>VLOOKUP($A22,'Data shares'!$C:$FB,121)*100</f>
        <v>14.29</v>
      </c>
      <c r="O22" s="50">
        <f>VLOOKUP($A22,'Data shares'!$C:$FB,124)</f>
        <v>0.37</v>
      </c>
      <c r="P22" s="50">
        <f>VLOOKUP($A22,'Data shares'!$C:$FB,125)</f>
        <v>0.5</v>
      </c>
      <c r="Q22" s="50">
        <f>VLOOKUP($A22,'Data shares'!$C:$FB,127)*100</f>
        <v>-26</v>
      </c>
    </row>
    <row r="23" spans="1:17" x14ac:dyDescent="0.25">
      <c r="A23" s="97" t="str">
        <f>'Data Vlaue (Cr)'!C18</f>
        <v>ASHOKLEY</v>
      </c>
      <c r="B23" s="140">
        <f>VLOOKUP($A23,'Data shares'!$C:$FB,7)</f>
        <v>121.05</v>
      </c>
      <c r="C23" s="140">
        <f>VLOOKUP($A23,'Data shares'!$C:$FB,3)</f>
        <v>121.75</v>
      </c>
      <c r="D23" s="140">
        <f>VLOOKUP($A23,'Data shares'!$C:$FB,4)</f>
        <v>122.75</v>
      </c>
      <c r="E23" s="50">
        <f t="shared" si="0"/>
        <v>-0.81466395112016288</v>
      </c>
      <c r="F23" s="49">
        <f>VLOOKUP($A23,'Data shares'!$C:$FB,98)</f>
        <v>103720000</v>
      </c>
      <c r="G23" s="49">
        <f>VLOOKUP($A23,'Data shares'!$C:$FB,99)</f>
        <v>141750000</v>
      </c>
      <c r="H23" s="50">
        <f t="shared" si="1"/>
        <v>-26.828924162257493</v>
      </c>
      <c r="I23" s="49">
        <f>VLOOKUP($A23,'Data shares'!$C:$FB,66)</f>
        <v>89855000</v>
      </c>
      <c r="J23" s="49">
        <f>VLOOKUP($A23,'Data shares'!$C:$FB,67)</f>
        <v>82985000</v>
      </c>
      <c r="K23" s="50">
        <f t="shared" si="2"/>
        <v>7.6456513271381672</v>
      </c>
      <c r="L23" s="50">
        <f>VLOOKUP($A23,'Data shares'!$C:$FB,118)</f>
        <v>0.79</v>
      </c>
      <c r="M23" s="50">
        <f>VLOOKUP($A23,'Data shares'!$C:$FB,119)</f>
        <v>0.68</v>
      </c>
      <c r="N23" s="50">
        <f>VLOOKUP($A23,'Data shares'!$C:$FB,121)*100</f>
        <v>16.18</v>
      </c>
      <c r="O23" s="50">
        <f>VLOOKUP($A23,'Data shares'!$C:$FB,124)</f>
        <v>0.99</v>
      </c>
      <c r="P23" s="50">
        <f>VLOOKUP($A23,'Data shares'!$C:$FB,125)</f>
        <v>0.75</v>
      </c>
      <c r="Q23" s="50">
        <f>VLOOKUP($A23,'Data shares'!$C:$FB,127)*100</f>
        <v>32</v>
      </c>
    </row>
    <row r="24" spans="1:17" x14ac:dyDescent="0.25">
      <c r="A24" s="97" t="str">
        <f>'Data Vlaue (Cr)'!C19</f>
        <v>ASIANPAINT</v>
      </c>
      <c r="B24" s="140">
        <f>VLOOKUP($A24,'Data shares'!$C:$FB,7)</f>
        <v>2396.1</v>
      </c>
      <c r="C24" s="140">
        <f>VLOOKUP($A24,'Data shares'!$C:$FB,3)</f>
        <v>2404.6</v>
      </c>
      <c r="D24" s="140">
        <f>VLOOKUP($A24,'Data shares'!$C:$FB,4)</f>
        <v>2426</v>
      </c>
      <c r="E24" s="50">
        <f t="shared" si="0"/>
        <v>-0.88211046990931941</v>
      </c>
      <c r="F24" s="49">
        <f>VLOOKUP($A24,'Data shares'!$C:$FB,98)</f>
        <v>18668000</v>
      </c>
      <c r="G24" s="49">
        <f>VLOOKUP($A24,'Data shares'!$C:$FB,99)</f>
        <v>28130750</v>
      </c>
      <c r="H24" s="50">
        <f t="shared" si="1"/>
        <v>-33.638456137856259</v>
      </c>
      <c r="I24" s="49">
        <f>VLOOKUP($A24,'Data shares'!$C:$FB,66)</f>
        <v>14867250</v>
      </c>
      <c r="J24" s="49">
        <f>VLOOKUP($A24,'Data shares'!$C:$FB,67)</f>
        <v>45414250</v>
      </c>
      <c r="K24" s="50">
        <f t="shared" si="2"/>
        <v>-205.46503220165127</v>
      </c>
      <c r="L24" s="50">
        <f>VLOOKUP($A24,'Data shares'!$C:$FB,118)</f>
        <v>0.78</v>
      </c>
      <c r="M24" s="50">
        <f>VLOOKUP($A24,'Data shares'!$C:$FB,119)</f>
        <v>0.56999999999999995</v>
      </c>
      <c r="N24" s="50">
        <f>VLOOKUP($A24,'Data shares'!$C:$FB,121)*100</f>
        <v>36.840000000000003</v>
      </c>
      <c r="O24" s="50">
        <f>VLOOKUP($A24,'Data shares'!$C:$FB,124)</f>
        <v>0.75</v>
      </c>
      <c r="P24" s="50">
        <f>VLOOKUP($A24,'Data shares'!$C:$FB,125)</f>
        <v>0.49</v>
      </c>
      <c r="Q24" s="50">
        <f>VLOOKUP($A24,'Data shares'!$C:$FB,127)*100</f>
        <v>53.059999999999995</v>
      </c>
    </row>
    <row r="25" spans="1:17" x14ac:dyDescent="0.25">
      <c r="A25" s="97" t="str">
        <f>'Data Vlaue (Cr)'!C20</f>
        <v>ASTRAL</v>
      </c>
      <c r="B25" s="140">
        <f>VLOOKUP($A25,'Data shares'!$C:$FB,7)</f>
        <v>1401.2</v>
      </c>
      <c r="C25" s="140">
        <f>VLOOKUP($A25,'Data shares'!$C:$FB,3)</f>
        <v>1408.6</v>
      </c>
      <c r="D25" s="140">
        <f>VLOOKUP($A25,'Data shares'!$C:$FB,4)</f>
        <v>1427.2</v>
      </c>
      <c r="E25" s="50">
        <f t="shared" si="0"/>
        <v>-1.3032511210762427</v>
      </c>
      <c r="F25" s="49">
        <f>VLOOKUP($A25,'Data shares'!$C:$FB,98)</f>
        <v>7451100</v>
      </c>
      <c r="G25" s="49">
        <f>VLOOKUP($A25,'Data shares'!$C:$FB,99)</f>
        <v>10744425</v>
      </c>
      <c r="H25" s="50">
        <f t="shared" si="1"/>
        <v>-30.651477394090428</v>
      </c>
      <c r="I25" s="49">
        <f>VLOOKUP($A25,'Data shares'!$C:$FB,66)</f>
        <v>4957200</v>
      </c>
      <c r="J25" s="49">
        <f>VLOOKUP($A25,'Data shares'!$C:$FB,67)</f>
        <v>5992500</v>
      </c>
      <c r="K25" s="50">
        <f t="shared" si="2"/>
        <v>-20.884773662551439</v>
      </c>
      <c r="L25" s="50">
        <f>VLOOKUP($A25,'Data shares'!$C:$FB,118)</f>
        <v>0.76</v>
      </c>
      <c r="M25" s="50">
        <f>VLOOKUP($A25,'Data shares'!$C:$FB,119)</f>
        <v>0.44</v>
      </c>
      <c r="N25" s="50">
        <f>VLOOKUP($A25,'Data shares'!$C:$FB,121)*100</f>
        <v>72.72999999999999</v>
      </c>
      <c r="O25" s="50">
        <f>VLOOKUP($A25,'Data shares'!$C:$FB,124)</f>
        <v>0.61</v>
      </c>
      <c r="P25" s="50">
        <f>VLOOKUP($A25,'Data shares'!$C:$FB,125)</f>
        <v>0.66</v>
      </c>
      <c r="Q25" s="50">
        <f>VLOOKUP($A25,'Data shares'!$C:$FB,127)*100</f>
        <v>-7.580000000000001</v>
      </c>
    </row>
    <row r="26" spans="1:17" x14ac:dyDescent="0.25">
      <c r="A26" s="97" t="str">
        <f>'Data Vlaue (Cr)'!C21</f>
        <v>ATGL</v>
      </c>
      <c r="B26" s="140">
        <f>VLOOKUP($A26,'Data shares'!$C:$FB,7)</f>
        <v>604.1</v>
      </c>
      <c r="C26" s="140">
        <f>VLOOKUP($A26,'Data shares'!$C:$FB,3)</f>
        <v>605.75</v>
      </c>
      <c r="D26" s="140">
        <f>VLOOKUP($A26,'Data shares'!$C:$FB,4)</f>
        <v>628.35</v>
      </c>
      <c r="E26" s="50">
        <f t="shared" si="0"/>
        <v>-3.5967215723720893</v>
      </c>
      <c r="F26" s="49">
        <f>VLOOKUP($A26,'Data shares'!$C:$FB,98)</f>
        <v>5103000</v>
      </c>
      <c r="G26" s="49">
        <f>VLOOKUP($A26,'Data shares'!$C:$FB,99)</f>
        <v>9842000</v>
      </c>
      <c r="H26" s="50">
        <f t="shared" si="1"/>
        <v>-48.150782361308671</v>
      </c>
      <c r="I26" s="49">
        <f>VLOOKUP($A26,'Data shares'!$C:$FB,66)</f>
        <v>6101375</v>
      </c>
      <c r="J26" s="49">
        <f>VLOOKUP($A26,'Data shares'!$C:$FB,67)</f>
        <v>6082125</v>
      </c>
      <c r="K26" s="50">
        <f t="shared" si="2"/>
        <v>0.31550265309049191</v>
      </c>
      <c r="L26" s="50">
        <f>VLOOKUP($A26,'Data shares'!$C:$FB,118)</f>
        <v>0.78</v>
      </c>
      <c r="M26" s="50">
        <f>VLOOKUP($A26,'Data shares'!$C:$FB,119)</f>
        <v>0.52</v>
      </c>
      <c r="N26" s="50">
        <f>VLOOKUP($A26,'Data shares'!$C:$FB,121)*100</f>
        <v>50</v>
      </c>
      <c r="O26" s="50">
        <f>VLOOKUP($A26,'Data shares'!$C:$FB,124)</f>
        <v>0.9</v>
      </c>
      <c r="P26" s="50">
        <f>VLOOKUP($A26,'Data shares'!$C:$FB,125)</f>
        <v>0.32</v>
      </c>
      <c r="Q26" s="50">
        <f>VLOOKUP($A26,'Data shares'!$C:$FB,127)*100</f>
        <v>181.25</v>
      </c>
    </row>
    <row r="27" spans="1:17" x14ac:dyDescent="0.25">
      <c r="A27" s="97" t="str">
        <f>'Data Vlaue (Cr)'!C22</f>
        <v>AUBANK</v>
      </c>
      <c r="B27" s="140">
        <f>VLOOKUP($A27,'Data shares'!$C:$FB,7)</f>
        <v>741.5</v>
      </c>
      <c r="C27" s="140">
        <f>VLOOKUP($A27,'Data shares'!$C:$FB,3)</f>
        <v>746.05</v>
      </c>
      <c r="D27" s="140">
        <f>VLOOKUP($A27,'Data shares'!$C:$FB,4)</f>
        <v>750.95</v>
      </c>
      <c r="E27" s="50">
        <f t="shared" si="0"/>
        <v>-0.65250682468873966</v>
      </c>
      <c r="F27" s="49">
        <f>VLOOKUP($A27,'Data shares'!$C:$FB,98)</f>
        <v>24544000</v>
      </c>
      <c r="G27" s="49">
        <f>VLOOKUP($A27,'Data shares'!$C:$FB,99)</f>
        <v>33171000</v>
      </c>
      <c r="H27" s="50">
        <f t="shared" si="1"/>
        <v>-26.007657291007202</v>
      </c>
      <c r="I27" s="49">
        <f>VLOOKUP($A27,'Data shares'!$C:$FB,66)</f>
        <v>28798000</v>
      </c>
      <c r="J27" s="49">
        <f>VLOOKUP($A27,'Data shares'!$C:$FB,67)</f>
        <v>41067000</v>
      </c>
      <c r="K27" s="50">
        <f t="shared" si="2"/>
        <v>-42.603653031460517</v>
      </c>
      <c r="L27" s="50">
        <f>VLOOKUP($A27,'Data shares'!$C:$FB,118)</f>
        <v>0.87</v>
      </c>
      <c r="M27" s="50">
        <f>VLOOKUP($A27,'Data shares'!$C:$FB,119)</f>
        <v>0.62</v>
      </c>
      <c r="N27" s="50">
        <f>VLOOKUP($A27,'Data shares'!$C:$FB,121)*100</f>
        <v>40.32</v>
      </c>
      <c r="O27" s="50">
        <f>VLOOKUP($A27,'Data shares'!$C:$FB,124)</f>
        <v>0.5</v>
      </c>
      <c r="P27" s="50">
        <f>VLOOKUP($A27,'Data shares'!$C:$FB,125)</f>
        <v>0.48</v>
      </c>
      <c r="Q27" s="50">
        <f>VLOOKUP($A27,'Data shares'!$C:$FB,127)*100</f>
        <v>4.17</v>
      </c>
    </row>
    <row r="28" spans="1:17" x14ac:dyDescent="0.25">
      <c r="A28" s="97" t="str">
        <f>'Data Vlaue (Cr)'!C23</f>
        <v>AUROPHARMA</v>
      </c>
      <c r="B28" s="140">
        <f>VLOOKUP($A28,'Data shares'!$C:$FB,7)</f>
        <v>1139.8</v>
      </c>
      <c r="C28" s="140">
        <f>VLOOKUP($A28,'Data shares'!$C:$FB,3)</f>
        <v>1145.9000000000001</v>
      </c>
      <c r="D28" s="140">
        <f>VLOOKUP($A28,'Data shares'!$C:$FB,4)</f>
        <v>1161.5</v>
      </c>
      <c r="E28" s="50">
        <f t="shared" si="0"/>
        <v>-1.3430908308222049</v>
      </c>
      <c r="F28" s="49">
        <f>VLOOKUP($A28,'Data shares'!$C:$FB,98)</f>
        <v>21522050</v>
      </c>
      <c r="G28" s="49">
        <f>VLOOKUP($A28,'Data shares'!$C:$FB,99)</f>
        <v>26826250</v>
      </c>
      <c r="H28" s="50">
        <f t="shared" si="1"/>
        <v>-19.772424397744746</v>
      </c>
      <c r="I28" s="49">
        <f>VLOOKUP($A28,'Data shares'!$C:$FB,66)</f>
        <v>21924100</v>
      </c>
      <c r="J28" s="49">
        <f>VLOOKUP($A28,'Data shares'!$C:$FB,67)</f>
        <v>11286550</v>
      </c>
      <c r="K28" s="50">
        <f t="shared" si="2"/>
        <v>48.519893633033966</v>
      </c>
      <c r="L28" s="50">
        <f>VLOOKUP($A28,'Data shares'!$C:$FB,118)</f>
        <v>1.1499999999999999</v>
      </c>
      <c r="M28" s="50">
        <f>VLOOKUP($A28,'Data shares'!$C:$FB,119)</f>
        <v>0.84</v>
      </c>
      <c r="N28" s="50">
        <f>VLOOKUP($A28,'Data shares'!$C:$FB,121)*100</f>
        <v>36.9</v>
      </c>
      <c r="O28" s="50">
        <f>VLOOKUP($A28,'Data shares'!$C:$FB,124)</f>
        <v>0.56999999999999995</v>
      </c>
      <c r="P28" s="50">
        <f>VLOOKUP($A28,'Data shares'!$C:$FB,125)</f>
        <v>0.85</v>
      </c>
      <c r="Q28" s="50">
        <f>VLOOKUP($A28,'Data shares'!$C:$FB,127)*100</f>
        <v>-32.940000000000005</v>
      </c>
    </row>
    <row r="29" spans="1:17" x14ac:dyDescent="0.25">
      <c r="A29" s="97" t="str">
        <f>'Data Vlaue (Cr)'!C24</f>
        <v>AXISBANK</v>
      </c>
      <c r="B29" s="140">
        <f>VLOOKUP($A29,'Data shares'!$C:$FB,7)</f>
        <v>1068.4000000000001</v>
      </c>
      <c r="C29" s="140">
        <f>VLOOKUP($A29,'Data shares'!$C:$FB,3)</f>
        <v>1074.4000000000001</v>
      </c>
      <c r="D29" s="140">
        <f>VLOOKUP($A29,'Data shares'!$C:$FB,4)</f>
        <v>1079.7</v>
      </c>
      <c r="E29" s="50">
        <f t="shared" si="0"/>
        <v>-0.49087709548948355</v>
      </c>
      <c r="F29" s="49">
        <f>VLOOKUP($A29,'Data shares'!$C:$FB,98)</f>
        <v>118940625</v>
      </c>
      <c r="G29" s="49">
        <f>VLOOKUP($A29,'Data shares'!$C:$FB,99)</f>
        <v>159758125</v>
      </c>
      <c r="H29" s="50">
        <f t="shared" si="1"/>
        <v>-25.549561250797105</v>
      </c>
      <c r="I29" s="49">
        <f>VLOOKUP($A29,'Data shares'!$C:$FB,66)</f>
        <v>67578750</v>
      </c>
      <c r="J29" s="49">
        <f>VLOOKUP($A29,'Data shares'!$C:$FB,67)</f>
        <v>88174375</v>
      </c>
      <c r="K29" s="50">
        <f t="shared" si="2"/>
        <v>-30.476481142370936</v>
      </c>
      <c r="L29" s="50">
        <f>VLOOKUP($A29,'Data shares'!$C:$FB,118)</f>
        <v>0.6</v>
      </c>
      <c r="M29" s="50">
        <f>VLOOKUP($A29,'Data shares'!$C:$FB,119)</f>
        <v>0.4</v>
      </c>
      <c r="N29" s="50">
        <f>VLOOKUP($A29,'Data shares'!$C:$FB,121)*100</f>
        <v>50</v>
      </c>
      <c r="O29" s="50">
        <f>VLOOKUP($A29,'Data shares'!$C:$FB,124)</f>
        <v>0.63</v>
      </c>
      <c r="P29" s="50">
        <f>VLOOKUP($A29,'Data shares'!$C:$FB,125)</f>
        <v>0.51</v>
      </c>
      <c r="Q29" s="50">
        <f>VLOOKUP($A29,'Data shares'!$C:$FB,127)*100</f>
        <v>23.53</v>
      </c>
    </row>
    <row r="30" spans="1:17" x14ac:dyDescent="0.25">
      <c r="A30" s="97" t="str">
        <f>'Data Vlaue (Cr)'!C25</f>
        <v>BAJAJ-AUTO</v>
      </c>
      <c r="B30" s="176">
        <f>VLOOKUP($A30,'Data shares'!$C:$FB,7)</f>
        <v>8008</v>
      </c>
      <c r="C30" s="176">
        <f>VLOOKUP($A30,'Data shares'!$C:$FB,3)</f>
        <v>8051</v>
      </c>
      <c r="D30" s="176">
        <f>VLOOKUP($A30,'Data shares'!$C:$FB,4)</f>
        <v>8087</v>
      </c>
      <c r="E30" s="50">
        <f t="shared" si="0"/>
        <v>-0.44515889699517747</v>
      </c>
      <c r="F30" s="49">
        <f>VLOOKUP($A30,'Data shares'!$C:$FB,98)</f>
        <v>3598575</v>
      </c>
      <c r="G30" s="49">
        <f>VLOOKUP($A30,'Data shares'!$C:$FB,99)</f>
        <v>5212950</v>
      </c>
      <c r="H30" s="50">
        <f t="shared" si="1"/>
        <v>-30.968549477742929</v>
      </c>
      <c r="I30" s="49">
        <f>VLOOKUP($A30,'Data shares'!$C:$FB,66)</f>
        <v>4382250</v>
      </c>
      <c r="J30" s="49">
        <f>VLOOKUP($A30,'Data shares'!$C:$FB,67)</f>
        <v>4138275</v>
      </c>
      <c r="K30" s="50">
        <f t="shared" si="2"/>
        <v>5.5673455416737978</v>
      </c>
      <c r="L30" s="50">
        <f>VLOOKUP($A30,'Data shares'!$C:$FB,118)</f>
        <v>0.94</v>
      </c>
      <c r="M30" s="50">
        <f>VLOOKUP($A30,'Data shares'!$C:$FB,119)</f>
        <v>0.66</v>
      </c>
      <c r="N30" s="50">
        <f>VLOOKUP($A30,'Data shares'!$C:$FB,121)*100</f>
        <v>42.42</v>
      </c>
      <c r="O30" s="50">
        <f>VLOOKUP($A30,'Data shares'!$C:$FB,124)</f>
        <v>0.8</v>
      </c>
      <c r="P30" s="50">
        <f>VLOOKUP($A30,'Data shares'!$C:$FB,125)</f>
        <v>0.55000000000000004</v>
      </c>
      <c r="Q30" s="50">
        <f>VLOOKUP($A30,'Data shares'!$C:$FB,127)*100</f>
        <v>45.45</v>
      </c>
    </row>
    <row r="31" spans="1:17" x14ac:dyDescent="0.25">
      <c r="A31" s="97" t="str">
        <f>'Data Vlaue (Cr)'!C26</f>
        <v>BAJAJFINSV</v>
      </c>
      <c r="B31" s="140">
        <f>VLOOKUP($A31,'Data shares'!$C:$FB,7)</f>
        <v>1948</v>
      </c>
      <c r="C31" s="140">
        <f>VLOOKUP($A31,'Data shares'!$C:$FB,3)</f>
        <v>1954.2</v>
      </c>
      <c r="D31" s="140">
        <f>VLOOKUP($A31,'Data shares'!$C:$FB,4)</f>
        <v>1969.1</v>
      </c>
      <c r="E31" s="50">
        <f t="shared" si="0"/>
        <v>-0.75669087400334489</v>
      </c>
      <c r="F31" s="49">
        <f>VLOOKUP($A31,'Data shares'!$C:$FB,98)</f>
        <v>21587500</v>
      </c>
      <c r="G31" s="49">
        <f>VLOOKUP($A31,'Data shares'!$C:$FB,99)</f>
        <v>31070000</v>
      </c>
      <c r="H31" s="50">
        <f t="shared" si="1"/>
        <v>-30.519794013517863</v>
      </c>
      <c r="I31" s="49">
        <f>VLOOKUP($A31,'Data shares'!$C:$FB,66)</f>
        <v>19585000</v>
      </c>
      <c r="J31" s="49">
        <f>VLOOKUP($A31,'Data shares'!$C:$FB,67)</f>
        <v>22249500</v>
      </c>
      <c r="K31" s="50">
        <f t="shared" si="2"/>
        <v>-13.604799591524126</v>
      </c>
      <c r="L31" s="50">
        <f>VLOOKUP($A31,'Data shares'!$C:$FB,118)</f>
        <v>0.63</v>
      </c>
      <c r="M31" s="50">
        <f>VLOOKUP($A31,'Data shares'!$C:$FB,119)</f>
        <v>0.44</v>
      </c>
      <c r="N31" s="50">
        <f>VLOOKUP($A31,'Data shares'!$C:$FB,121)*100</f>
        <v>43.18</v>
      </c>
      <c r="O31" s="50">
        <f>VLOOKUP($A31,'Data shares'!$C:$FB,124)</f>
        <v>0.51</v>
      </c>
      <c r="P31" s="50">
        <f>VLOOKUP($A31,'Data shares'!$C:$FB,125)</f>
        <v>0.53</v>
      </c>
      <c r="Q31" s="50">
        <f>VLOOKUP($A31,'Data shares'!$C:$FB,127)*100</f>
        <v>-3.7699999999999996</v>
      </c>
    </row>
    <row r="32" spans="1:17" x14ac:dyDescent="0.25">
      <c r="A32" s="97" t="str">
        <f>'Data Vlaue (Cr)'!C27</f>
        <v>BAJFINANCE</v>
      </c>
      <c r="B32" s="140">
        <f>VLOOKUP($A32,'Data shares'!$C:$FB,7)</f>
        <v>881.2</v>
      </c>
      <c r="C32" s="140">
        <f>VLOOKUP($A32,'Data shares'!$C:$FB,3)</f>
        <v>883.95</v>
      </c>
      <c r="D32" s="140">
        <f>VLOOKUP($A32,'Data shares'!$C:$FB,4)</f>
        <v>890.05</v>
      </c>
      <c r="E32" s="50">
        <f t="shared" si="0"/>
        <v>-0.68535475535081281</v>
      </c>
      <c r="F32" s="49">
        <f>VLOOKUP($A32,'Data shares'!$C:$FB,98)</f>
        <v>120872250</v>
      </c>
      <c r="G32" s="49">
        <f>VLOOKUP($A32,'Data shares'!$C:$FB,99)</f>
        <v>144811500</v>
      </c>
      <c r="H32" s="50">
        <f t="shared" si="1"/>
        <v>-16.53131829999689</v>
      </c>
      <c r="I32" s="49">
        <f>VLOOKUP($A32,'Data shares'!$C:$FB,66)</f>
        <v>81753000</v>
      </c>
      <c r="J32" s="49">
        <f>VLOOKUP($A32,'Data shares'!$C:$FB,67)</f>
        <v>85150500</v>
      </c>
      <c r="K32" s="50">
        <f t="shared" si="2"/>
        <v>-4.1558107959340944</v>
      </c>
      <c r="L32" s="50">
        <f>VLOOKUP($A32,'Data shares'!$C:$FB,118)</f>
        <v>0.55000000000000004</v>
      </c>
      <c r="M32" s="50">
        <f>VLOOKUP($A32,'Data shares'!$C:$FB,119)</f>
        <v>0.51</v>
      </c>
      <c r="N32" s="50">
        <f>VLOOKUP($A32,'Data shares'!$C:$FB,121)*100</f>
        <v>7.84</v>
      </c>
      <c r="O32" s="50">
        <f>VLOOKUP($A32,'Data shares'!$C:$FB,124)</f>
        <v>0.57999999999999996</v>
      </c>
      <c r="P32" s="50">
        <f>VLOOKUP($A32,'Data shares'!$C:$FB,125)</f>
        <v>0.56000000000000005</v>
      </c>
      <c r="Q32" s="50">
        <f>VLOOKUP($A32,'Data shares'!$C:$FB,127)*100</f>
        <v>3.5700000000000003</v>
      </c>
    </row>
    <row r="33" spans="1:17" x14ac:dyDescent="0.25">
      <c r="A33" s="97" t="str">
        <f>'Data Vlaue (Cr)'!C28</f>
        <v>BALKRISIND</v>
      </c>
      <c r="B33" s="140">
        <f>VLOOKUP($A33,'Data shares'!$C:$FB,7)</f>
        <v>2676.2</v>
      </c>
      <c r="C33" s="140">
        <f>VLOOKUP($A33,'Data shares'!$C:$FB,3)</f>
        <v>0</v>
      </c>
      <c r="D33" s="140">
        <f>VLOOKUP($A33,'Data shares'!$C:$FB,4)</f>
        <v>0</v>
      </c>
      <c r="E33" s="50" t="e">
        <f t="shared" si="0"/>
        <v>#DIV/0!</v>
      </c>
      <c r="F33" s="49">
        <f>VLOOKUP($A33,'Data shares'!$C:$FB,98)</f>
        <v>1370700</v>
      </c>
      <c r="G33" s="49">
        <f>VLOOKUP($A33,'Data shares'!$C:$FB,99)</f>
        <v>2553600</v>
      </c>
      <c r="H33" s="50">
        <f t="shared" si="1"/>
        <v>-46.322838345864668</v>
      </c>
      <c r="I33" s="49">
        <f>VLOOKUP($A33,'Data shares'!$C:$FB,66)</f>
        <v>2619900</v>
      </c>
      <c r="J33" s="49">
        <f>VLOOKUP($A33,'Data shares'!$C:$FB,67)</f>
        <v>2550600</v>
      </c>
      <c r="K33" s="50">
        <f t="shared" si="2"/>
        <v>2.6451391274476124</v>
      </c>
      <c r="L33" s="50">
        <f>VLOOKUP($A33,'Data shares'!$C:$FB,118)</f>
        <v>0.7</v>
      </c>
      <c r="M33" s="50">
        <f>VLOOKUP($A33,'Data shares'!$C:$FB,119)</f>
        <v>0.77</v>
      </c>
      <c r="N33" s="50">
        <f>VLOOKUP($A33,'Data shares'!$C:$FB,121)*100</f>
        <v>-9.09</v>
      </c>
      <c r="O33" s="50">
        <f>VLOOKUP($A33,'Data shares'!$C:$FB,124)</f>
        <v>0.92</v>
      </c>
      <c r="P33" s="50">
        <f>VLOOKUP($A33,'Data shares'!$C:$FB,125)</f>
        <v>0.88</v>
      </c>
      <c r="Q33" s="50">
        <f>VLOOKUP($A33,'Data shares'!$C:$FB,127)*100</f>
        <v>4.55</v>
      </c>
    </row>
    <row r="34" spans="1:17" x14ac:dyDescent="0.25">
      <c r="A34" s="97" t="str">
        <f>'Data Vlaue (Cr)'!C29</f>
        <v>BANDHANBNK</v>
      </c>
      <c r="B34" s="140">
        <f>VLOOKUP($A34,'Data shares'!$C:$FB,7)</f>
        <v>168.08</v>
      </c>
      <c r="C34" s="140">
        <f>VLOOKUP($A34,'Data shares'!$C:$FB,3)</f>
        <v>167.52</v>
      </c>
      <c r="D34" s="140">
        <f>VLOOKUP($A34,'Data shares'!$C:$FB,4)</f>
        <v>167.85</v>
      </c>
      <c r="E34" s="50">
        <f t="shared" si="0"/>
        <v>-0.19660411081321663</v>
      </c>
      <c r="F34" s="49">
        <f>VLOOKUP($A34,'Data shares'!$C:$FB,98)</f>
        <v>107305200</v>
      </c>
      <c r="G34" s="49">
        <f>VLOOKUP($A34,'Data shares'!$C:$FB,99)</f>
        <v>145281600</v>
      </c>
      <c r="H34" s="50">
        <f t="shared" si="1"/>
        <v>-26.139855287937358</v>
      </c>
      <c r="I34" s="49">
        <f>VLOOKUP($A34,'Data shares'!$C:$FB,66)</f>
        <v>79027200</v>
      </c>
      <c r="J34" s="49">
        <f>VLOOKUP($A34,'Data shares'!$C:$FB,67)</f>
        <v>84711600</v>
      </c>
      <c r="K34" s="50">
        <f t="shared" si="2"/>
        <v>-7.1929664723032065</v>
      </c>
      <c r="L34" s="50">
        <f>VLOOKUP($A34,'Data shares'!$C:$FB,118)</f>
        <v>0.8</v>
      </c>
      <c r="M34" s="50">
        <f>VLOOKUP($A34,'Data shares'!$C:$FB,119)</f>
        <v>0.52</v>
      </c>
      <c r="N34" s="50">
        <f>VLOOKUP($A34,'Data shares'!$C:$FB,121)*100</f>
        <v>53.849999999999994</v>
      </c>
      <c r="O34" s="50">
        <f>VLOOKUP($A34,'Data shares'!$C:$FB,124)</f>
        <v>0.75</v>
      </c>
      <c r="P34" s="50">
        <f>VLOOKUP($A34,'Data shares'!$C:$FB,125)</f>
        <v>0.64</v>
      </c>
      <c r="Q34" s="50">
        <f>VLOOKUP($A34,'Data shares'!$C:$FB,127)*100</f>
        <v>17.190000000000001</v>
      </c>
    </row>
    <row r="35" spans="1:17" x14ac:dyDescent="0.25">
      <c r="A35" s="97" t="str">
        <f>'Data Vlaue (Cr)'!C30</f>
        <v>BANKBARODA</v>
      </c>
      <c r="B35" s="140">
        <f>VLOOKUP($A35,'Data shares'!$C:$FB,7)</f>
        <v>237.87</v>
      </c>
      <c r="C35" s="140">
        <f>VLOOKUP($A35,'Data shares'!$C:$FB,3)</f>
        <v>239.02</v>
      </c>
      <c r="D35" s="140">
        <f>VLOOKUP($A35,'Data shares'!$C:$FB,4)</f>
        <v>241.03</v>
      </c>
      <c r="E35" s="50">
        <f t="shared" si="0"/>
        <v>-0.83392108866115877</v>
      </c>
      <c r="F35" s="49">
        <f>VLOOKUP($A35,'Data shares'!$C:$FB,98)</f>
        <v>151535475</v>
      </c>
      <c r="G35" s="49">
        <f>VLOOKUP($A35,'Data shares'!$C:$FB,99)</f>
        <v>193901175</v>
      </c>
      <c r="H35" s="50">
        <f t="shared" si="1"/>
        <v>-21.849119790016744</v>
      </c>
      <c r="I35" s="49">
        <f>VLOOKUP($A35,'Data shares'!$C:$FB,66)</f>
        <v>108450225</v>
      </c>
      <c r="J35" s="49">
        <f>VLOOKUP($A35,'Data shares'!$C:$FB,67)</f>
        <v>117684450</v>
      </c>
      <c r="K35" s="50">
        <f t="shared" si="2"/>
        <v>-8.5147126250775411</v>
      </c>
      <c r="L35" s="50">
        <f>VLOOKUP($A35,'Data shares'!$C:$FB,118)</f>
        <v>1.02</v>
      </c>
      <c r="M35" s="50">
        <f>VLOOKUP($A35,'Data shares'!$C:$FB,119)</f>
        <v>0.88</v>
      </c>
      <c r="N35" s="50">
        <f>VLOOKUP($A35,'Data shares'!$C:$FB,121)*100</f>
        <v>15.909999999999998</v>
      </c>
      <c r="O35" s="50">
        <f>VLOOKUP($A35,'Data shares'!$C:$FB,124)</f>
        <v>0.8</v>
      </c>
      <c r="P35" s="50">
        <f>VLOOKUP($A35,'Data shares'!$C:$FB,125)</f>
        <v>0.66</v>
      </c>
      <c r="Q35" s="50">
        <f>VLOOKUP($A35,'Data shares'!$C:$FB,127)*100</f>
        <v>21.21</v>
      </c>
    </row>
    <row r="36" spans="1:17" x14ac:dyDescent="0.25">
      <c r="A36" s="97" t="str">
        <f>'Data Vlaue (Cr)'!C31</f>
        <v>BANKINDIA</v>
      </c>
      <c r="B36" s="140">
        <f>VLOOKUP($A36,'Data shares'!$C:$FB,7)</f>
        <v>111.38</v>
      </c>
      <c r="C36" s="140">
        <f>VLOOKUP($A36,'Data shares'!$C:$FB,3)</f>
        <v>111.89</v>
      </c>
      <c r="D36" s="140">
        <f>VLOOKUP($A36,'Data shares'!$C:$FB,4)</f>
        <v>114.76</v>
      </c>
      <c r="E36" s="50">
        <f t="shared" si="0"/>
        <v>-2.5008713837574104</v>
      </c>
      <c r="F36" s="49">
        <f>VLOOKUP($A36,'Data shares'!$C:$FB,98)</f>
        <v>85607600</v>
      </c>
      <c r="G36" s="49">
        <f>VLOOKUP($A36,'Data shares'!$C:$FB,99)</f>
        <v>119834000</v>
      </c>
      <c r="H36" s="50">
        <f t="shared" si="1"/>
        <v>-28.561510088956389</v>
      </c>
      <c r="I36" s="49">
        <f>VLOOKUP($A36,'Data shares'!$C:$FB,66)</f>
        <v>91748800</v>
      </c>
      <c r="J36" s="49">
        <f>VLOOKUP($A36,'Data shares'!$C:$FB,67)</f>
        <v>168688000</v>
      </c>
      <c r="K36" s="50">
        <f t="shared" si="2"/>
        <v>-83.858535479483109</v>
      </c>
      <c r="L36" s="50">
        <f>VLOOKUP($A36,'Data shares'!$C:$FB,118)</f>
        <v>0.8</v>
      </c>
      <c r="M36" s="50">
        <f>VLOOKUP($A36,'Data shares'!$C:$FB,119)</f>
        <v>0.62</v>
      </c>
      <c r="N36" s="50">
        <f>VLOOKUP($A36,'Data shares'!$C:$FB,121)*100</f>
        <v>29.03</v>
      </c>
      <c r="O36" s="50">
        <f>VLOOKUP($A36,'Data shares'!$C:$FB,124)</f>
        <v>0.61</v>
      </c>
      <c r="P36" s="50">
        <f>VLOOKUP($A36,'Data shares'!$C:$FB,125)</f>
        <v>0.56999999999999995</v>
      </c>
      <c r="Q36" s="50">
        <f>VLOOKUP($A36,'Data shares'!$C:$FB,127)*100</f>
        <v>7.02</v>
      </c>
    </row>
    <row r="37" spans="1:17" x14ac:dyDescent="0.25">
      <c r="A37" s="97" t="str">
        <f>'Data Vlaue (Cr)'!C32</f>
        <v>BANKNIFTY</v>
      </c>
      <c r="B37" s="140">
        <f>VLOOKUP($A37,'Data shares'!$C:$FB,7)</f>
        <v>55961.95</v>
      </c>
      <c r="C37" s="140">
        <f>VLOOKUP($A37,'Data shares'!$C:$FB,3)</f>
        <v>56194</v>
      </c>
      <c r="D37" s="140">
        <f>VLOOKUP($A37,'Data shares'!$C:$FB,4)</f>
        <v>56359.8</v>
      </c>
      <c r="E37" s="50">
        <f t="shared" si="0"/>
        <v>-0.2941813136313523</v>
      </c>
      <c r="F37" s="49">
        <f>VLOOKUP($A37,'Data shares'!$C:$FB,98)</f>
        <v>20836550</v>
      </c>
      <c r="G37" s="49">
        <f>VLOOKUP($A37,'Data shares'!$C:$FB,99)</f>
        <v>61660245</v>
      </c>
      <c r="H37" s="50">
        <f t="shared" si="1"/>
        <v>-66.207481011468573</v>
      </c>
      <c r="I37" s="49">
        <f>VLOOKUP($A37,'Data shares'!$C:$FB,66)</f>
        <v>3100447385</v>
      </c>
      <c r="J37" s="49">
        <f>VLOOKUP($A37,'Data shares'!$C:$FB,67)</f>
        <v>571305980</v>
      </c>
      <c r="K37" s="50">
        <f t="shared" si="2"/>
        <v>81.573434119089242</v>
      </c>
      <c r="L37" s="50">
        <f>VLOOKUP($A37,'Data shares'!$C:$FB,118)</f>
        <v>0.97</v>
      </c>
      <c r="M37" s="50">
        <f>VLOOKUP($A37,'Data shares'!$C:$FB,119)</f>
        <v>0.68</v>
      </c>
      <c r="N37" s="50">
        <f>VLOOKUP($A37,'Data shares'!$C:$FB,121)*100</f>
        <v>42.65</v>
      </c>
      <c r="O37" s="50">
        <f>VLOOKUP($A37,'Data shares'!$C:$FB,124)</f>
        <v>0.86</v>
      </c>
      <c r="P37" s="50">
        <f>VLOOKUP($A37,'Data shares'!$C:$FB,125)</f>
        <v>0.84</v>
      </c>
      <c r="Q37" s="50">
        <f>VLOOKUP($A37,'Data shares'!$C:$FB,127)*100</f>
        <v>2.3800000000000003</v>
      </c>
    </row>
    <row r="38" spans="1:17" x14ac:dyDescent="0.25">
      <c r="A38" s="97" t="str">
        <f>'Data Vlaue (Cr)'!C33</f>
        <v>BDL</v>
      </c>
      <c r="B38" s="140">
        <f>VLOOKUP($A38,'Data shares'!$C:$FB,7)</f>
        <v>1619</v>
      </c>
      <c r="C38" s="140">
        <f>VLOOKUP($A38,'Data shares'!$C:$FB,3)</f>
        <v>1627.1</v>
      </c>
      <c r="D38" s="140">
        <f>VLOOKUP($A38,'Data shares'!$C:$FB,4)</f>
        <v>1630.8</v>
      </c>
      <c r="E38" s="50">
        <f t="shared" si="0"/>
        <v>-0.22688251165072637</v>
      </c>
      <c r="F38" s="49">
        <f>VLOOKUP($A38,'Data shares'!$C:$FB,98)</f>
        <v>5753150</v>
      </c>
      <c r="G38" s="49">
        <f>VLOOKUP($A38,'Data shares'!$C:$FB,99)</f>
        <v>9858875</v>
      </c>
      <c r="H38" s="50">
        <f t="shared" si="1"/>
        <v>-41.644964562386683</v>
      </c>
      <c r="I38" s="49">
        <f>VLOOKUP($A38,'Data shares'!$C:$FB,66)</f>
        <v>7176000</v>
      </c>
      <c r="J38" s="49">
        <f>VLOOKUP($A38,'Data shares'!$C:$FB,67)</f>
        <v>6029075</v>
      </c>
      <c r="K38" s="50">
        <f t="shared" si="2"/>
        <v>15.982789855072463</v>
      </c>
      <c r="L38" s="50">
        <f>VLOOKUP($A38,'Data shares'!$C:$FB,118)</f>
        <v>0.7</v>
      </c>
      <c r="M38" s="50">
        <f>VLOOKUP($A38,'Data shares'!$C:$FB,119)</f>
        <v>0.43</v>
      </c>
      <c r="N38" s="50">
        <f>VLOOKUP($A38,'Data shares'!$C:$FB,121)*100</f>
        <v>62.79</v>
      </c>
      <c r="O38" s="50">
        <f>VLOOKUP($A38,'Data shares'!$C:$FB,124)</f>
        <v>0.39</v>
      </c>
      <c r="P38" s="50">
        <f>VLOOKUP($A38,'Data shares'!$C:$FB,125)</f>
        <v>0.34</v>
      </c>
      <c r="Q38" s="50">
        <f>VLOOKUP($A38,'Data shares'!$C:$FB,127)*100</f>
        <v>14.71</v>
      </c>
    </row>
    <row r="39" spans="1:17" x14ac:dyDescent="0.25">
      <c r="A39" s="97" t="str">
        <f>'Data Vlaue (Cr)'!C34</f>
        <v>BEL</v>
      </c>
      <c r="B39" s="140">
        <f>VLOOKUP($A39,'Data shares'!$C:$FB,7)</f>
        <v>383.1</v>
      </c>
      <c r="C39" s="140">
        <f>VLOOKUP($A39,'Data shares'!$C:$FB,3)</f>
        <v>384.9</v>
      </c>
      <c r="D39" s="140">
        <f>VLOOKUP($A39,'Data shares'!$C:$FB,4)</f>
        <v>388.2</v>
      </c>
      <c r="E39" s="50">
        <f t="shared" si="0"/>
        <v>-0.85007727975270775</v>
      </c>
      <c r="F39" s="49">
        <f>VLOOKUP($A39,'Data shares'!$C:$FB,98)</f>
        <v>193600500</v>
      </c>
      <c r="G39" s="49">
        <f>VLOOKUP($A39,'Data shares'!$C:$FB,99)</f>
        <v>277552950</v>
      </c>
      <c r="H39" s="50">
        <f t="shared" si="1"/>
        <v>-30.247363611159599</v>
      </c>
      <c r="I39" s="49">
        <f>VLOOKUP($A39,'Data shares'!$C:$FB,66)</f>
        <v>216953400</v>
      </c>
      <c r="J39" s="49">
        <f>VLOOKUP($A39,'Data shares'!$C:$FB,67)</f>
        <v>231690750</v>
      </c>
      <c r="K39" s="50">
        <f t="shared" si="2"/>
        <v>-6.7928642740791343</v>
      </c>
      <c r="L39" s="50">
        <f>VLOOKUP($A39,'Data shares'!$C:$FB,118)</f>
        <v>0.7</v>
      </c>
      <c r="M39" s="50">
        <f>VLOOKUP($A39,'Data shares'!$C:$FB,119)</f>
        <v>0.52</v>
      </c>
      <c r="N39" s="50">
        <f>VLOOKUP($A39,'Data shares'!$C:$FB,121)*100</f>
        <v>34.619999999999997</v>
      </c>
      <c r="O39" s="50">
        <f>VLOOKUP($A39,'Data shares'!$C:$FB,124)</f>
        <v>0.64</v>
      </c>
      <c r="P39" s="50">
        <f>VLOOKUP($A39,'Data shares'!$C:$FB,125)</f>
        <v>0.37</v>
      </c>
      <c r="Q39" s="50">
        <f>VLOOKUP($A39,'Data shares'!$C:$FB,127)*100</f>
        <v>72.97</v>
      </c>
    </row>
    <row r="40" spans="1:17" x14ac:dyDescent="0.25">
      <c r="A40" s="97" t="str">
        <f>'Data Vlaue (Cr)'!C35</f>
        <v>BHARATFORG</v>
      </c>
      <c r="B40" s="140">
        <f>VLOOKUP($A40,'Data shares'!$C:$FB,7)</f>
        <v>1169.0999999999999</v>
      </c>
      <c r="C40" s="140">
        <f>VLOOKUP($A40,'Data shares'!$C:$FB,3)</f>
        <v>1171.5</v>
      </c>
      <c r="D40" s="140">
        <f>VLOOKUP($A40,'Data shares'!$C:$FB,4)</f>
        <v>1189.5999999999999</v>
      </c>
      <c r="E40" s="50">
        <f t="shared" si="0"/>
        <v>-1.521519838601203</v>
      </c>
      <c r="F40" s="49">
        <f>VLOOKUP($A40,'Data shares'!$C:$FB,98)</f>
        <v>14484500</v>
      </c>
      <c r="G40" s="49">
        <f>VLOOKUP($A40,'Data shares'!$C:$FB,99)</f>
        <v>18412000</v>
      </c>
      <c r="H40" s="50">
        <f t="shared" si="1"/>
        <v>-21.331197045405169</v>
      </c>
      <c r="I40" s="49">
        <f>VLOOKUP($A40,'Data shares'!$C:$FB,66)</f>
        <v>15767000</v>
      </c>
      <c r="J40" s="49">
        <f>VLOOKUP($A40,'Data shares'!$C:$FB,67)</f>
        <v>19119500</v>
      </c>
      <c r="K40" s="50">
        <f t="shared" si="2"/>
        <v>-21.262764000761084</v>
      </c>
      <c r="L40" s="50">
        <f>VLOOKUP($A40,'Data shares'!$C:$FB,118)</f>
        <v>1.17</v>
      </c>
      <c r="M40" s="50">
        <f>VLOOKUP($A40,'Data shares'!$C:$FB,119)</f>
        <v>0.69</v>
      </c>
      <c r="N40" s="50">
        <f>VLOOKUP($A40,'Data shares'!$C:$FB,121)*100</f>
        <v>69.569999999999993</v>
      </c>
      <c r="O40" s="50">
        <f>VLOOKUP($A40,'Data shares'!$C:$FB,124)</f>
        <v>0.97</v>
      </c>
      <c r="P40" s="50">
        <f>VLOOKUP($A40,'Data shares'!$C:$FB,125)</f>
        <v>1.1299999999999999</v>
      </c>
      <c r="Q40" s="50">
        <f>VLOOKUP($A40,'Data shares'!$C:$FB,127)*100</f>
        <v>-14.16</v>
      </c>
    </row>
    <row r="41" spans="1:17" x14ac:dyDescent="0.25">
      <c r="A41" s="97" t="str">
        <f>'Data Vlaue (Cr)'!C36</f>
        <v>BHARTIARTL</v>
      </c>
      <c r="B41" s="140">
        <f>VLOOKUP($A41,'Data shares'!$C:$FB,7)</f>
        <v>1914.3</v>
      </c>
      <c r="C41" s="140">
        <f>VLOOKUP($A41,'Data shares'!$C:$FB,3)</f>
        <v>1921.7</v>
      </c>
      <c r="D41" s="140">
        <f>VLOOKUP($A41,'Data shares'!$C:$FB,4)</f>
        <v>1943.6</v>
      </c>
      <c r="E41" s="50">
        <f t="shared" si="0"/>
        <v>-1.1267750565960004</v>
      </c>
      <c r="F41" s="49">
        <f>VLOOKUP($A41,'Data shares'!$C:$FB,98)</f>
        <v>51979725</v>
      </c>
      <c r="G41" s="49">
        <f>VLOOKUP($A41,'Data shares'!$C:$FB,99)</f>
        <v>72238000</v>
      </c>
      <c r="H41" s="50">
        <f t="shared" si="1"/>
        <v>-28.043792740662809</v>
      </c>
      <c r="I41" s="49">
        <f>VLOOKUP($A41,'Data shares'!$C:$FB,66)</f>
        <v>37129800</v>
      </c>
      <c r="J41" s="49">
        <f>VLOOKUP($A41,'Data shares'!$C:$FB,67)</f>
        <v>50939000</v>
      </c>
      <c r="K41" s="50">
        <f t="shared" si="2"/>
        <v>-37.191689693992423</v>
      </c>
      <c r="L41" s="50">
        <f>VLOOKUP($A41,'Data shares'!$C:$FB,118)</f>
        <v>0.63</v>
      </c>
      <c r="M41" s="50">
        <f>VLOOKUP($A41,'Data shares'!$C:$FB,119)</f>
        <v>0.46</v>
      </c>
      <c r="N41" s="50">
        <f>VLOOKUP($A41,'Data shares'!$C:$FB,121)*100</f>
        <v>36.96</v>
      </c>
      <c r="O41" s="50">
        <f>VLOOKUP($A41,'Data shares'!$C:$FB,124)</f>
        <v>0.53</v>
      </c>
      <c r="P41" s="50">
        <f>VLOOKUP($A41,'Data shares'!$C:$FB,125)</f>
        <v>0.41</v>
      </c>
      <c r="Q41" s="50">
        <f>VLOOKUP($A41,'Data shares'!$C:$FB,127)*100</f>
        <v>29.270000000000003</v>
      </c>
    </row>
    <row r="42" spans="1:17" x14ac:dyDescent="0.25">
      <c r="A42" s="97" t="str">
        <f>'Data Vlaue (Cr)'!C37</f>
        <v>BHEL</v>
      </c>
      <c r="B42" s="140">
        <f>VLOOKUP($A42,'Data shares'!$C:$FB,7)</f>
        <v>238.45</v>
      </c>
      <c r="C42" s="140">
        <f>VLOOKUP($A42,'Data shares'!$C:$FB,3)</f>
        <v>239.1</v>
      </c>
      <c r="D42" s="140">
        <f>VLOOKUP($A42,'Data shares'!$C:$FB,4)</f>
        <v>242.7</v>
      </c>
      <c r="E42" s="50">
        <f t="shared" si="0"/>
        <v>-1.483312731767612</v>
      </c>
      <c r="F42" s="49">
        <f>VLOOKUP($A42,'Data shares'!$C:$FB,98)</f>
        <v>76993875</v>
      </c>
      <c r="G42" s="49">
        <f>VLOOKUP($A42,'Data shares'!$C:$FB,99)</f>
        <v>108864000</v>
      </c>
      <c r="H42" s="50">
        <f t="shared" si="1"/>
        <v>-29.275173611111111</v>
      </c>
      <c r="I42" s="49">
        <f>VLOOKUP($A42,'Data shares'!$C:$FB,66)</f>
        <v>78831375</v>
      </c>
      <c r="J42" s="49">
        <f>VLOOKUP($A42,'Data shares'!$C:$FB,67)</f>
        <v>63496125</v>
      </c>
      <c r="K42" s="50">
        <f t="shared" si="2"/>
        <v>19.453231660617362</v>
      </c>
      <c r="L42" s="50">
        <f>VLOOKUP($A42,'Data shares'!$C:$FB,118)</f>
        <v>0.84</v>
      </c>
      <c r="M42" s="50">
        <f>VLOOKUP($A42,'Data shares'!$C:$FB,119)</f>
        <v>0.56000000000000005</v>
      </c>
      <c r="N42" s="50">
        <f>VLOOKUP($A42,'Data shares'!$C:$FB,121)*100</f>
        <v>50</v>
      </c>
      <c r="O42" s="50">
        <f>VLOOKUP($A42,'Data shares'!$C:$FB,124)</f>
        <v>0.65</v>
      </c>
      <c r="P42" s="50">
        <f>VLOOKUP($A42,'Data shares'!$C:$FB,125)</f>
        <v>0.56000000000000005</v>
      </c>
      <c r="Q42" s="50">
        <f>VLOOKUP($A42,'Data shares'!$C:$FB,127)*100</f>
        <v>16.07</v>
      </c>
    </row>
    <row r="43" spans="1:17" x14ac:dyDescent="0.25">
      <c r="A43" s="97" t="str">
        <f>'Data Vlaue (Cr)'!C38</f>
        <v>BIOCON</v>
      </c>
      <c r="B43" s="140">
        <f>VLOOKUP($A43,'Data shares'!$C:$FB,7)</f>
        <v>391.4</v>
      </c>
      <c r="C43" s="140">
        <f>VLOOKUP($A43,'Data shares'!$C:$FB,3)</f>
        <v>393.55</v>
      </c>
      <c r="D43" s="140">
        <f>VLOOKUP($A43,'Data shares'!$C:$FB,4)</f>
        <v>400</v>
      </c>
      <c r="E43" s="50">
        <f t="shared" si="0"/>
        <v>-1.6124999999999972</v>
      </c>
      <c r="F43" s="49">
        <f>VLOOKUP($A43,'Data shares'!$C:$FB,98)</f>
        <v>50290000</v>
      </c>
      <c r="G43" s="49">
        <f>VLOOKUP($A43,'Data shares'!$C:$FB,99)</f>
        <v>74765000</v>
      </c>
      <c r="H43" s="50">
        <f t="shared" si="1"/>
        <v>-32.73590583829332</v>
      </c>
      <c r="I43" s="49">
        <f>VLOOKUP($A43,'Data shares'!$C:$FB,66)</f>
        <v>57230000</v>
      </c>
      <c r="J43" s="49">
        <f>VLOOKUP($A43,'Data shares'!$C:$FB,67)</f>
        <v>64237500</v>
      </c>
      <c r="K43" s="50">
        <f t="shared" si="2"/>
        <v>-12.244452210379171</v>
      </c>
      <c r="L43" s="50">
        <f>VLOOKUP($A43,'Data shares'!$C:$FB,118)</f>
        <v>0.56000000000000005</v>
      </c>
      <c r="M43" s="50">
        <f>VLOOKUP($A43,'Data shares'!$C:$FB,119)</f>
        <v>0.63</v>
      </c>
      <c r="N43" s="50">
        <f>VLOOKUP($A43,'Data shares'!$C:$FB,121)*100</f>
        <v>-11.110000000000001</v>
      </c>
      <c r="O43" s="50">
        <f>VLOOKUP($A43,'Data shares'!$C:$FB,124)</f>
        <v>0.66</v>
      </c>
      <c r="P43" s="50">
        <f>VLOOKUP($A43,'Data shares'!$C:$FB,125)</f>
        <v>0.44</v>
      </c>
      <c r="Q43" s="50">
        <f>VLOOKUP($A43,'Data shares'!$C:$FB,127)*100</f>
        <v>50</v>
      </c>
    </row>
    <row r="44" spans="1:17" x14ac:dyDescent="0.25">
      <c r="A44" s="97" t="str">
        <f>'Data Vlaue (Cr)'!C39</f>
        <v>BLUESTARCO</v>
      </c>
      <c r="B44" s="140">
        <f>VLOOKUP($A44,'Data shares'!$C:$FB,7)</f>
        <v>1738.1</v>
      </c>
      <c r="C44" s="140">
        <f>VLOOKUP($A44,'Data shares'!$C:$FB,3)</f>
        <v>1743.9</v>
      </c>
      <c r="D44" s="140">
        <f>VLOOKUP($A44,'Data shares'!$C:$FB,4)</f>
        <v>1748</v>
      </c>
      <c r="E44" s="50">
        <f t="shared" si="0"/>
        <v>-0.2345537757437019</v>
      </c>
      <c r="F44" s="49">
        <f>VLOOKUP($A44,'Data shares'!$C:$FB,98)</f>
        <v>1559675</v>
      </c>
      <c r="G44" s="49">
        <f>VLOOKUP($A44,'Data shares'!$C:$FB,99)</f>
        <v>3478800</v>
      </c>
      <c r="H44" s="50">
        <f t="shared" si="1"/>
        <v>-55.166292974588934</v>
      </c>
      <c r="I44" s="49">
        <f>VLOOKUP($A44,'Data shares'!$C:$FB,66)</f>
        <v>1975675</v>
      </c>
      <c r="J44" s="49">
        <f>VLOOKUP($A44,'Data shares'!$C:$FB,67)</f>
        <v>2619175</v>
      </c>
      <c r="K44" s="50">
        <f t="shared" si="2"/>
        <v>-32.571146570159563</v>
      </c>
      <c r="L44" s="50">
        <f>VLOOKUP($A44,'Data shares'!$C:$FB,118)</f>
        <v>0.5</v>
      </c>
      <c r="M44" s="50">
        <f>VLOOKUP($A44,'Data shares'!$C:$FB,119)</f>
        <v>0.92</v>
      </c>
      <c r="N44" s="50">
        <f>VLOOKUP($A44,'Data shares'!$C:$FB,121)*100</f>
        <v>-45.65</v>
      </c>
      <c r="O44" s="50">
        <f>VLOOKUP($A44,'Data shares'!$C:$FB,124)</f>
        <v>0.94</v>
      </c>
      <c r="P44" s="50">
        <f>VLOOKUP($A44,'Data shares'!$C:$FB,125)</f>
        <v>0.48</v>
      </c>
      <c r="Q44" s="50">
        <f>VLOOKUP($A44,'Data shares'!$C:$FB,127)*100</f>
        <v>95.83</v>
      </c>
    </row>
    <row r="45" spans="1:17" x14ac:dyDescent="0.25">
      <c r="A45" s="97" t="str">
        <f>'Data Vlaue (Cr)'!C40</f>
        <v>BOSCHLTD</v>
      </c>
      <c r="B45" s="140">
        <f>VLOOKUP($A45,'Data shares'!$C:$FB,7)</f>
        <v>40385</v>
      </c>
      <c r="C45" s="140">
        <f>VLOOKUP($A45,'Data shares'!$C:$FB,3)</f>
        <v>40495</v>
      </c>
      <c r="D45" s="140">
        <f>VLOOKUP($A45,'Data shares'!$C:$FB,4)</f>
        <v>40250</v>
      </c>
      <c r="E45" s="50">
        <f t="shared" si="0"/>
        <v>0.60869565217391308</v>
      </c>
      <c r="F45" s="49">
        <f>VLOOKUP($A45,'Data shares'!$C:$FB,98)</f>
        <v>423200</v>
      </c>
      <c r="G45" s="49">
        <f>VLOOKUP($A45,'Data shares'!$C:$FB,99)</f>
        <v>1023475</v>
      </c>
      <c r="H45" s="50">
        <f t="shared" si="1"/>
        <v>-58.650675395100023</v>
      </c>
      <c r="I45" s="49">
        <f>VLOOKUP($A45,'Data shares'!$C:$FB,66)</f>
        <v>1943200</v>
      </c>
      <c r="J45" s="49">
        <f>VLOOKUP($A45,'Data shares'!$C:$FB,67)</f>
        <v>5320675</v>
      </c>
      <c r="K45" s="50">
        <f t="shared" si="2"/>
        <v>-173.80995265541375</v>
      </c>
      <c r="L45" s="50">
        <f>VLOOKUP($A45,'Data shares'!$C:$FB,118)</f>
        <v>0.57999999999999996</v>
      </c>
      <c r="M45" s="50">
        <f>VLOOKUP($A45,'Data shares'!$C:$FB,119)</f>
        <v>0.65</v>
      </c>
      <c r="N45" s="50">
        <f>VLOOKUP($A45,'Data shares'!$C:$FB,121)*100</f>
        <v>-10.77</v>
      </c>
      <c r="O45" s="50">
        <f>VLOOKUP($A45,'Data shares'!$C:$FB,124)</f>
        <v>0.56999999999999995</v>
      </c>
      <c r="P45" s="50">
        <f>VLOOKUP($A45,'Data shares'!$C:$FB,125)</f>
        <v>0.49</v>
      </c>
      <c r="Q45" s="50">
        <f>VLOOKUP($A45,'Data shares'!$C:$FB,127)*100</f>
        <v>16.329999999999998</v>
      </c>
    </row>
    <row r="46" spans="1:17" x14ac:dyDescent="0.25">
      <c r="A46" s="97" t="str">
        <f>'Data Vlaue (Cr)'!C41</f>
        <v>BPCL</v>
      </c>
      <c r="B46" s="140">
        <f>VLOOKUP($A46,'Data shares'!$C:$FB,7)</f>
        <v>329.3</v>
      </c>
      <c r="C46" s="140">
        <f>VLOOKUP($A46,'Data shares'!$C:$FB,3)</f>
        <v>328.45</v>
      </c>
      <c r="D46" s="140">
        <f>VLOOKUP($A46,'Data shares'!$C:$FB,4)</f>
        <v>333.65</v>
      </c>
      <c r="E46" s="50">
        <f t="shared" si="0"/>
        <v>-1.5585194065637611</v>
      </c>
      <c r="F46" s="49">
        <f>VLOOKUP($A46,'Data shares'!$C:$FB,98)</f>
        <v>50350650</v>
      </c>
      <c r="G46" s="49">
        <f>VLOOKUP($A46,'Data shares'!$C:$FB,99)</f>
        <v>87569525</v>
      </c>
      <c r="H46" s="50">
        <f t="shared" si="1"/>
        <v>-42.502086199508334</v>
      </c>
      <c r="I46" s="49">
        <f>VLOOKUP($A46,'Data shares'!$C:$FB,66)</f>
        <v>74056575</v>
      </c>
      <c r="J46" s="49">
        <f>VLOOKUP($A46,'Data shares'!$C:$FB,67)</f>
        <v>198611925</v>
      </c>
      <c r="K46" s="50">
        <f t="shared" si="2"/>
        <v>-168.18945515641249</v>
      </c>
      <c r="L46" s="50">
        <f>VLOOKUP($A46,'Data shares'!$C:$FB,118)</f>
        <v>0.62</v>
      </c>
      <c r="M46" s="50">
        <f>VLOOKUP($A46,'Data shares'!$C:$FB,119)</f>
        <v>0.47</v>
      </c>
      <c r="N46" s="50">
        <f>VLOOKUP($A46,'Data shares'!$C:$FB,121)*100</f>
        <v>31.91</v>
      </c>
      <c r="O46" s="50">
        <f>VLOOKUP($A46,'Data shares'!$C:$FB,124)</f>
        <v>0.55000000000000004</v>
      </c>
      <c r="P46" s="50">
        <f>VLOOKUP($A46,'Data shares'!$C:$FB,125)</f>
        <v>0.22</v>
      </c>
      <c r="Q46" s="50">
        <f>VLOOKUP($A46,'Data shares'!$C:$FB,127)*100</f>
        <v>150</v>
      </c>
    </row>
    <row r="47" spans="1:17" x14ac:dyDescent="0.25">
      <c r="A47" s="97" t="str">
        <f>'Data Vlaue (Cr)'!C42</f>
        <v>BRITANNIA</v>
      </c>
      <c r="B47" s="140">
        <f>VLOOKUP($A47,'Data shares'!$C:$FB,7)</f>
        <v>5771</v>
      </c>
      <c r="C47" s="140">
        <f>VLOOKUP($A47,'Data shares'!$C:$FB,3)</f>
        <v>5727</v>
      </c>
      <c r="D47" s="140">
        <f>VLOOKUP($A47,'Data shares'!$C:$FB,4)</f>
        <v>5705</v>
      </c>
      <c r="E47" s="50">
        <f t="shared" si="0"/>
        <v>0.38562664329535495</v>
      </c>
      <c r="F47" s="49">
        <f>VLOOKUP($A47,'Data shares'!$C:$FB,98)</f>
        <v>3374500</v>
      </c>
      <c r="G47" s="49">
        <f>VLOOKUP($A47,'Data shares'!$C:$FB,99)</f>
        <v>4218750</v>
      </c>
      <c r="H47" s="50">
        <f t="shared" si="1"/>
        <v>-20.011851851851851</v>
      </c>
      <c r="I47" s="49">
        <f>VLOOKUP($A47,'Data shares'!$C:$FB,66)</f>
        <v>3586750</v>
      </c>
      <c r="J47" s="49">
        <f>VLOOKUP($A47,'Data shares'!$C:$FB,67)</f>
        <v>3424500</v>
      </c>
      <c r="K47" s="50">
        <f t="shared" si="2"/>
        <v>4.5235937826723349</v>
      </c>
      <c r="L47" s="50">
        <f>VLOOKUP($A47,'Data shares'!$C:$FB,118)</f>
        <v>0.51</v>
      </c>
      <c r="M47" s="50">
        <f>VLOOKUP($A47,'Data shares'!$C:$FB,119)</f>
        <v>0.66</v>
      </c>
      <c r="N47" s="50">
        <f>VLOOKUP($A47,'Data shares'!$C:$FB,121)*100</f>
        <v>-22.73</v>
      </c>
      <c r="O47" s="50">
        <f>VLOOKUP($A47,'Data shares'!$C:$FB,124)</f>
        <v>0.28000000000000003</v>
      </c>
      <c r="P47" s="50">
        <f>VLOOKUP($A47,'Data shares'!$C:$FB,125)</f>
        <v>0.39</v>
      </c>
      <c r="Q47" s="50">
        <f>VLOOKUP($A47,'Data shares'!$C:$FB,127)*100</f>
        <v>-28.21</v>
      </c>
    </row>
    <row r="48" spans="1:17" x14ac:dyDescent="0.25">
      <c r="A48" s="97" t="str">
        <f>'Data Vlaue (Cr)'!C43</f>
        <v>BSE</v>
      </c>
      <c r="B48" s="140">
        <f>VLOOKUP($A48,'Data shares'!$C:$FB,7)</f>
        <v>2427.4</v>
      </c>
      <c r="C48" s="140">
        <f>VLOOKUP($A48,'Data shares'!$C:$FB,3)</f>
        <v>2437.6</v>
      </c>
      <c r="D48" s="140">
        <f>VLOOKUP($A48,'Data shares'!$C:$FB,4)</f>
        <v>2463.5</v>
      </c>
      <c r="E48" s="50">
        <f t="shared" si="0"/>
        <v>-1.0513497057032715</v>
      </c>
      <c r="F48" s="49">
        <f>VLOOKUP($A48,'Data shares'!$C:$FB,98)</f>
        <v>17468625</v>
      </c>
      <c r="G48" s="49">
        <f>VLOOKUP($A48,'Data shares'!$C:$FB,99)</f>
        <v>34536750</v>
      </c>
      <c r="H48" s="50">
        <f t="shared" si="1"/>
        <v>-49.420182848704641</v>
      </c>
      <c r="I48" s="49">
        <f>VLOOKUP($A48,'Data shares'!$C:$FB,66)</f>
        <v>31802625</v>
      </c>
      <c r="J48" s="49">
        <f>VLOOKUP($A48,'Data shares'!$C:$FB,67)</f>
        <v>33396750</v>
      </c>
      <c r="K48" s="50">
        <f t="shared" si="2"/>
        <v>-5.0125579256429305</v>
      </c>
      <c r="L48" s="50">
        <f>VLOOKUP($A48,'Data shares'!$C:$FB,118)</f>
        <v>0.85</v>
      </c>
      <c r="M48" s="50">
        <f>VLOOKUP($A48,'Data shares'!$C:$FB,119)</f>
        <v>0.61</v>
      </c>
      <c r="N48" s="50">
        <f>VLOOKUP($A48,'Data shares'!$C:$FB,121)*100</f>
        <v>39.340000000000003</v>
      </c>
      <c r="O48" s="50">
        <f>VLOOKUP($A48,'Data shares'!$C:$FB,124)</f>
        <v>0.69</v>
      </c>
      <c r="P48" s="50">
        <f>VLOOKUP($A48,'Data shares'!$C:$FB,125)</f>
        <v>0.53</v>
      </c>
      <c r="Q48" s="50">
        <f>VLOOKUP($A48,'Data shares'!$C:$FB,127)*100</f>
        <v>30.19</v>
      </c>
    </row>
    <row r="49" spans="1:17" x14ac:dyDescent="0.25">
      <c r="A49" s="97" t="str">
        <f>'Data Vlaue (Cr)'!C44</f>
        <v>BSOFT</v>
      </c>
      <c r="B49" s="140">
        <f>VLOOKUP($A49,'Data shares'!$C:$FB,7)</f>
        <v>391.5</v>
      </c>
      <c r="C49" s="140">
        <f>VLOOKUP($A49,'Data shares'!$C:$FB,3)</f>
        <v>0</v>
      </c>
      <c r="D49" s="140">
        <f>VLOOKUP($A49,'Data shares'!$C:$FB,4)</f>
        <v>0</v>
      </c>
      <c r="E49" s="50" t="e">
        <f t="shared" si="0"/>
        <v>#DIV/0!</v>
      </c>
      <c r="F49" s="49">
        <f>VLOOKUP($A49,'Data shares'!$C:$FB,98)</f>
        <v>7593300</v>
      </c>
      <c r="G49" s="49">
        <f>VLOOKUP($A49,'Data shares'!$C:$FB,99)</f>
        <v>12473500</v>
      </c>
      <c r="H49" s="50">
        <f t="shared" si="1"/>
        <v>-39.124544033350702</v>
      </c>
      <c r="I49" s="49">
        <f>VLOOKUP($A49,'Data shares'!$C:$FB,66)</f>
        <v>10757500</v>
      </c>
      <c r="J49" s="49">
        <f>VLOOKUP($A49,'Data shares'!$C:$FB,67)</f>
        <v>17416100</v>
      </c>
      <c r="K49" s="50">
        <f t="shared" si="2"/>
        <v>-61.897280966767376</v>
      </c>
      <c r="L49" s="50">
        <f>VLOOKUP($A49,'Data shares'!$C:$FB,118)</f>
        <v>0.44</v>
      </c>
      <c r="M49" s="50">
        <f>VLOOKUP($A49,'Data shares'!$C:$FB,119)</f>
        <v>0.47</v>
      </c>
      <c r="N49" s="50">
        <f>VLOOKUP($A49,'Data shares'!$C:$FB,121)*100</f>
        <v>-6.38</v>
      </c>
      <c r="O49" s="50">
        <f>VLOOKUP($A49,'Data shares'!$C:$FB,124)</f>
        <v>1.02</v>
      </c>
      <c r="P49" s="50">
        <f>VLOOKUP($A49,'Data shares'!$C:$FB,125)</f>
        <v>0.36</v>
      </c>
      <c r="Q49" s="50">
        <f>VLOOKUP($A49,'Data shares'!$C:$FB,127)*100</f>
        <v>183.32999999999998</v>
      </c>
    </row>
    <row r="50" spans="1:17" x14ac:dyDescent="0.25">
      <c r="A50" s="97" t="str">
        <f>'Data Vlaue (Cr)'!C45</f>
        <v>CAMS</v>
      </c>
      <c r="B50" s="140">
        <f>VLOOKUP($A50,'Data shares'!$C:$FB,7)</f>
        <v>3736.8</v>
      </c>
      <c r="C50" s="140">
        <f>VLOOKUP($A50,'Data shares'!$C:$FB,3)</f>
        <v>3748.1</v>
      </c>
      <c r="D50" s="140">
        <f>VLOOKUP($A50,'Data shares'!$C:$FB,4)</f>
        <v>3892.5</v>
      </c>
      <c r="E50" s="50">
        <f t="shared" si="0"/>
        <v>-3.7096981374438043</v>
      </c>
      <c r="F50" s="49">
        <f>VLOOKUP($A50,'Data shares'!$C:$FB,98)</f>
        <v>3247050</v>
      </c>
      <c r="G50" s="49">
        <f>VLOOKUP($A50,'Data shares'!$C:$FB,99)</f>
        <v>4845450</v>
      </c>
      <c r="H50" s="50">
        <f t="shared" si="1"/>
        <v>-32.987648206048974</v>
      </c>
      <c r="I50" s="49">
        <f>VLOOKUP($A50,'Data shares'!$C:$FB,66)</f>
        <v>8335800</v>
      </c>
      <c r="J50" s="49">
        <f>VLOOKUP($A50,'Data shares'!$C:$FB,67)</f>
        <v>3618750</v>
      </c>
      <c r="K50" s="50">
        <f t="shared" si="2"/>
        <v>56.587849996401062</v>
      </c>
      <c r="L50" s="50">
        <f>VLOOKUP($A50,'Data shares'!$C:$FB,118)</f>
        <v>0.66</v>
      </c>
      <c r="M50" s="50">
        <f>VLOOKUP($A50,'Data shares'!$C:$FB,119)</f>
        <v>0.72</v>
      </c>
      <c r="N50" s="50">
        <f>VLOOKUP($A50,'Data shares'!$C:$FB,121)*100</f>
        <v>-8.33</v>
      </c>
      <c r="O50" s="50">
        <f>VLOOKUP($A50,'Data shares'!$C:$FB,124)</f>
        <v>0.81</v>
      </c>
      <c r="P50" s="50">
        <f>VLOOKUP($A50,'Data shares'!$C:$FB,125)</f>
        <v>0.52</v>
      </c>
      <c r="Q50" s="50">
        <f>VLOOKUP($A50,'Data shares'!$C:$FB,127)*100</f>
        <v>55.769999999999996</v>
      </c>
    </row>
    <row r="51" spans="1:17" x14ac:dyDescent="0.25">
      <c r="A51" s="97" t="str">
        <f>'Data Vlaue (Cr)'!C46</f>
        <v>CANBK</v>
      </c>
      <c r="B51" s="140">
        <f>VLOOKUP($A51,'Data shares'!$C:$FB,7)</f>
        <v>107.25</v>
      </c>
      <c r="C51" s="140">
        <f>VLOOKUP($A51,'Data shares'!$C:$FB,3)</f>
        <v>107.84</v>
      </c>
      <c r="D51" s="140">
        <f>VLOOKUP($A51,'Data shares'!$C:$FB,4)</f>
        <v>108.82</v>
      </c>
      <c r="E51" s="50">
        <f t="shared" si="0"/>
        <v>-0.9005697482080407</v>
      </c>
      <c r="F51" s="49">
        <f>VLOOKUP($A51,'Data shares'!$C:$FB,98)</f>
        <v>351769500</v>
      </c>
      <c r="G51" s="49">
        <f>VLOOKUP($A51,'Data shares'!$C:$FB,99)</f>
        <v>477400500</v>
      </c>
      <c r="H51" s="50">
        <f t="shared" si="1"/>
        <v>-26.315640641348303</v>
      </c>
      <c r="I51" s="49">
        <f>VLOOKUP($A51,'Data shares'!$C:$FB,66)</f>
        <v>343210500</v>
      </c>
      <c r="J51" s="49">
        <f>VLOOKUP($A51,'Data shares'!$C:$FB,67)</f>
        <v>270438750</v>
      </c>
      <c r="K51" s="50">
        <f t="shared" si="2"/>
        <v>21.203241159579907</v>
      </c>
      <c r="L51" s="50">
        <f>VLOOKUP($A51,'Data shares'!$C:$FB,118)</f>
        <v>0.76</v>
      </c>
      <c r="M51" s="50">
        <f>VLOOKUP($A51,'Data shares'!$C:$FB,119)</f>
        <v>0.65</v>
      </c>
      <c r="N51" s="50">
        <f>VLOOKUP($A51,'Data shares'!$C:$FB,121)*100</f>
        <v>16.919999999999998</v>
      </c>
      <c r="O51" s="50">
        <f>VLOOKUP($A51,'Data shares'!$C:$FB,124)</f>
        <v>0.68</v>
      </c>
      <c r="P51" s="50">
        <f>VLOOKUP($A51,'Data shares'!$C:$FB,125)</f>
        <v>0.41</v>
      </c>
      <c r="Q51" s="50">
        <f>VLOOKUP($A51,'Data shares'!$C:$FB,127)*100</f>
        <v>65.849999999999994</v>
      </c>
    </row>
    <row r="52" spans="1:17" x14ac:dyDescent="0.25">
      <c r="A52" s="97" t="str">
        <f>'Data Vlaue (Cr)'!C47</f>
        <v>CDSL</v>
      </c>
      <c r="B52" s="140">
        <f>VLOOKUP($A52,'Data shares'!$C:$FB,7)</f>
        <v>1480.8</v>
      </c>
      <c r="C52" s="140">
        <f>VLOOKUP($A52,'Data shares'!$C:$FB,3)</f>
        <v>1476</v>
      </c>
      <c r="D52" s="140">
        <f>VLOOKUP($A52,'Data shares'!$C:$FB,4)</f>
        <v>1502.3</v>
      </c>
      <c r="E52" s="50">
        <f t="shared" si="0"/>
        <v>-1.7506490048592129</v>
      </c>
      <c r="F52" s="49">
        <f>VLOOKUP($A52,'Data shares'!$C:$FB,98)</f>
        <v>17290000</v>
      </c>
      <c r="G52" s="49">
        <f>VLOOKUP($A52,'Data shares'!$C:$FB,99)</f>
        <v>25299925</v>
      </c>
      <c r="H52" s="50">
        <f t="shared" si="1"/>
        <v>-31.659876462084373</v>
      </c>
      <c r="I52" s="49">
        <f>VLOOKUP($A52,'Data shares'!$C:$FB,66)</f>
        <v>20030275</v>
      </c>
      <c r="J52" s="49">
        <f>VLOOKUP($A52,'Data shares'!$C:$FB,67)</f>
        <v>23890600</v>
      </c>
      <c r="K52" s="50">
        <f t="shared" si="2"/>
        <v>-19.272451326804049</v>
      </c>
      <c r="L52" s="50">
        <f>VLOOKUP($A52,'Data shares'!$C:$FB,118)</f>
        <v>0.7</v>
      </c>
      <c r="M52" s="50">
        <f>VLOOKUP($A52,'Data shares'!$C:$FB,119)</f>
        <v>0.56999999999999995</v>
      </c>
      <c r="N52" s="50">
        <f>VLOOKUP($A52,'Data shares'!$C:$FB,121)*100</f>
        <v>22.81</v>
      </c>
      <c r="O52" s="50">
        <f>VLOOKUP($A52,'Data shares'!$C:$FB,124)</f>
        <v>0.68</v>
      </c>
      <c r="P52" s="50">
        <f>VLOOKUP($A52,'Data shares'!$C:$FB,125)</f>
        <v>0.63</v>
      </c>
      <c r="Q52" s="50">
        <f>VLOOKUP($A52,'Data shares'!$C:$FB,127)*100</f>
        <v>7.9399999999999995</v>
      </c>
    </row>
    <row r="53" spans="1:17" x14ac:dyDescent="0.25">
      <c r="A53" s="97" t="str">
        <f>'Data Vlaue (Cr)'!C48</f>
        <v>CESC</v>
      </c>
      <c r="B53" s="140">
        <f>VLOOKUP($A53,'Data shares'!$C:$FB,7)</f>
        <v>169.51</v>
      </c>
      <c r="C53" s="140">
        <f>VLOOKUP($A53,'Data shares'!$C:$FB,3)</f>
        <v>170.04</v>
      </c>
      <c r="D53" s="140">
        <f>VLOOKUP($A53,'Data shares'!$C:$FB,4)</f>
        <v>177.75</v>
      </c>
      <c r="E53" s="50">
        <f t="shared" si="0"/>
        <v>-4.3375527426160385</v>
      </c>
      <c r="F53" s="49">
        <f>VLOOKUP($A53,'Data shares'!$C:$FB,98)</f>
        <v>21557875</v>
      </c>
      <c r="G53" s="49">
        <f>VLOOKUP($A53,'Data shares'!$C:$FB,99)</f>
        <v>33882875</v>
      </c>
      <c r="H53" s="50">
        <f t="shared" si="1"/>
        <v>-36.375307585321494</v>
      </c>
      <c r="I53" s="49">
        <f>VLOOKUP($A53,'Data shares'!$C:$FB,66)</f>
        <v>41760000</v>
      </c>
      <c r="J53" s="49">
        <f>VLOOKUP($A53,'Data shares'!$C:$FB,67)</f>
        <v>51946250</v>
      </c>
      <c r="K53" s="50">
        <f t="shared" si="2"/>
        <v>-24.392361111111111</v>
      </c>
      <c r="L53" s="50">
        <f>VLOOKUP($A53,'Data shares'!$C:$FB,118)</f>
        <v>0.47</v>
      </c>
      <c r="M53" s="50">
        <f>VLOOKUP($A53,'Data shares'!$C:$FB,119)</f>
        <v>0.57999999999999996</v>
      </c>
      <c r="N53" s="50">
        <f>VLOOKUP($A53,'Data shares'!$C:$FB,121)*100</f>
        <v>-18.970000000000002</v>
      </c>
      <c r="O53" s="50">
        <f>VLOOKUP($A53,'Data shares'!$C:$FB,124)</f>
        <v>0.53</v>
      </c>
      <c r="P53" s="50">
        <f>VLOOKUP($A53,'Data shares'!$C:$FB,125)</f>
        <v>0.42</v>
      </c>
      <c r="Q53" s="50">
        <f>VLOOKUP($A53,'Data shares'!$C:$FB,127)*100</f>
        <v>26.19</v>
      </c>
    </row>
    <row r="54" spans="1:17" x14ac:dyDescent="0.25">
      <c r="A54" s="97" t="str">
        <f>'Data Vlaue (Cr)'!C49</f>
        <v>CGPOWER</v>
      </c>
      <c r="B54" s="140">
        <f>VLOOKUP($A54,'Data shares'!$C:$FB,7)</f>
        <v>661.7</v>
      </c>
      <c r="C54" s="140">
        <f>VLOOKUP($A54,'Data shares'!$C:$FB,3)</f>
        <v>664.2</v>
      </c>
      <c r="D54" s="140">
        <f>VLOOKUP($A54,'Data shares'!$C:$FB,4)</f>
        <v>664.45</v>
      </c>
      <c r="E54" s="50">
        <f t="shared" si="0"/>
        <v>-3.7625103469034533E-2</v>
      </c>
      <c r="F54" s="49">
        <f>VLOOKUP($A54,'Data shares'!$C:$FB,98)</f>
        <v>20635450</v>
      </c>
      <c r="G54" s="49">
        <f>VLOOKUP($A54,'Data shares'!$C:$FB,99)</f>
        <v>28611850</v>
      </c>
      <c r="H54" s="50">
        <f t="shared" si="1"/>
        <v>-27.877959656575857</v>
      </c>
      <c r="I54" s="49">
        <f>VLOOKUP($A54,'Data shares'!$C:$FB,66)</f>
        <v>12906400</v>
      </c>
      <c r="J54" s="49">
        <f>VLOOKUP($A54,'Data shares'!$C:$FB,67)</f>
        <v>16813000</v>
      </c>
      <c r="K54" s="50">
        <f t="shared" si="2"/>
        <v>-30.268703898840887</v>
      </c>
      <c r="L54" s="50">
        <f>VLOOKUP($A54,'Data shares'!$C:$FB,118)</f>
        <v>0.9</v>
      </c>
      <c r="M54" s="50">
        <f>VLOOKUP($A54,'Data shares'!$C:$FB,119)</f>
        <v>0.65</v>
      </c>
      <c r="N54" s="50">
        <f>VLOOKUP($A54,'Data shares'!$C:$FB,121)*100</f>
        <v>38.46</v>
      </c>
      <c r="O54" s="50">
        <f>VLOOKUP($A54,'Data shares'!$C:$FB,124)</f>
        <v>0.4</v>
      </c>
      <c r="P54" s="50">
        <f>VLOOKUP($A54,'Data shares'!$C:$FB,125)</f>
        <v>0.42</v>
      </c>
      <c r="Q54" s="50">
        <f>VLOOKUP($A54,'Data shares'!$C:$FB,127)*100</f>
        <v>-4.7600000000000007</v>
      </c>
    </row>
    <row r="55" spans="1:17" x14ac:dyDescent="0.25">
      <c r="A55" s="97" t="str">
        <f>'Data Vlaue (Cr)'!C50</f>
        <v>CHAMBLFERT</v>
      </c>
      <c r="B55" s="140">
        <f>VLOOKUP($A55,'Data shares'!$C:$FB,7)</f>
        <v>514.9</v>
      </c>
      <c r="C55" s="140">
        <f>VLOOKUP($A55,'Data shares'!$C:$FB,3)</f>
        <v>0</v>
      </c>
      <c r="D55" s="140">
        <f>VLOOKUP($A55,'Data shares'!$C:$FB,4)</f>
        <v>0</v>
      </c>
      <c r="E55" s="50" t="e">
        <f t="shared" si="0"/>
        <v>#DIV/0!</v>
      </c>
      <c r="F55" s="49">
        <f>VLOOKUP($A55,'Data shares'!$C:$FB,98)</f>
        <v>5408350</v>
      </c>
      <c r="G55" s="49">
        <f>VLOOKUP($A55,'Data shares'!$C:$FB,99)</f>
        <v>12332900</v>
      </c>
      <c r="H55" s="50">
        <f t="shared" si="1"/>
        <v>-56.146972731474357</v>
      </c>
      <c r="I55" s="49">
        <f>VLOOKUP($A55,'Data shares'!$C:$FB,66)</f>
        <v>11697350</v>
      </c>
      <c r="J55" s="49">
        <f>VLOOKUP($A55,'Data shares'!$C:$FB,67)</f>
        <v>16872000</v>
      </c>
      <c r="K55" s="50">
        <f t="shared" si="2"/>
        <v>-44.237797449849751</v>
      </c>
      <c r="L55" s="50">
        <f>VLOOKUP($A55,'Data shares'!$C:$FB,118)</f>
        <v>0.49</v>
      </c>
      <c r="M55" s="50">
        <f>VLOOKUP($A55,'Data shares'!$C:$FB,119)</f>
        <v>0.51</v>
      </c>
      <c r="N55" s="50">
        <f>VLOOKUP($A55,'Data shares'!$C:$FB,121)*100</f>
        <v>-3.92</v>
      </c>
      <c r="O55" s="50">
        <f>VLOOKUP($A55,'Data shares'!$C:$FB,124)</f>
        <v>0.71</v>
      </c>
      <c r="P55" s="50">
        <f>VLOOKUP($A55,'Data shares'!$C:$FB,125)</f>
        <v>0.17</v>
      </c>
      <c r="Q55" s="50">
        <f>VLOOKUP($A55,'Data shares'!$C:$FB,127)*100</f>
        <v>317.64999999999998</v>
      </c>
    </row>
    <row r="56" spans="1:17" x14ac:dyDescent="0.25">
      <c r="A56" s="97" t="str">
        <f>'Data Vlaue (Cr)'!C51</f>
        <v>CHOLAFIN</v>
      </c>
      <c r="B56" s="140">
        <f>VLOOKUP($A56,'Data shares'!$C:$FB,7)</f>
        <v>1443.2</v>
      </c>
      <c r="C56" s="140">
        <f>VLOOKUP($A56,'Data shares'!$C:$FB,3)</f>
        <v>1426.8</v>
      </c>
      <c r="D56" s="140">
        <f>VLOOKUP($A56,'Data shares'!$C:$FB,4)</f>
        <v>1482</v>
      </c>
      <c r="E56" s="50">
        <f t="shared" si="0"/>
        <v>-3.7246963562753068</v>
      </c>
      <c r="F56" s="49">
        <f>VLOOKUP($A56,'Data shares'!$C:$FB,98)</f>
        <v>16531875</v>
      </c>
      <c r="G56" s="49">
        <f>VLOOKUP($A56,'Data shares'!$C:$FB,99)</f>
        <v>19520625</v>
      </c>
      <c r="H56" s="50">
        <f t="shared" si="1"/>
        <v>-15.310729036595907</v>
      </c>
      <c r="I56" s="49">
        <f>VLOOKUP($A56,'Data shares'!$C:$FB,66)</f>
        <v>30255000</v>
      </c>
      <c r="J56" s="49">
        <f>VLOOKUP($A56,'Data shares'!$C:$FB,67)</f>
        <v>14141875</v>
      </c>
      <c r="K56" s="50">
        <f t="shared" si="2"/>
        <v>53.25772599570319</v>
      </c>
      <c r="L56" s="50">
        <f>VLOOKUP($A56,'Data shares'!$C:$FB,118)</f>
        <v>0.74</v>
      </c>
      <c r="M56" s="50">
        <f>VLOOKUP($A56,'Data shares'!$C:$FB,119)</f>
        <v>0.64</v>
      </c>
      <c r="N56" s="50">
        <f>VLOOKUP($A56,'Data shares'!$C:$FB,121)*100</f>
        <v>15.620000000000001</v>
      </c>
      <c r="O56" s="50">
        <f>VLOOKUP($A56,'Data shares'!$C:$FB,124)</f>
        <v>0.66</v>
      </c>
      <c r="P56" s="50">
        <f>VLOOKUP($A56,'Data shares'!$C:$FB,125)</f>
        <v>0.39</v>
      </c>
      <c r="Q56" s="50">
        <f>VLOOKUP($A56,'Data shares'!$C:$FB,127)*100</f>
        <v>69.23</v>
      </c>
    </row>
    <row r="57" spans="1:17" x14ac:dyDescent="0.25">
      <c r="A57" s="97" t="str">
        <f>'Data Vlaue (Cr)'!C52</f>
        <v>CIPLA</v>
      </c>
      <c r="B57" s="140">
        <f>VLOOKUP($A57,'Data shares'!$C:$FB,7)</f>
        <v>1554.6</v>
      </c>
      <c r="C57" s="140">
        <f>VLOOKUP($A57,'Data shares'!$C:$FB,3)</f>
        <v>1560.8</v>
      </c>
      <c r="D57" s="140">
        <f>VLOOKUP($A57,'Data shares'!$C:$FB,4)</f>
        <v>1567.4</v>
      </c>
      <c r="E57" s="50">
        <f t="shared" si="0"/>
        <v>-0.42107949470461503</v>
      </c>
      <c r="F57" s="49">
        <f>VLOOKUP($A57,'Data shares'!$C:$FB,98)</f>
        <v>14310375</v>
      </c>
      <c r="G57" s="49">
        <f>VLOOKUP($A57,'Data shares'!$C:$FB,99)</f>
        <v>22341000</v>
      </c>
      <c r="H57" s="50">
        <f t="shared" si="1"/>
        <v>-35.945682825298782</v>
      </c>
      <c r="I57" s="49">
        <f>VLOOKUP($A57,'Data shares'!$C:$FB,66)</f>
        <v>11991375</v>
      </c>
      <c r="J57" s="49">
        <f>VLOOKUP($A57,'Data shares'!$C:$FB,67)</f>
        <v>18217125</v>
      </c>
      <c r="K57" s="50">
        <f t="shared" si="2"/>
        <v>-51.91856646965006</v>
      </c>
      <c r="L57" s="50">
        <f>VLOOKUP($A57,'Data shares'!$C:$FB,118)</f>
        <v>0.66</v>
      </c>
      <c r="M57" s="50">
        <f>VLOOKUP($A57,'Data shares'!$C:$FB,119)</f>
        <v>0.67</v>
      </c>
      <c r="N57" s="50">
        <f>VLOOKUP($A57,'Data shares'!$C:$FB,121)*100</f>
        <v>-1.49</v>
      </c>
      <c r="O57" s="50">
        <f>VLOOKUP($A57,'Data shares'!$C:$FB,124)</f>
        <v>1.01</v>
      </c>
      <c r="P57" s="50">
        <f>VLOOKUP($A57,'Data shares'!$C:$FB,125)</f>
        <v>0.6</v>
      </c>
      <c r="Q57" s="50">
        <f>VLOOKUP($A57,'Data shares'!$C:$FB,127)*100</f>
        <v>68.33</v>
      </c>
    </row>
    <row r="58" spans="1:17" x14ac:dyDescent="0.25">
      <c r="A58" s="97" t="str">
        <f>'Data Vlaue (Cr)'!C53</f>
        <v>COALINDIA</v>
      </c>
      <c r="B58" s="140">
        <f>VLOOKUP($A58,'Data shares'!$C:$FB,7)</f>
        <v>376.35</v>
      </c>
      <c r="C58" s="140">
        <f>VLOOKUP($A58,'Data shares'!$C:$FB,3)</f>
        <v>370.7</v>
      </c>
      <c r="D58" s="140">
        <f>VLOOKUP($A58,'Data shares'!$C:$FB,4)</f>
        <v>375.85</v>
      </c>
      <c r="E58" s="50">
        <f t="shared" si="0"/>
        <v>-1.3702274843687732</v>
      </c>
      <c r="F58" s="49">
        <f>VLOOKUP($A58,'Data shares'!$C:$FB,98)</f>
        <v>113387850</v>
      </c>
      <c r="G58" s="49">
        <f>VLOOKUP($A58,'Data shares'!$C:$FB,99)</f>
        <v>145489500</v>
      </c>
      <c r="H58" s="50">
        <f t="shared" si="1"/>
        <v>-22.064581980142897</v>
      </c>
      <c r="I58" s="49">
        <f>VLOOKUP($A58,'Data shares'!$C:$FB,66)</f>
        <v>85024350</v>
      </c>
      <c r="J58" s="49">
        <f>VLOOKUP($A58,'Data shares'!$C:$FB,67)</f>
        <v>85247100</v>
      </c>
      <c r="K58" s="50">
        <f t="shared" si="2"/>
        <v>-0.26198377288388563</v>
      </c>
      <c r="L58" s="50">
        <f>VLOOKUP($A58,'Data shares'!$C:$FB,118)</f>
        <v>1.02</v>
      </c>
      <c r="M58" s="50">
        <f>VLOOKUP($A58,'Data shares'!$C:$FB,119)</f>
        <v>0.75</v>
      </c>
      <c r="N58" s="50">
        <f>VLOOKUP($A58,'Data shares'!$C:$FB,121)*100</f>
        <v>36</v>
      </c>
      <c r="O58" s="50">
        <f>VLOOKUP($A58,'Data shares'!$C:$FB,124)</f>
        <v>0.69</v>
      </c>
      <c r="P58" s="50">
        <f>VLOOKUP($A58,'Data shares'!$C:$FB,125)</f>
        <v>0.75</v>
      </c>
      <c r="Q58" s="50">
        <f>VLOOKUP($A58,'Data shares'!$C:$FB,127)*100</f>
        <v>-8</v>
      </c>
    </row>
    <row r="59" spans="1:17" x14ac:dyDescent="0.25">
      <c r="A59" s="97" t="str">
        <f>'Data Vlaue (Cr)'!C54</f>
        <v>COFORGE</v>
      </c>
      <c r="B59" s="140">
        <f>VLOOKUP($A59,'Data shares'!$C:$FB,7)</f>
        <v>1748.2</v>
      </c>
      <c r="C59" s="140">
        <f>VLOOKUP($A59,'Data shares'!$C:$FB,3)</f>
        <v>1752.6</v>
      </c>
      <c r="D59" s="140">
        <f>VLOOKUP($A59,'Data shares'!$C:$FB,4)</f>
        <v>1752.6</v>
      </c>
      <c r="E59" s="50">
        <f t="shared" si="0"/>
        <v>0</v>
      </c>
      <c r="F59" s="49">
        <f>VLOOKUP($A59,'Data shares'!$C:$FB,98)</f>
        <v>19190250</v>
      </c>
      <c r="G59" s="49">
        <f>VLOOKUP($A59,'Data shares'!$C:$FB,99)</f>
        <v>30246750</v>
      </c>
      <c r="H59" s="50">
        <f t="shared" si="1"/>
        <v>-36.554340548984605</v>
      </c>
      <c r="I59" s="49">
        <f>VLOOKUP($A59,'Data shares'!$C:$FB,66)</f>
        <v>22522125</v>
      </c>
      <c r="J59" s="49">
        <f>VLOOKUP($A59,'Data shares'!$C:$FB,67)</f>
        <v>29263875</v>
      </c>
      <c r="K59" s="50">
        <f t="shared" si="2"/>
        <v>-29.933898333305581</v>
      </c>
      <c r="L59" s="50">
        <f>VLOOKUP($A59,'Data shares'!$C:$FB,118)</f>
        <v>0.64</v>
      </c>
      <c r="M59" s="50">
        <f>VLOOKUP($A59,'Data shares'!$C:$FB,119)</f>
        <v>0.43</v>
      </c>
      <c r="N59" s="50">
        <f>VLOOKUP($A59,'Data shares'!$C:$FB,121)*100</f>
        <v>48.84</v>
      </c>
      <c r="O59" s="50">
        <f>VLOOKUP($A59,'Data shares'!$C:$FB,124)</f>
        <v>0.44</v>
      </c>
      <c r="P59" s="50">
        <f>VLOOKUP($A59,'Data shares'!$C:$FB,125)</f>
        <v>0.28999999999999998</v>
      </c>
      <c r="Q59" s="50">
        <f>VLOOKUP($A59,'Data shares'!$C:$FB,127)*100</f>
        <v>51.72</v>
      </c>
    </row>
    <row r="60" spans="1:17" x14ac:dyDescent="0.25">
      <c r="A60" s="97" t="str">
        <f>'Data Vlaue (Cr)'!C55</f>
        <v>COLPAL</v>
      </c>
      <c r="B60" s="140">
        <f>VLOOKUP($A60,'Data shares'!$C:$FB,7)</f>
        <v>2245.3000000000002</v>
      </c>
      <c r="C60" s="140">
        <f>VLOOKUP($A60,'Data shares'!$C:$FB,3)</f>
        <v>2258</v>
      </c>
      <c r="D60" s="140">
        <f>VLOOKUP($A60,'Data shares'!$C:$FB,4)</f>
        <v>2248.9</v>
      </c>
      <c r="E60" s="50">
        <f t="shared" si="0"/>
        <v>0.40464226955400018</v>
      </c>
      <c r="F60" s="49">
        <f>VLOOKUP($A60,'Data shares'!$C:$FB,98)</f>
        <v>7679250</v>
      </c>
      <c r="G60" s="49">
        <f>VLOOKUP($A60,'Data shares'!$C:$FB,99)</f>
        <v>10089900</v>
      </c>
      <c r="H60" s="50">
        <f t="shared" si="1"/>
        <v>-23.891713495673891</v>
      </c>
      <c r="I60" s="49">
        <f>VLOOKUP($A60,'Data shares'!$C:$FB,66)</f>
        <v>6554025</v>
      </c>
      <c r="J60" s="49">
        <f>VLOOKUP($A60,'Data shares'!$C:$FB,67)</f>
        <v>6438600</v>
      </c>
      <c r="K60" s="50">
        <f t="shared" si="2"/>
        <v>1.7611315184180714</v>
      </c>
      <c r="L60" s="50">
        <f>VLOOKUP($A60,'Data shares'!$C:$FB,118)</f>
        <v>0.87</v>
      </c>
      <c r="M60" s="50">
        <f>VLOOKUP($A60,'Data shares'!$C:$FB,119)</f>
        <v>0.65</v>
      </c>
      <c r="N60" s="50">
        <f>VLOOKUP($A60,'Data shares'!$C:$FB,121)*100</f>
        <v>33.85</v>
      </c>
      <c r="O60" s="50">
        <f>VLOOKUP($A60,'Data shares'!$C:$FB,124)</f>
        <v>0.51</v>
      </c>
      <c r="P60" s="50">
        <f>VLOOKUP($A60,'Data shares'!$C:$FB,125)</f>
        <v>0.35</v>
      </c>
      <c r="Q60" s="50">
        <f>VLOOKUP($A60,'Data shares'!$C:$FB,127)*100</f>
        <v>45.71</v>
      </c>
    </row>
    <row r="61" spans="1:17" x14ac:dyDescent="0.25">
      <c r="A61" s="97" t="str">
        <f>'Data Vlaue (Cr)'!C56</f>
        <v>CONCOR</v>
      </c>
      <c r="B61" s="140">
        <f>VLOOKUP($A61,'Data shares'!$C:$FB,7)</f>
        <v>578.20000000000005</v>
      </c>
      <c r="C61" s="140">
        <f>VLOOKUP($A61,'Data shares'!$C:$FB,3)</f>
        <v>579.4</v>
      </c>
      <c r="D61" s="140">
        <f>VLOOKUP($A61,'Data shares'!$C:$FB,4)</f>
        <v>587</v>
      </c>
      <c r="E61" s="50">
        <f t="shared" si="0"/>
        <v>-1.2947189097103957</v>
      </c>
      <c r="F61" s="49">
        <f>VLOOKUP($A61,'Data shares'!$C:$FB,98)</f>
        <v>25741250</v>
      </c>
      <c r="G61" s="49">
        <f>VLOOKUP($A61,'Data shares'!$C:$FB,99)</f>
        <v>35977500</v>
      </c>
      <c r="H61" s="50">
        <f t="shared" si="1"/>
        <v>-28.451810159127234</v>
      </c>
      <c r="I61" s="49">
        <f>VLOOKUP($A61,'Data shares'!$C:$FB,66)</f>
        <v>17425000</v>
      </c>
      <c r="J61" s="49">
        <f>VLOOKUP($A61,'Data shares'!$C:$FB,67)</f>
        <v>24232500</v>
      </c>
      <c r="K61" s="50">
        <f t="shared" si="2"/>
        <v>-39.067431850789099</v>
      </c>
      <c r="L61" s="50">
        <f>VLOOKUP($A61,'Data shares'!$C:$FB,118)</f>
        <v>0.94</v>
      </c>
      <c r="M61" s="50">
        <f>VLOOKUP($A61,'Data shares'!$C:$FB,119)</f>
        <v>0.68</v>
      </c>
      <c r="N61" s="50">
        <f>VLOOKUP($A61,'Data shares'!$C:$FB,121)*100</f>
        <v>38.24</v>
      </c>
      <c r="O61" s="50">
        <f>VLOOKUP($A61,'Data shares'!$C:$FB,124)</f>
        <v>0.87</v>
      </c>
      <c r="P61" s="50">
        <f>VLOOKUP($A61,'Data shares'!$C:$FB,125)</f>
        <v>0.62</v>
      </c>
      <c r="Q61" s="50">
        <f>VLOOKUP($A61,'Data shares'!$C:$FB,127)*100</f>
        <v>40.32</v>
      </c>
    </row>
    <row r="62" spans="1:17" x14ac:dyDescent="0.25">
      <c r="A62" s="97" t="str">
        <f>'Data Vlaue (Cr)'!C57</f>
        <v>CROMPTON</v>
      </c>
      <c r="B62" s="140">
        <f>VLOOKUP($A62,'Data shares'!$C:$FB,7)</f>
        <v>323</v>
      </c>
      <c r="C62" s="140">
        <f>VLOOKUP($A62,'Data shares'!$C:$FB,3)</f>
        <v>324.85000000000002</v>
      </c>
      <c r="D62" s="140">
        <f>VLOOKUP($A62,'Data shares'!$C:$FB,4)</f>
        <v>325.55</v>
      </c>
      <c r="E62" s="50">
        <f t="shared" si="0"/>
        <v>-0.21502073414221734</v>
      </c>
      <c r="F62" s="49">
        <f>VLOOKUP($A62,'Data shares'!$C:$FB,98)</f>
        <v>44370000</v>
      </c>
      <c r="G62" s="49">
        <f>VLOOKUP($A62,'Data shares'!$C:$FB,99)</f>
        <v>52601400</v>
      </c>
      <c r="H62" s="50">
        <f t="shared" si="1"/>
        <v>-15.648632926119838</v>
      </c>
      <c r="I62" s="49">
        <f>VLOOKUP($A62,'Data shares'!$C:$FB,66)</f>
        <v>19650600</v>
      </c>
      <c r="J62" s="49">
        <f>VLOOKUP($A62,'Data shares'!$C:$FB,67)</f>
        <v>35994600</v>
      </c>
      <c r="K62" s="50">
        <f t="shared" si="2"/>
        <v>-83.173032884492088</v>
      </c>
      <c r="L62" s="50">
        <f>VLOOKUP($A62,'Data shares'!$C:$FB,118)</f>
        <v>1.2</v>
      </c>
      <c r="M62" s="50">
        <f>VLOOKUP($A62,'Data shares'!$C:$FB,119)</f>
        <v>0.67</v>
      </c>
      <c r="N62" s="50">
        <f>VLOOKUP($A62,'Data shares'!$C:$FB,121)*100</f>
        <v>79.100000000000009</v>
      </c>
      <c r="O62" s="50">
        <f>VLOOKUP($A62,'Data shares'!$C:$FB,124)</f>
        <v>1</v>
      </c>
      <c r="P62" s="50">
        <f>VLOOKUP($A62,'Data shares'!$C:$FB,125)</f>
        <v>0.77</v>
      </c>
      <c r="Q62" s="50">
        <f>VLOOKUP($A62,'Data shares'!$C:$FB,127)*100</f>
        <v>29.87</v>
      </c>
    </row>
    <row r="63" spans="1:17" x14ac:dyDescent="0.25">
      <c r="A63" s="97" t="str">
        <f>'Data Vlaue (Cr)'!C58</f>
        <v>CUMMINSIND</v>
      </c>
      <c r="B63" s="140">
        <f>VLOOKUP($A63,'Data shares'!$C:$FB,7)</f>
        <v>3555.5</v>
      </c>
      <c r="C63" s="140">
        <f>VLOOKUP($A63,'Data shares'!$C:$FB,3)</f>
        <v>3575.6</v>
      </c>
      <c r="D63" s="140">
        <f>VLOOKUP($A63,'Data shares'!$C:$FB,4)</f>
        <v>3593.2</v>
      </c>
      <c r="E63" s="50">
        <f t="shared" si="0"/>
        <v>-0.48981409328731801</v>
      </c>
      <c r="F63" s="49">
        <f>VLOOKUP($A63,'Data shares'!$C:$FB,98)</f>
        <v>3710000</v>
      </c>
      <c r="G63" s="49">
        <f>VLOOKUP($A63,'Data shares'!$C:$FB,99)</f>
        <v>4813200</v>
      </c>
      <c r="H63" s="50">
        <f t="shared" si="1"/>
        <v>-22.920302501454334</v>
      </c>
      <c r="I63" s="49">
        <f>VLOOKUP($A63,'Data shares'!$C:$FB,66)</f>
        <v>3276600</v>
      </c>
      <c r="J63" s="49">
        <f>VLOOKUP($A63,'Data shares'!$C:$FB,67)</f>
        <v>3565800</v>
      </c>
      <c r="K63" s="50">
        <f t="shared" si="2"/>
        <v>-8.8262223036073983</v>
      </c>
      <c r="L63" s="50">
        <f>VLOOKUP($A63,'Data shares'!$C:$FB,118)</f>
        <v>1.06</v>
      </c>
      <c r="M63" s="50">
        <f>VLOOKUP($A63,'Data shares'!$C:$FB,119)</f>
        <v>0.91</v>
      </c>
      <c r="N63" s="50">
        <f>VLOOKUP($A63,'Data shares'!$C:$FB,121)*100</f>
        <v>16.48</v>
      </c>
      <c r="O63" s="50">
        <f>VLOOKUP($A63,'Data shares'!$C:$FB,124)</f>
        <v>0.74</v>
      </c>
      <c r="P63" s="50">
        <f>VLOOKUP($A63,'Data shares'!$C:$FB,125)</f>
        <v>0.51</v>
      </c>
      <c r="Q63" s="50">
        <f>VLOOKUP($A63,'Data shares'!$C:$FB,127)*100</f>
        <v>45.1</v>
      </c>
    </row>
    <row r="64" spans="1:17" x14ac:dyDescent="0.25">
      <c r="A64" s="97" t="str">
        <f>'Data Vlaue (Cr)'!C59</f>
        <v>CYIENT</v>
      </c>
      <c r="B64" s="140">
        <f>VLOOKUP($A64,'Data shares'!$C:$FB,7)</f>
        <v>1205.5999999999999</v>
      </c>
      <c r="C64" s="140">
        <f>VLOOKUP($A64,'Data shares'!$C:$FB,3)</f>
        <v>1212.2</v>
      </c>
      <c r="D64" s="140">
        <f>VLOOKUP($A64,'Data shares'!$C:$FB,4)</f>
        <v>1229.5</v>
      </c>
      <c r="E64" s="50">
        <f t="shared" si="0"/>
        <v>-1.4070760471736441</v>
      </c>
      <c r="F64" s="49">
        <f>VLOOKUP($A64,'Data shares'!$C:$FB,98)</f>
        <v>3610800</v>
      </c>
      <c r="G64" s="49">
        <f>VLOOKUP($A64,'Data shares'!$C:$FB,99)</f>
        <v>5448500</v>
      </c>
      <c r="H64" s="50">
        <f t="shared" si="1"/>
        <v>-33.728549141965679</v>
      </c>
      <c r="I64" s="49">
        <f>VLOOKUP($A64,'Data shares'!$C:$FB,66)</f>
        <v>4214300</v>
      </c>
      <c r="J64" s="49">
        <f>VLOOKUP($A64,'Data shares'!$C:$FB,67)</f>
        <v>3468000</v>
      </c>
      <c r="K64" s="50">
        <f t="shared" si="2"/>
        <v>17.708753529649051</v>
      </c>
      <c r="L64" s="50">
        <f>VLOOKUP($A64,'Data shares'!$C:$FB,118)</f>
        <v>1.07</v>
      </c>
      <c r="M64" s="50">
        <f>VLOOKUP($A64,'Data shares'!$C:$FB,119)</f>
        <v>0.69</v>
      </c>
      <c r="N64" s="50">
        <f>VLOOKUP($A64,'Data shares'!$C:$FB,121)*100</f>
        <v>55.069999999999993</v>
      </c>
      <c r="O64" s="50">
        <f>VLOOKUP($A64,'Data shares'!$C:$FB,124)</f>
        <v>0.82</v>
      </c>
      <c r="P64" s="50">
        <f>VLOOKUP($A64,'Data shares'!$C:$FB,125)</f>
        <v>0.28999999999999998</v>
      </c>
      <c r="Q64" s="50">
        <f>VLOOKUP($A64,'Data shares'!$C:$FB,127)*100</f>
        <v>182.76</v>
      </c>
    </row>
    <row r="65" spans="1:17" x14ac:dyDescent="0.25">
      <c r="A65" s="97" t="str">
        <f>'Data Vlaue (Cr)'!C60</f>
        <v>DABUR</v>
      </c>
      <c r="B65" s="140">
        <f>VLOOKUP($A65,'Data shares'!$C:$FB,7)</f>
        <v>529</v>
      </c>
      <c r="C65" s="140">
        <f>VLOOKUP($A65,'Data shares'!$C:$FB,3)</f>
        <v>531.35</v>
      </c>
      <c r="D65" s="140">
        <f>VLOOKUP($A65,'Data shares'!$C:$FB,4)</f>
        <v>521.70000000000005</v>
      </c>
      <c r="E65" s="50">
        <f t="shared" si="0"/>
        <v>1.8497220624880153</v>
      </c>
      <c r="F65" s="49">
        <f>VLOOKUP($A65,'Data shares'!$C:$FB,98)</f>
        <v>25108750</v>
      </c>
      <c r="G65" s="49">
        <f>VLOOKUP($A65,'Data shares'!$C:$FB,99)</f>
        <v>42505000</v>
      </c>
      <c r="H65" s="50">
        <f t="shared" si="1"/>
        <v>-40.927537936713328</v>
      </c>
      <c r="I65" s="49">
        <f>VLOOKUP($A65,'Data shares'!$C:$FB,66)</f>
        <v>52067500</v>
      </c>
      <c r="J65" s="49">
        <f>VLOOKUP($A65,'Data shares'!$C:$FB,67)</f>
        <v>24211250</v>
      </c>
      <c r="K65" s="50">
        <f t="shared" si="2"/>
        <v>53.500264080280402</v>
      </c>
      <c r="L65" s="50">
        <f>VLOOKUP($A65,'Data shares'!$C:$FB,118)</f>
        <v>0.64</v>
      </c>
      <c r="M65" s="50">
        <f>VLOOKUP($A65,'Data shares'!$C:$FB,119)</f>
        <v>1.04</v>
      </c>
      <c r="N65" s="50">
        <f>VLOOKUP($A65,'Data shares'!$C:$FB,121)*100</f>
        <v>-38.46</v>
      </c>
      <c r="O65" s="50">
        <f>VLOOKUP($A65,'Data shares'!$C:$FB,124)</f>
        <v>0.46</v>
      </c>
      <c r="P65" s="50">
        <f>VLOOKUP($A65,'Data shares'!$C:$FB,125)</f>
        <v>0.73</v>
      </c>
      <c r="Q65" s="50">
        <f>VLOOKUP($A65,'Data shares'!$C:$FB,127)*100</f>
        <v>-36.99</v>
      </c>
    </row>
    <row r="66" spans="1:17" x14ac:dyDescent="0.25">
      <c r="A66" s="97" t="str">
        <f>'Data Vlaue (Cr)'!C61</f>
        <v>DALBHARAT</v>
      </c>
      <c r="B66" s="140">
        <f>VLOOKUP($A66,'Data shares'!$C:$FB,7)</f>
        <v>2235.5</v>
      </c>
      <c r="C66" s="140">
        <f>VLOOKUP($A66,'Data shares'!$C:$FB,3)</f>
        <v>2245.9</v>
      </c>
      <c r="D66" s="140">
        <f>VLOOKUP($A66,'Data shares'!$C:$FB,4)</f>
        <v>2250.1</v>
      </c>
      <c r="E66" s="50">
        <f t="shared" si="0"/>
        <v>-0.18665837073907018</v>
      </c>
      <c r="F66" s="49">
        <f>VLOOKUP($A66,'Data shares'!$C:$FB,98)</f>
        <v>2965300</v>
      </c>
      <c r="G66" s="49">
        <f>VLOOKUP($A66,'Data shares'!$C:$FB,99)</f>
        <v>4627025</v>
      </c>
      <c r="H66" s="50">
        <f t="shared" si="1"/>
        <v>-35.913464915361381</v>
      </c>
      <c r="I66" s="49">
        <f>VLOOKUP($A66,'Data shares'!$C:$FB,66)</f>
        <v>2338375</v>
      </c>
      <c r="J66" s="49">
        <f>VLOOKUP($A66,'Data shares'!$C:$FB,67)</f>
        <v>3461575</v>
      </c>
      <c r="K66" s="50">
        <f t="shared" si="2"/>
        <v>-48.033356497567752</v>
      </c>
      <c r="L66" s="50">
        <f>VLOOKUP($A66,'Data shares'!$C:$FB,118)</f>
        <v>0.62</v>
      </c>
      <c r="M66" s="50">
        <f>VLOOKUP($A66,'Data shares'!$C:$FB,119)</f>
        <v>0.57999999999999996</v>
      </c>
      <c r="N66" s="50">
        <f>VLOOKUP($A66,'Data shares'!$C:$FB,121)*100</f>
        <v>6.9</v>
      </c>
      <c r="O66" s="50">
        <f>VLOOKUP($A66,'Data shares'!$C:$FB,124)</f>
        <v>1.08</v>
      </c>
      <c r="P66" s="50">
        <f>VLOOKUP($A66,'Data shares'!$C:$FB,125)</f>
        <v>0.48</v>
      </c>
      <c r="Q66" s="50">
        <f>VLOOKUP($A66,'Data shares'!$C:$FB,127)*100</f>
        <v>125</v>
      </c>
    </row>
    <row r="67" spans="1:17" x14ac:dyDescent="0.25">
      <c r="A67" s="97" t="str">
        <f>'Data Vlaue (Cr)'!C62</f>
        <v>DELHIVERY</v>
      </c>
      <c r="B67" s="140">
        <f>VLOOKUP($A67,'Data shares'!$C:$FB,7)</f>
        <v>425.25</v>
      </c>
      <c r="C67" s="140">
        <f>VLOOKUP($A67,'Data shares'!$C:$FB,3)</f>
        <v>428.1</v>
      </c>
      <c r="D67" s="140">
        <f>VLOOKUP($A67,'Data shares'!$C:$FB,4)</f>
        <v>409.5</v>
      </c>
      <c r="E67" s="50">
        <f t="shared" si="0"/>
        <v>4.5421245421245473</v>
      </c>
      <c r="F67" s="49">
        <f>VLOOKUP($A67,'Data shares'!$C:$FB,98)</f>
        <v>18936450</v>
      </c>
      <c r="G67" s="49">
        <f>VLOOKUP($A67,'Data shares'!$C:$FB,99)</f>
        <v>24937350</v>
      </c>
      <c r="H67" s="50">
        <f t="shared" si="1"/>
        <v>-24.063904143784324</v>
      </c>
      <c r="I67" s="49">
        <f>VLOOKUP($A67,'Data shares'!$C:$FB,66)</f>
        <v>54292375</v>
      </c>
      <c r="J67" s="49">
        <f>VLOOKUP($A67,'Data shares'!$C:$FB,67)</f>
        <v>32469600</v>
      </c>
      <c r="K67" s="50">
        <f t="shared" si="2"/>
        <v>40.194916873686218</v>
      </c>
      <c r="L67" s="50">
        <f>VLOOKUP($A67,'Data shares'!$C:$FB,118)</f>
        <v>0.48</v>
      </c>
      <c r="M67" s="50">
        <f>VLOOKUP($A67,'Data shares'!$C:$FB,119)</f>
        <v>0.57999999999999996</v>
      </c>
      <c r="N67" s="50">
        <f>VLOOKUP($A67,'Data shares'!$C:$FB,121)*100</f>
        <v>-17.239999999999998</v>
      </c>
      <c r="O67" s="50">
        <f>VLOOKUP($A67,'Data shares'!$C:$FB,124)</f>
        <v>0.41</v>
      </c>
      <c r="P67" s="50">
        <f>VLOOKUP($A67,'Data shares'!$C:$FB,125)</f>
        <v>0.86</v>
      </c>
      <c r="Q67" s="50">
        <f>VLOOKUP($A67,'Data shares'!$C:$FB,127)*100</f>
        <v>-52.33</v>
      </c>
    </row>
    <row r="68" spans="1:17" x14ac:dyDescent="0.25">
      <c r="A68" s="97" t="str">
        <f>'Data Vlaue (Cr)'!C63</f>
        <v>DIVISLAB</v>
      </c>
      <c r="B68" s="140">
        <f>VLOOKUP($A68,'Data shares'!$C:$FB,7)</f>
        <v>6595.5</v>
      </c>
      <c r="C68" s="140">
        <f>VLOOKUP($A68,'Data shares'!$C:$FB,3)</f>
        <v>6623.5</v>
      </c>
      <c r="D68" s="140">
        <f>VLOOKUP($A68,'Data shares'!$C:$FB,4)</f>
        <v>6692.5</v>
      </c>
      <c r="E68" s="50">
        <f t="shared" si="0"/>
        <v>-1.0310048561822935</v>
      </c>
      <c r="F68" s="49">
        <f>VLOOKUP($A68,'Data shares'!$C:$FB,98)</f>
        <v>3533400</v>
      </c>
      <c r="G68" s="49">
        <f>VLOOKUP($A68,'Data shares'!$C:$FB,99)</f>
        <v>4704700</v>
      </c>
      <c r="H68" s="50">
        <f t="shared" si="1"/>
        <v>-24.896380215529152</v>
      </c>
      <c r="I68" s="49">
        <f>VLOOKUP($A68,'Data shares'!$C:$FB,66)</f>
        <v>1896400</v>
      </c>
      <c r="J68" s="49">
        <f>VLOOKUP($A68,'Data shares'!$C:$FB,67)</f>
        <v>3662300</v>
      </c>
      <c r="K68" s="50">
        <f t="shared" si="2"/>
        <v>-93.118540392322288</v>
      </c>
      <c r="L68" s="50">
        <f>VLOOKUP($A68,'Data shares'!$C:$FB,118)</f>
        <v>0.67</v>
      </c>
      <c r="M68" s="50">
        <f>VLOOKUP($A68,'Data shares'!$C:$FB,119)</f>
        <v>0.57999999999999996</v>
      </c>
      <c r="N68" s="50">
        <f>VLOOKUP($A68,'Data shares'!$C:$FB,121)*100</f>
        <v>15.52</v>
      </c>
      <c r="O68" s="50">
        <f>VLOOKUP($A68,'Data shares'!$C:$FB,124)</f>
        <v>0.55000000000000004</v>
      </c>
      <c r="P68" s="50">
        <f>VLOOKUP($A68,'Data shares'!$C:$FB,125)</f>
        <v>0.38</v>
      </c>
      <c r="Q68" s="50">
        <f>VLOOKUP($A68,'Data shares'!$C:$FB,127)*100</f>
        <v>44.74</v>
      </c>
    </row>
    <row r="69" spans="1:17" x14ac:dyDescent="0.25">
      <c r="A69" s="97" t="str">
        <f>'Data Vlaue (Cr)'!C64</f>
        <v>DIXON</v>
      </c>
      <c r="B69" s="140">
        <f>VLOOKUP($A69,'Data shares'!$C:$FB,7)</f>
        <v>16841</v>
      </c>
      <c r="C69" s="140">
        <f>VLOOKUP($A69,'Data shares'!$C:$FB,3)</f>
        <v>16890</v>
      </c>
      <c r="D69" s="140">
        <f>VLOOKUP($A69,'Data shares'!$C:$FB,4)</f>
        <v>16856</v>
      </c>
      <c r="E69" s="50">
        <f t="shared" si="0"/>
        <v>0.20170859041290937</v>
      </c>
      <c r="F69" s="49">
        <f>VLOOKUP($A69,'Data shares'!$C:$FB,98)</f>
        <v>2149000</v>
      </c>
      <c r="G69" s="49">
        <f>VLOOKUP($A69,'Data shares'!$C:$FB,99)</f>
        <v>3615100</v>
      </c>
      <c r="H69" s="50">
        <f t="shared" si="1"/>
        <v>-40.554894747033273</v>
      </c>
      <c r="I69" s="49">
        <f>VLOOKUP($A69,'Data shares'!$C:$FB,66)</f>
        <v>7660900</v>
      </c>
      <c r="J69" s="49">
        <f>VLOOKUP($A69,'Data shares'!$C:$FB,67)</f>
        <v>4430400</v>
      </c>
      <c r="K69" s="50">
        <f t="shared" si="2"/>
        <v>42.168674698795186</v>
      </c>
      <c r="L69" s="50">
        <f>VLOOKUP($A69,'Data shares'!$C:$FB,118)</f>
        <v>0.95</v>
      </c>
      <c r="M69" s="50">
        <f>VLOOKUP($A69,'Data shares'!$C:$FB,119)</f>
        <v>0.88</v>
      </c>
      <c r="N69" s="50">
        <f>VLOOKUP($A69,'Data shares'!$C:$FB,121)*100</f>
        <v>7.95</v>
      </c>
      <c r="O69" s="50">
        <f>VLOOKUP($A69,'Data shares'!$C:$FB,124)</f>
        <v>0.84</v>
      </c>
      <c r="P69" s="50">
        <f>VLOOKUP($A69,'Data shares'!$C:$FB,125)</f>
        <v>0.82</v>
      </c>
      <c r="Q69" s="50">
        <f>VLOOKUP($A69,'Data shares'!$C:$FB,127)*100</f>
        <v>2.44</v>
      </c>
    </row>
    <row r="70" spans="1:17" x14ac:dyDescent="0.25">
      <c r="A70" s="97" t="str">
        <f>'Data Vlaue (Cr)'!C65</f>
        <v>DLF</v>
      </c>
      <c r="B70" s="140">
        <f>VLOOKUP($A70,'Data shares'!$C:$FB,7)</f>
        <v>784.25</v>
      </c>
      <c r="C70" s="140">
        <f>VLOOKUP($A70,'Data shares'!$C:$FB,3)</f>
        <v>787.25</v>
      </c>
      <c r="D70" s="140">
        <f>VLOOKUP($A70,'Data shares'!$C:$FB,4)</f>
        <v>793.65</v>
      </c>
      <c r="E70" s="50">
        <f t="shared" si="0"/>
        <v>-0.80640080640080358</v>
      </c>
      <c r="F70" s="49">
        <f>VLOOKUP($A70,'Data shares'!$C:$FB,98)</f>
        <v>49237650</v>
      </c>
      <c r="G70" s="49">
        <f>VLOOKUP($A70,'Data shares'!$C:$FB,99)</f>
        <v>64288125</v>
      </c>
      <c r="H70" s="50">
        <f t="shared" si="1"/>
        <v>-23.410972088546682</v>
      </c>
      <c r="I70" s="49">
        <f>VLOOKUP($A70,'Data shares'!$C:$FB,66)</f>
        <v>50207025</v>
      </c>
      <c r="J70" s="49">
        <f>VLOOKUP($A70,'Data shares'!$C:$FB,67)</f>
        <v>52408950</v>
      </c>
      <c r="K70" s="50">
        <f t="shared" si="2"/>
        <v>-4.3856910462231138</v>
      </c>
      <c r="L70" s="50">
        <f>VLOOKUP($A70,'Data shares'!$C:$FB,118)</f>
        <v>0.86</v>
      </c>
      <c r="M70" s="50">
        <f>VLOOKUP($A70,'Data shares'!$C:$FB,119)</f>
        <v>0.62</v>
      </c>
      <c r="N70" s="50">
        <f>VLOOKUP($A70,'Data shares'!$C:$FB,121)*100</f>
        <v>38.71</v>
      </c>
      <c r="O70" s="50">
        <f>VLOOKUP($A70,'Data shares'!$C:$FB,124)</f>
        <v>0.75</v>
      </c>
      <c r="P70" s="50">
        <f>VLOOKUP($A70,'Data shares'!$C:$FB,125)</f>
        <v>0.75</v>
      </c>
      <c r="Q70" s="50">
        <f>VLOOKUP($A70,'Data shares'!$C:$FB,127)*100</f>
        <v>0</v>
      </c>
    </row>
    <row r="71" spans="1:17" x14ac:dyDescent="0.25">
      <c r="A71" s="97" t="str">
        <f>'Data Vlaue (Cr)'!C66</f>
        <v>DMART</v>
      </c>
      <c r="B71" s="140">
        <f>VLOOKUP($A71,'Data shares'!$C:$FB,7)</f>
        <v>4267.3999999999996</v>
      </c>
      <c r="C71" s="140">
        <f>VLOOKUP($A71,'Data shares'!$C:$FB,3)</f>
        <v>4246.6000000000004</v>
      </c>
      <c r="D71" s="140">
        <f>VLOOKUP($A71,'Data shares'!$C:$FB,4)</f>
        <v>4266</v>
      </c>
      <c r="E71" s="50">
        <f t="shared" si="0"/>
        <v>-0.45475855602437026</v>
      </c>
      <c r="F71" s="49">
        <f>VLOOKUP($A71,'Data shares'!$C:$FB,98)</f>
        <v>6952950</v>
      </c>
      <c r="G71" s="49">
        <f>VLOOKUP($A71,'Data shares'!$C:$FB,99)</f>
        <v>11310600</v>
      </c>
      <c r="H71" s="50">
        <f t="shared" si="1"/>
        <v>-38.527133839053626</v>
      </c>
      <c r="I71" s="49">
        <f>VLOOKUP($A71,'Data shares'!$C:$FB,66)</f>
        <v>20730300</v>
      </c>
      <c r="J71" s="49">
        <f>VLOOKUP($A71,'Data shares'!$C:$FB,67)</f>
        <v>62347350</v>
      </c>
      <c r="K71" s="50">
        <f t="shared" si="2"/>
        <v>-200.75469240676691</v>
      </c>
      <c r="L71" s="50">
        <f>VLOOKUP($A71,'Data shares'!$C:$FB,118)</f>
        <v>0.66</v>
      </c>
      <c r="M71" s="50">
        <f>VLOOKUP($A71,'Data shares'!$C:$FB,119)</f>
        <v>0.79</v>
      </c>
      <c r="N71" s="50">
        <f>VLOOKUP($A71,'Data shares'!$C:$FB,121)*100</f>
        <v>-16.46</v>
      </c>
      <c r="O71" s="50">
        <f>VLOOKUP($A71,'Data shares'!$C:$FB,124)</f>
        <v>0.49</v>
      </c>
      <c r="P71" s="50">
        <f>VLOOKUP($A71,'Data shares'!$C:$FB,125)</f>
        <v>0.3</v>
      </c>
      <c r="Q71" s="50">
        <f>VLOOKUP($A71,'Data shares'!$C:$FB,127)*100</f>
        <v>63.33</v>
      </c>
    </row>
    <row r="72" spans="1:17" x14ac:dyDescent="0.25">
      <c r="A72" s="97" t="str">
        <f>'Data Vlaue (Cr)'!C67</f>
        <v>DRREDDY</v>
      </c>
      <c r="B72" s="140">
        <f>VLOOKUP($A72,'Data shares'!$C:$FB,7)</f>
        <v>1270.3</v>
      </c>
      <c r="C72" s="140">
        <f>VLOOKUP($A72,'Data shares'!$C:$FB,3)</f>
        <v>1274.3</v>
      </c>
      <c r="D72" s="140">
        <f>VLOOKUP($A72,'Data shares'!$C:$FB,4)</f>
        <v>1296.8</v>
      </c>
      <c r="E72" s="50">
        <f t="shared" ref="E72:E135" si="3">(C72-D72)/D72*100</f>
        <v>-1.7350400987045034</v>
      </c>
      <c r="F72" s="49">
        <f>VLOOKUP($A72,'Data shares'!$C:$FB,98)</f>
        <v>15224375</v>
      </c>
      <c r="G72" s="49">
        <f>VLOOKUP($A72,'Data shares'!$C:$FB,99)</f>
        <v>29964375</v>
      </c>
      <c r="H72" s="50">
        <f t="shared" ref="H72:H135" si="4">(F72-G72)/G72*100</f>
        <v>-49.191748534718307</v>
      </c>
      <c r="I72" s="49">
        <f>VLOOKUP($A72,'Data shares'!$C:$FB,66)</f>
        <v>23722500</v>
      </c>
      <c r="J72" s="49">
        <f>VLOOKUP($A72,'Data shares'!$C:$FB,67)</f>
        <v>25892500</v>
      </c>
      <c r="K72" s="50">
        <f t="shared" ref="K72:K135" si="5">(I72-J72)/I72*100</f>
        <v>-9.1474338707977658</v>
      </c>
      <c r="L72" s="50">
        <f>VLOOKUP($A72,'Data shares'!$C:$FB,118)</f>
        <v>0.59</v>
      </c>
      <c r="M72" s="50">
        <f>VLOOKUP($A72,'Data shares'!$C:$FB,119)</f>
        <v>0.45</v>
      </c>
      <c r="N72" s="50">
        <f>VLOOKUP($A72,'Data shares'!$C:$FB,121)*100</f>
        <v>31.11</v>
      </c>
      <c r="O72" s="50">
        <f>VLOOKUP($A72,'Data shares'!$C:$FB,124)</f>
        <v>0.94</v>
      </c>
      <c r="P72" s="50">
        <f>VLOOKUP($A72,'Data shares'!$C:$FB,125)</f>
        <v>0.51</v>
      </c>
      <c r="Q72" s="50">
        <f>VLOOKUP($A72,'Data shares'!$C:$FB,127)*100</f>
        <v>84.31</v>
      </c>
    </row>
    <row r="73" spans="1:17" x14ac:dyDescent="0.25">
      <c r="A73" s="97" t="str">
        <f>'Data Vlaue (Cr)'!C68</f>
        <v>EICHERMOT</v>
      </c>
      <c r="B73" s="140">
        <f>VLOOKUP($A73,'Data shares'!$C:$FB,7)</f>
        <v>5468.5</v>
      </c>
      <c r="C73" s="140">
        <f>VLOOKUP($A73,'Data shares'!$C:$FB,3)</f>
        <v>5424.5</v>
      </c>
      <c r="D73" s="140">
        <f>VLOOKUP($A73,'Data shares'!$C:$FB,4)</f>
        <v>5439</v>
      </c>
      <c r="E73" s="50">
        <f t="shared" si="3"/>
        <v>-0.26659312373598087</v>
      </c>
      <c r="F73" s="49">
        <f>VLOOKUP($A73,'Data shares'!$C:$FB,98)</f>
        <v>4248125</v>
      </c>
      <c r="G73" s="49">
        <f>VLOOKUP($A73,'Data shares'!$C:$FB,99)</f>
        <v>6294050</v>
      </c>
      <c r="H73" s="50">
        <f t="shared" si="4"/>
        <v>-32.505699827614968</v>
      </c>
      <c r="I73" s="49">
        <f>VLOOKUP($A73,'Data shares'!$C:$FB,66)</f>
        <v>4630675</v>
      </c>
      <c r="J73" s="49">
        <f>VLOOKUP($A73,'Data shares'!$C:$FB,67)</f>
        <v>6589100</v>
      </c>
      <c r="K73" s="50">
        <f t="shared" si="5"/>
        <v>-42.292430369222629</v>
      </c>
      <c r="L73" s="50">
        <f>VLOOKUP($A73,'Data shares'!$C:$FB,118)</f>
        <v>0.73</v>
      </c>
      <c r="M73" s="50">
        <f>VLOOKUP($A73,'Data shares'!$C:$FB,119)</f>
        <v>0.53</v>
      </c>
      <c r="N73" s="50">
        <f>VLOOKUP($A73,'Data shares'!$C:$FB,121)*100</f>
        <v>37.74</v>
      </c>
      <c r="O73" s="50">
        <f>VLOOKUP($A73,'Data shares'!$C:$FB,124)</f>
        <v>0.66</v>
      </c>
      <c r="P73" s="50">
        <f>VLOOKUP($A73,'Data shares'!$C:$FB,125)</f>
        <v>0.33</v>
      </c>
      <c r="Q73" s="50">
        <f>VLOOKUP($A73,'Data shares'!$C:$FB,127)*100</f>
        <v>100</v>
      </c>
    </row>
    <row r="74" spans="1:17" x14ac:dyDescent="0.25">
      <c r="A74" s="97" t="str">
        <f>'Data Vlaue (Cr)'!C69</f>
        <v>ETERNAL</v>
      </c>
      <c r="B74" s="140">
        <f>VLOOKUP($A74,'Data shares'!$C:$FB,7)</f>
        <v>307.8</v>
      </c>
      <c r="C74" s="140">
        <f>VLOOKUP($A74,'Data shares'!$C:$FB,3)</f>
        <v>309.7</v>
      </c>
      <c r="D74" s="140">
        <f>VLOOKUP($A74,'Data shares'!$C:$FB,4)</f>
        <v>305.3</v>
      </c>
      <c r="E74" s="50">
        <f t="shared" si="3"/>
        <v>1.4412053717654689</v>
      </c>
      <c r="F74" s="49">
        <f>VLOOKUP($A74,'Data shares'!$C:$FB,98)</f>
        <v>228895750</v>
      </c>
      <c r="G74" s="49">
        <f>VLOOKUP($A74,'Data shares'!$C:$FB,99)</f>
        <v>327826050</v>
      </c>
      <c r="H74" s="50">
        <f t="shared" si="4"/>
        <v>-30.177681120826122</v>
      </c>
      <c r="I74" s="49">
        <f>VLOOKUP($A74,'Data shares'!$C:$FB,66)</f>
        <v>238789750</v>
      </c>
      <c r="J74" s="49">
        <f>VLOOKUP($A74,'Data shares'!$C:$FB,67)</f>
        <v>211324200</v>
      </c>
      <c r="K74" s="50">
        <f t="shared" si="5"/>
        <v>11.501980298568091</v>
      </c>
      <c r="L74" s="50">
        <f>VLOOKUP($A74,'Data shares'!$C:$FB,118)</f>
        <v>0.78</v>
      </c>
      <c r="M74" s="50">
        <f>VLOOKUP($A74,'Data shares'!$C:$FB,119)</f>
        <v>0.94</v>
      </c>
      <c r="N74" s="50">
        <f>VLOOKUP($A74,'Data shares'!$C:$FB,121)*100</f>
        <v>-17.02</v>
      </c>
      <c r="O74" s="50">
        <f>VLOOKUP($A74,'Data shares'!$C:$FB,124)</f>
        <v>0.52</v>
      </c>
      <c r="P74" s="50">
        <f>VLOOKUP($A74,'Data shares'!$C:$FB,125)</f>
        <v>0.71</v>
      </c>
      <c r="Q74" s="50">
        <f>VLOOKUP($A74,'Data shares'!$C:$FB,127)*100</f>
        <v>-26.76</v>
      </c>
    </row>
    <row r="75" spans="1:17" x14ac:dyDescent="0.25">
      <c r="A75" s="97" t="str">
        <f>'Data Vlaue (Cr)'!C70</f>
        <v>EXIDEIND</v>
      </c>
      <c r="B75" s="140">
        <f>VLOOKUP($A75,'Data shares'!$C:$FB,7)</f>
        <v>384.3</v>
      </c>
      <c r="C75" s="140">
        <f>VLOOKUP($A75,'Data shares'!$C:$FB,3)</f>
        <v>385.7</v>
      </c>
      <c r="D75" s="140">
        <f>VLOOKUP($A75,'Data shares'!$C:$FB,4)</f>
        <v>393.3</v>
      </c>
      <c r="E75" s="50">
        <f t="shared" si="3"/>
        <v>-1.93236714975846</v>
      </c>
      <c r="F75" s="49">
        <f>VLOOKUP($A75,'Data shares'!$C:$FB,98)</f>
        <v>31415400</v>
      </c>
      <c r="G75" s="49">
        <f>VLOOKUP($A75,'Data shares'!$C:$FB,99)</f>
        <v>42179400</v>
      </c>
      <c r="H75" s="50">
        <f t="shared" si="4"/>
        <v>-25.519566423419963</v>
      </c>
      <c r="I75" s="49">
        <f>VLOOKUP($A75,'Data shares'!$C:$FB,66)</f>
        <v>26582400</v>
      </c>
      <c r="J75" s="49">
        <f>VLOOKUP($A75,'Data shares'!$C:$FB,67)</f>
        <v>27869400</v>
      </c>
      <c r="K75" s="50">
        <f t="shared" si="5"/>
        <v>-4.841549295774648</v>
      </c>
      <c r="L75" s="50">
        <f>VLOOKUP($A75,'Data shares'!$C:$FB,118)</f>
        <v>0.84</v>
      </c>
      <c r="M75" s="50">
        <f>VLOOKUP($A75,'Data shares'!$C:$FB,119)</f>
        <v>0.67</v>
      </c>
      <c r="N75" s="50">
        <f>VLOOKUP($A75,'Data shares'!$C:$FB,121)*100</f>
        <v>25.369999999999997</v>
      </c>
      <c r="O75" s="50">
        <f>VLOOKUP($A75,'Data shares'!$C:$FB,124)</f>
        <v>0.61</v>
      </c>
      <c r="P75" s="50">
        <f>VLOOKUP($A75,'Data shares'!$C:$FB,125)</f>
        <v>0.68</v>
      </c>
      <c r="Q75" s="50">
        <f>VLOOKUP($A75,'Data shares'!$C:$FB,127)*100</f>
        <v>-10.290000000000001</v>
      </c>
    </row>
    <row r="76" spans="1:17" x14ac:dyDescent="0.25">
      <c r="A76" s="97" t="str">
        <f>'Data Vlaue (Cr)'!C71</f>
        <v>FEDERALBNK</v>
      </c>
      <c r="B76" s="140">
        <f>VLOOKUP($A76,'Data shares'!$C:$FB,7)</f>
        <v>202.43</v>
      </c>
      <c r="C76" s="140">
        <f>VLOOKUP($A76,'Data shares'!$C:$FB,3)</f>
        <v>202.5</v>
      </c>
      <c r="D76" s="140">
        <f>VLOOKUP($A76,'Data shares'!$C:$FB,4)</f>
        <v>204.8</v>
      </c>
      <c r="E76" s="50">
        <f t="shared" si="3"/>
        <v>-1.1230468750000056</v>
      </c>
      <c r="F76" s="49">
        <f>VLOOKUP($A76,'Data shares'!$C:$FB,98)</f>
        <v>112940000</v>
      </c>
      <c r="G76" s="49">
        <f>VLOOKUP($A76,'Data shares'!$C:$FB,99)</f>
        <v>156115000</v>
      </c>
      <c r="H76" s="50">
        <f t="shared" si="4"/>
        <v>-27.655894693014766</v>
      </c>
      <c r="I76" s="49">
        <f>VLOOKUP($A76,'Data shares'!$C:$FB,66)</f>
        <v>125340000</v>
      </c>
      <c r="J76" s="49">
        <f>VLOOKUP($A76,'Data shares'!$C:$FB,67)</f>
        <v>109340000</v>
      </c>
      <c r="K76" s="50">
        <f t="shared" si="5"/>
        <v>12.76527844263603</v>
      </c>
      <c r="L76" s="50">
        <f>VLOOKUP($A76,'Data shares'!$C:$FB,118)</f>
        <v>0.96</v>
      </c>
      <c r="M76" s="50">
        <f>VLOOKUP($A76,'Data shares'!$C:$FB,119)</f>
        <v>0.67</v>
      </c>
      <c r="N76" s="50">
        <f>VLOOKUP($A76,'Data shares'!$C:$FB,121)*100</f>
        <v>43.28</v>
      </c>
      <c r="O76" s="50">
        <f>VLOOKUP($A76,'Data shares'!$C:$FB,124)</f>
        <v>0.83</v>
      </c>
      <c r="P76" s="50">
        <f>VLOOKUP($A76,'Data shares'!$C:$FB,125)</f>
        <v>0.75</v>
      </c>
      <c r="Q76" s="50">
        <f>VLOOKUP($A76,'Data shares'!$C:$FB,127)*100</f>
        <v>10.67</v>
      </c>
    </row>
    <row r="77" spans="1:17" x14ac:dyDescent="0.25">
      <c r="A77" s="97" t="str">
        <f>'Data Vlaue (Cr)'!C72</f>
        <v>FINNIFTY</v>
      </c>
      <c r="B77" s="140">
        <f>VLOOKUP($A77,'Data shares'!$C:$FB,7)</f>
        <v>26649.95</v>
      </c>
      <c r="C77" s="140">
        <f>VLOOKUP($A77,'Data shares'!$C:$FB,3)</f>
        <v>26731</v>
      </c>
      <c r="D77" s="140">
        <f>VLOOKUP($A77,'Data shares'!$C:$FB,4)</f>
        <v>26806.7</v>
      </c>
      <c r="E77" s="50">
        <f t="shared" si="3"/>
        <v>-0.28239208854503062</v>
      </c>
      <c r="F77" s="49">
        <f>VLOOKUP($A77,'Data shares'!$C:$FB,98)</f>
        <v>195130</v>
      </c>
      <c r="G77" s="49">
        <f>VLOOKUP($A77,'Data shares'!$C:$FB,99)</f>
        <v>5739305</v>
      </c>
      <c r="H77" s="50">
        <f t="shared" si="4"/>
        <v>-96.600110989048332</v>
      </c>
      <c r="I77" s="49">
        <f>VLOOKUP($A77,'Data shares'!$C:$FB,66)</f>
        <v>397118280</v>
      </c>
      <c r="J77" s="49">
        <f>VLOOKUP($A77,'Data shares'!$C:$FB,67)</f>
        <v>61441250</v>
      </c>
      <c r="K77" s="50">
        <f t="shared" si="5"/>
        <v>84.528224185499596</v>
      </c>
      <c r="L77" s="50">
        <f>VLOOKUP($A77,'Data shares'!$C:$FB,118)</f>
        <v>1.04</v>
      </c>
      <c r="M77" s="50">
        <f>VLOOKUP($A77,'Data shares'!$C:$FB,119)</f>
        <v>0.7</v>
      </c>
      <c r="N77" s="50">
        <f>VLOOKUP($A77,'Data shares'!$C:$FB,121)*100</f>
        <v>48.57</v>
      </c>
      <c r="O77" s="50">
        <f>VLOOKUP($A77,'Data shares'!$C:$FB,124)</f>
        <v>0.85</v>
      </c>
      <c r="P77" s="50">
        <f>VLOOKUP($A77,'Data shares'!$C:$FB,125)</f>
        <v>0.8</v>
      </c>
      <c r="Q77" s="50">
        <f>VLOOKUP($A77,'Data shares'!$C:$FB,127)*100</f>
        <v>6.25</v>
      </c>
    </row>
    <row r="78" spans="1:17" x14ac:dyDescent="0.25">
      <c r="A78" s="97" t="str">
        <f>'Data Vlaue (Cr)'!C73</f>
        <v>FORTIS</v>
      </c>
      <c r="B78" s="140">
        <f>VLOOKUP($A78,'Data shares'!$C:$FB,7)</f>
        <v>857.45</v>
      </c>
      <c r="C78" s="140">
        <f>VLOOKUP($A78,'Data shares'!$C:$FB,3)</f>
        <v>861.25</v>
      </c>
      <c r="D78" s="140">
        <f>VLOOKUP($A78,'Data shares'!$C:$FB,4)</f>
        <v>848</v>
      </c>
      <c r="E78" s="50">
        <f t="shared" si="3"/>
        <v>1.5625</v>
      </c>
      <c r="F78" s="49">
        <f>VLOOKUP($A78,'Data shares'!$C:$FB,98)</f>
        <v>10599675</v>
      </c>
      <c r="G78" s="49">
        <f>VLOOKUP($A78,'Data shares'!$C:$FB,99)</f>
        <v>14921850</v>
      </c>
      <c r="H78" s="50">
        <f t="shared" si="4"/>
        <v>-28.965409784979745</v>
      </c>
      <c r="I78" s="49">
        <f>VLOOKUP($A78,'Data shares'!$C:$FB,66)</f>
        <v>10698100</v>
      </c>
      <c r="J78" s="49">
        <f>VLOOKUP($A78,'Data shares'!$C:$FB,67)</f>
        <v>10040900</v>
      </c>
      <c r="K78" s="50">
        <f t="shared" si="5"/>
        <v>6.1431469139379891</v>
      </c>
      <c r="L78" s="50">
        <f>VLOOKUP($A78,'Data shares'!$C:$FB,118)</f>
        <v>0.62</v>
      </c>
      <c r="M78" s="50">
        <f>VLOOKUP($A78,'Data shares'!$C:$FB,119)</f>
        <v>0.75</v>
      </c>
      <c r="N78" s="50">
        <f>VLOOKUP($A78,'Data shares'!$C:$FB,121)*100</f>
        <v>-17.330000000000002</v>
      </c>
      <c r="O78" s="50">
        <f>VLOOKUP($A78,'Data shares'!$C:$FB,124)</f>
        <v>0.44</v>
      </c>
      <c r="P78" s="50">
        <f>VLOOKUP($A78,'Data shares'!$C:$FB,125)</f>
        <v>0.6</v>
      </c>
      <c r="Q78" s="50">
        <f>VLOOKUP($A78,'Data shares'!$C:$FB,127)*100</f>
        <v>-26.669999999999998</v>
      </c>
    </row>
    <row r="79" spans="1:17" x14ac:dyDescent="0.25">
      <c r="A79" s="97" t="str">
        <f>'Data Vlaue (Cr)'!C74</f>
        <v>GAIL</v>
      </c>
      <c r="B79" s="140">
        <f>VLOOKUP($A79,'Data shares'!$C:$FB,7)</f>
        <v>177.68</v>
      </c>
      <c r="C79" s="140">
        <f>VLOOKUP($A79,'Data shares'!$C:$FB,3)</f>
        <v>177.36</v>
      </c>
      <c r="D79" s="140">
        <f>VLOOKUP($A79,'Data shares'!$C:$FB,4)</f>
        <v>180.33</v>
      </c>
      <c r="E79" s="50">
        <f t="shared" si="3"/>
        <v>-1.6469805356845775</v>
      </c>
      <c r="F79" s="49">
        <f>VLOOKUP($A79,'Data shares'!$C:$FB,98)</f>
        <v>142843050</v>
      </c>
      <c r="G79" s="49">
        <f>VLOOKUP($A79,'Data shares'!$C:$FB,99)</f>
        <v>175278600</v>
      </c>
      <c r="H79" s="50">
        <f t="shared" si="4"/>
        <v>-18.505139817410683</v>
      </c>
      <c r="I79" s="49">
        <f>VLOOKUP($A79,'Data shares'!$C:$FB,66)</f>
        <v>94909500</v>
      </c>
      <c r="J79" s="49">
        <f>VLOOKUP($A79,'Data shares'!$C:$FB,67)</f>
        <v>118269900</v>
      </c>
      <c r="K79" s="50">
        <f t="shared" si="5"/>
        <v>-24.613342183869896</v>
      </c>
      <c r="L79" s="50">
        <f>VLOOKUP($A79,'Data shares'!$C:$FB,118)</f>
        <v>0.9</v>
      </c>
      <c r="M79" s="50">
        <f>VLOOKUP($A79,'Data shares'!$C:$FB,119)</f>
        <v>0.69</v>
      </c>
      <c r="N79" s="50">
        <f>VLOOKUP($A79,'Data shares'!$C:$FB,121)*100</f>
        <v>30.43</v>
      </c>
      <c r="O79" s="50">
        <f>VLOOKUP($A79,'Data shares'!$C:$FB,124)</f>
        <v>0.91</v>
      </c>
      <c r="P79" s="50">
        <f>VLOOKUP($A79,'Data shares'!$C:$FB,125)</f>
        <v>0.71</v>
      </c>
      <c r="Q79" s="50">
        <f>VLOOKUP($A79,'Data shares'!$C:$FB,127)*100</f>
        <v>28.17</v>
      </c>
    </row>
    <row r="80" spans="1:17" x14ac:dyDescent="0.25">
      <c r="A80" s="97" t="str">
        <f>'Data Vlaue (Cr)'!C75</f>
        <v>GLENMARK</v>
      </c>
      <c r="B80" s="140">
        <f>VLOOKUP($A80,'Data shares'!$C:$FB,7)</f>
        <v>2134.1</v>
      </c>
      <c r="C80" s="140">
        <f>VLOOKUP($A80,'Data shares'!$C:$FB,3)</f>
        <v>2145.3000000000002</v>
      </c>
      <c r="D80" s="140">
        <f>VLOOKUP($A80,'Data shares'!$C:$FB,4)</f>
        <v>2164.6</v>
      </c>
      <c r="E80" s="50">
        <f t="shared" si="3"/>
        <v>-0.89161969878960212</v>
      </c>
      <c r="F80" s="49">
        <f>VLOOKUP($A80,'Data shares'!$C:$FB,98)</f>
        <v>8580750</v>
      </c>
      <c r="G80" s="49">
        <f>VLOOKUP($A80,'Data shares'!$C:$FB,99)</f>
        <v>19144875</v>
      </c>
      <c r="H80" s="50">
        <f t="shared" si="4"/>
        <v>-55.179911072806689</v>
      </c>
      <c r="I80" s="49">
        <f>VLOOKUP($A80,'Data shares'!$C:$FB,66)</f>
        <v>12247125</v>
      </c>
      <c r="J80" s="49">
        <f>VLOOKUP($A80,'Data shares'!$C:$FB,67)</f>
        <v>9367500</v>
      </c>
      <c r="K80" s="50">
        <f t="shared" si="5"/>
        <v>23.512661134756115</v>
      </c>
      <c r="L80" s="50">
        <f>VLOOKUP($A80,'Data shares'!$C:$FB,118)</f>
        <v>0.73</v>
      </c>
      <c r="M80" s="50">
        <f>VLOOKUP($A80,'Data shares'!$C:$FB,119)</f>
        <v>0.8</v>
      </c>
      <c r="N80" s="50">
        <f>VLOOKUP($A80,'Data shares'!$C:$FB,121)*100</f>
        <v>-8.75</v>
      </c>
      <c r="O80" s="50">
        <f>VLOOKUP($A80,'Data shares'!$C:$FB,124)</f>
        <v>0.71</v>
      </c>
      <c r="P80" s="50">
        <f>VLOOKUP($A80,'Data shares'!$C:$FB,125)</f>
        <v>0.78</v>
      </c>
      <c r="Q80" s="50">
        <f>VLOOKUP($A80,'Data shares'!$C:$FB,127)*100</f>
        <v>-8.9700000000000006</v>
      </c>
    </row>
    <row r="81" spans="1:17" x14ac:dyDescent="0.25">
      <c r="A81" s="97" t="str">
        <f>'Data Vlaue (Cr)'!C76</f>
        <v>GMRAIRPORT</v>
      </c>
      <c r="B81" s="140">
        <f>VLOOKUP($A81,'Data shares'!$C:$FB,7)</f>
        <v>90.06</v>
      </c>
      <c r="C81" s="140">
        <f>VLOOKUP($A81,'Data shares'!$C:$FB,3)</f>
        <v>90.59</v>
      </c>
      <c r="D81" s="140">
        <f>VLOOKUP($A81,'Data shares'!$C:$FB,4)</f>
        <v>90.29</v>
      </c>
      <c r="E81" s="50">
        <f t="shared" si="3"/>
        <v>0.33226270904861793</v>
      </c>
      <c r="F81" s="49">
        <f>VLOOKUP($A81,'Data shares'!$C:$FB,98)</f>
        <v>257816925</v>
      </c>
      <c r="G81" s="49">
        <f>VLOOKUP($A81,'Data shares'!$C:$FB,99)</f>
        <v>344844000</v>
      </c>
      <c r="H81" s="50">
        <f t="shared" si="4"/>
        <v>-25.236650485436897</v>
      </c>
      <c r="I81" s="49">
        <f>VLOOKUP($A81,'Data shares'!$C:$FB,66)</f>
        <v>208838475</v>
      </c>
      <c r="J81" s="49">
        <f>VLOOKUP($A81,'Data shares'!$C:$FB,67)</f>
        <v>255075750</v>
      </c>
      <c r="K81" s="50">
        <f t="shared" si="5"/>
        <v>-22.140209077853111</v>
      </c>
      <c r="L81" s="50">
        <f>VLOOKUP($A81,'Data shares'!$C:$FB,118)</f>
        <v>0.5</v>
      </c>
      <c r="M81" s="50">
        <f>VLOOKUP($A81,'Data shares'!$C:$FB,119)</f>
        <v>0.45</v>
      </c>
      <c r="N81" s="50">
        <f>VLOOKUP($A81,'Data shares'!$C:$FB,121)*100</f>
        <v>11.110000000000001</v>
      </c>
      <c r="O81" s="50">
        <f>VLOOKUP($A81,'Data shares'!$C:$FB,124)</f>
        <v>1.03</v>
      </c>
      <c r="P81" s="50">
        <f>VLOOKUP($A81,'Data shares'!$C:$FB,125)</f>
        <v>0.4</v>
      </c>
      <c r="Q81" s="50">
        <f>VLOOKUP($A81,'Data shares'!$C:$FB,127)*100</f>
        <v>157.5</v>
      </c>
    </row>
    <row r="82" spans="1:17" x14ac:dyDescent="0.25">
      <c r="A82" s="97" t="str">
        <f>'Data Vlaue (Cr)'!C77</f>
        <v>GODREJCP</v>
      </c>
      <c r="B82" s="140">
        <f>VLOOKUP($A82,'Data shares'!$C:$FB,7)</f>
        <v>1259</v>
      </c>
      <c r="C82" s="140">
        <f>VLOOKUP($A82,'Data shares'!$C:$FB,3)</f>
        <v>1259.9000000000001</v>
      </c>
      <c r="D82" s="140">
        <f>VLOOKUP($A82,'Data shares'!$C:$FB,4)</f>
        <v>1223.2</v>
      </c>
      <c r="E82" s="50">
        <f t="shared" si="3"/>
        <v>3.0003270111183817</v>
      </c>
      <c r="F82" s="49">
        <f>VLOOKUP($A82,'Data shares'!$C:$FB,98)</f>
        <v>10273000</v>
      </c>
      <c r="G82" s="49">
        <f>VLOOKUP($A82,'Data shares'!$C:$FB,99)</f>
        <v>15477000</v>
      </c>
      <c r="H82" s="50">
        <f t="shared" si="4"/>
        <v>-33.624087355430639</v>
      </c>
      <c r="I82" s="49">
        <f>VLOOKUP($A82,'Data shares'!$C:$FB,66)</f>
        <v>14718500</v>
      </c>
      <c r="J82" s="49">
        <f>VLOOKUP($A82,'Data shares'!$C:$FB,67)</f>
        <v>8014000</v>
      </c>
      <c r="K82" s="50">
        <f t="shared" si="5"/>
        <v>45.55151679858681</v>
      </c>
      <c r="L82" s="50">
        <f>VLOOKUP($A82,'Data shares'!$C:$FB,118)</f>
        <v>0.57999999999999996</v>
      </c>
      <c r="M82" s="50">
        <f>VLOOKUP($A82,'Data shares'!$C:$FB,119)</f>
        <v>0.67</v>
      </c>
      <c r="N82" s="50">
        <f>VLOOKUP($A82,'Data shares'!$C:$FB,121)*100</f>
        <v>-13.43</v>
      </c>
      <c r="O82" s="50">
        <f>VLOOKUP($A82,'Data shares'!$C:$FB,124)</f>
        <v>0.2</v>
      </c>
      <c r="P82" s="50">
        <f>VLOOKUP($A82,'Data shares'!$C:$FB,125)</f>
        <v>0.39</v>
      </c>
      <c r="Q82" s="50">
        <f>VLOOKUP($A82,'Data shares'!$C:$FB,127)*100</f>
        <v>-48.72</v>
      </c>
    </row>
    <row r="83" spans="1:17" x14ac:dyDescent="0.25">
      <c r="A83" s="97" t="str">
        <f>'Data Vlaue (Cr)'!C78</f>
        <v>GODREJPROP</v>
      </c>
      <c r="B83" s="140">
        <f>VLOOKUP($A83,'Data shares'!$C:$FB,7)</f>
        <v>2102.9</v>
      </c>
      <c r="C83" s="140">
        <f>VLOOKUP($A83,'Data shares'!$C:$FB,3)</f>
        <v>2109.3000000000002</v>
      </c>
      <c r="D83" s="140">
        <f>VLOOKUP($A83,'Data shares'!$C:$FB,4)</f>
        <v>2142.3000000000002</v>
      </c>
      <c r="E83" s="50">
        <f t="shared" si="3"/>
        <v>-1.540400504131074</v>
      </c>
      <c r="F83" s="49">
        <f>VLOOKUP($A83,'Data shares'!$C:$FB,98)</f>
        <v>8895700</v>
      </c>
      <c r="G83" s="49">
        <f>VLOOKUP($A83,'Data shares'!$C:$FB,99)</f>
        <v>12109075</v>
      </c>
      <c r="H83" s="50">
        <f t="shared" si="4"/>
        <v>-26.536915495196784</v>
      </c>
      <c r="I83" s="49">
        <f>VLOOKUP($A83,'Data shares'!$C:$FB,66)</f>
        <v>7719800</v>
      </c>
      <c r="J83" s="49">
        <f>VLOOKUP($A83,'Data shares'!$C:$FB,67)</f>
        <v>7321325</v>
      </c>
      <c r="K83" s="50">
        <f t="shared" si="5"/>
        <v>5.161726987745797</v>
      </c>
      <c r="L83" s="50">
        <f>VLOOKUP($A83,'Data shares'!$C:$FB,118)</f>
        <v>0.93</v>
      </c>
      <c r="M83" s="50">
        <f>VLOOKUP($A83,'Data shares'!$C:$FB,119)</f>
        <v>0.52</v>
      </c>
      <c r="N83" s="50">
        <f>VLOOKUP($A83,'Data shares'!$C:$FB,121)*100</f>
        <v>78.849999999999994</v>
      </c>
      <c r="O83" s="50">
        <f>VLOOKUP($A83,'Data shares'!$C:$FB,124)</f>
        <v>0.53</v>
      </c>
      <c r="P83" s="50">
        <f>VLOOKUP($A83,'Data shares'!$C:$FB,125)</f>
        <v>0.52</v>
      </c>
      <c r="Q83" s="50">
        <f>VLOOKUP($A83,'Data shares'!$C:$FB,127)*100</f>
        <v>1.92</v>
      </c>
    </row>
    <row r="84" spans="1:17" x14ac:dyDescent="0.25">
      <c r="A84" s="97" t="str">
        <f>'Data Vlaue (Cr)'!C79</f>
        <v>GRANULES</v>
      </c>
      <c r="B84" s="140">
        <f>VLOOKUP($A84,'Data shares'!$C:$FB,7)</f>
        <v>474.9</v>
      </c>
      <c r="C84" s="140">
        <f>VLOOKUP($A84,'Data shares'!$C:$FB,3)</f>
        <v>476.8</v>
      </c>
      <c r="D84" s="140">
        <f>VLOOKUP($A84,'Data shares'!$C:$FB,4)</f>
        <v>494.1</v>
      </c>
      <c r="E84" s="50">
        <f t="shared" si="3"/>
        <v>-3.501315523173449</v>
      </c>
      <c r="F84" s="49">
        <f>VLOOKUP($A84,'Data shares'!$C:$FB,98)</f>
        <v>14901650</v>
      </c>
      <c r="G84" s="49">
        <f>VLOOKUP($A84,'Data shares'!$C:$FB,99)</f>
        <v>20650750</v>
      </c>
      <c r="H84" s="50">
        <f t="shared" si="4"/>
        <v>-27.839666840187405</v>
      </c>
      <c r="I84" s="49">
        <f>VLOOKUP($A84,'Data shares'!$C:$FB,66)</f>
        <v>17267725</v>
      </c>
      <c r="J84" s="49">
        <f>VLOOKUP($A84,'Data shares'!$C:$FB,67)</f>
        <v>15999225</v>
      </c>
      <c r="K84" s="50">
        <f t="shared" si="5"/>
        <v>7.3460748303554757</v>
      </c>
      <c r="L84" s="50">
        <f>VLOOKUP($A84,'Data shares'!$C:$FB,118)</f>
        <v>0.67</v>
      </c>
      <c r="M84" s="50">
        <f>VLOOKUP($A84,'Data shares'!$C:$FB,119)</f>
        <v>0.57999999999999996</v>
      </c>
      <c r="N84" s="50">
        <f>VLOOKUP($A84,'Data shares'!$C:$FB,121)*100</f>
        <v>15.52</v>
      </c>
      <c r="O84" s="50">
        <f>VLOOKUP($A84,'Data shares'!$C:$FB,124)</f>
        <v>0.76</v>
      </c>
      <c r="P84" s="50">
        <f>VLOOKUP($A84,'Data shares'!$C:$FB,125)</f>
        <v>0.33</v>
      </c>
      <c r="Q84" s="50">
        <f>VLOOKUP($A84,'Data shares'!$C:$FB,127)*100</f>
        <v>130.29999999999998</v>
      </c>
    </row>
    <row r="85" spans="1:17" x14ac:dyDescent="0.25">
      <c r="A85" s="97" t="str">
        <f>'Data Vlaue (Cr)'!C80</f>
        <v>GRASIM</v>
      </c>
      <c r="B85" s="140">
        <f>VLOOKUP($A85,'Data shares'!$C:$FB,7)</f>
        <v>2746.4</v>
      </c>
      <c r="C85" s="140">
        <f>VLOOKUP($A85,'Data shares'!$C:$FB,3)</f>
        <v>2752.8</v>
      </c>
      <c r="D85" s="140">
        <f>VLOOKUP($A85,'Data shares'!$C:$FB,4)</f>
        <v>2766.3</v>
      </c>
      <c r="E85" s="50">
        <f t="shared" si="3"/>
        <v>-0.48801648411235216</v>
      </c>
      <c r="F85" s="49">
        <f>VLOOKUP($A85,'Data shares'!$C:$FB,98)</f>
        <v>13841500</v>
      </c>
      <c r="G85" s="49">
        <f>VLOOKUP($A85,'Data shares'!$C:$FB,99)</f>
        <v>15926750</v>
      </c>
      <c r="H85" s="50">
        <f t="shared" si="4"/>
        <v>-13.092752758723531</v>
      </c>
      <c r="I85" s="49">
        <f>VLOOKUP($A85,'Data shares'!$C:$FB,66)</f>
        <v>6286500</v>
      </c>
      <c r="J85" s="49">
        <f>VLOOKUP($A85,'Data shares'!$C:$FB,67)</f>
        <v>12929500</v>
      </c>
      <c r="K85" s="50">
        <f t="shared" si="5"/>
        <v>-105.67088204883481</v>
      </c>
      <c r="L85" s="50">
        <f>VLOOKUP($A85,'Data shares'!$C:$FB,118)</f>
        <v>0.77</v>
      </c>
      <c r="M85" s="50">
        <f>VLOOKUP($A85,'Data shares'!$C:$FB,119)</f>
        <v>0.52</v>
      </c>
      <c r="N85" s="50">
        <f>VLOOKUP($A85,'Data shares'!$C:$FB,121)*100</f>
        <v>48.08</v>
      </c>
      <c r="O85" s="50">
        <f>VLOOKUP($A85,'Data shares'!$C:$FB,124)</f>
        <v>0.47</v>
      </c>
      <c r="P85" s="50">
        <f>VLOOKUP($A85,'Data shares'!$C:$FB,125)</f>
        <v>0.22</v>
      </c>
      <c r="Q85" s="50">
        <f>VLOOKUP($A85,'Data shares'!$C:$FB,127)*100</f>
        <v>113.64000000000001</v>
      </c>
    </row>
    <row r="86" spans="1:17" x14ac:dyDescent="0.25">
      <c r="A86" s="97" t="str">
        <f>'Data Vlaue (Cr)'!C81</f>
        <v>HAL</v>
      </c>
      <c r="B86" s="140">
        <f>VLOOKUP($A86,'Data shares'!$C:$FB,7)</f>
        <v>4533.8999999999996</v>
      </c>
      <c r="C86" s="140">
        <f>VLOOKUP($A86,'Data shares'!$C:$FB,3)</f>
        <v>4536.5</v>
      </c>
      <c r="D86" s="140">
        <f>VLOOKUP($A86,'Data shares'!$C:$FB,4)</f>
        <v>4548.3</v>
      </c>
      <c r="E86" s="50">
        <f t="shared" si="3"/>
        <v>-0.25943759206736983</v>
      </c>
      <c r="F86" s="49">
        <f>VLOOKUP($A86,'Data shares'!$C:$FB,98)</f>
        <v>13506900</v>
      </c>
      <c r="G86" s="49">
        <f>VLOOKUP($A86,'Data shares'!$C:$FB,99)</f>
        <v>19945800</v>
      </c>
      <c r="H86" s="50">
        <f t="shared" si="4"/>
        <v>-32.281984177119995</v>
      </c>
      <c r="I86" s="49">
        <f>VLOOKUP($A86,'Data shares'!$C:$FB,66)</f>
        <v>21395700</v>
      </c>
      <c r="J86" s="49">
        <f>VLOOKUP($A86,'Data shares'!$C:$FB,67)</f>
        <v>17887650</v>
      </c>
      <c r="K86" s="50">
        <f t="shared" si="5"/>
        <v>16.396051543067063</v>
      </c>
      <c r="L86" s="50">
        <f>VLOOKUP($A86,'Data shares'!$C:$FB,118)</f>
        <v>0.86</v>
      </c>
      <c r="M86" s="50">
        <f>VLOOKUP($A86,'Data shares'!$C:$FB,119)</f>
        <v>0.56999999999999995</v>
      </c>
      <c r="N86" s="50">
        <f>VLOOKUP($A86,'Data shares'!$C:$FB,121)*100</f>
        <v>50.88</v>
      </c>
      <c r="O86" s="50">
        <f>VLOOKUP($A86,'Data shares'!$C:$FB,124)</f>
        <v>0.44</v>
      </c>
      <c r="P86" s="50">
        <f>VLOOKUP($A86,'Data shares'!$C:$FB,125)</f>
        <v>0.31</v>
      </c>
      <c r="Q86" s="50">
        <f>VLOOKUP($A86,'Data shares'!$C:$FB,127)*100</f>
        <v>41.94</v>
      </c>
    </row>
    <row r="87" spans="1:17" x14ac:dyDescent="0.25">
      <c r="A87" s="97" t="str">
        <f>'Data Vlaue (Cr)'!C82</f>
        <v>HAVELLS</v>
      </c>
      <c r="B87" s="140">
        <f>VLOOKUP($A87,'Data shares'!$C:$FB,7)</f>
        <v>1500.6</v>
      </c>
      <c r="C87" s="140">
        <f>VLOOKUP($A87,'Data shares'!$C:$FB,3)</f>
        <v>1509.4</v>
      </c>
      <c r="D87" s="140">
        <f>VLOOKUP($A87,'Data shares'!$C:$FB,4)</f>
        <v>1527.8</v>
      </c>
      <c r="E87" s="50">
        <f t="shared" si="3"/>
        <v>-1.2043461186019022</v>
      </c>
      <c r="F87" s="49">
        <f>VLOOKUP($A87,'Data shares'!$C:$FB,98)</f>
        <v>10408000</v>
      </c>
      <c r="G87" s="49">
        <f>VLOOKUP($A87,'Data shares'!$C:$FB,99)</f>
        <v>14071500</v>
      </c>
      <c r="H87" s="50">
        <f t="shared" si="4"/>
        <v>-26.034893223892265</v>
      </c>
      <c r="I87" s="49">
        <f>VLOOKUP($A87,'Data shares'!$C:$FB,66)</f>
        <v>7543500</v>
      </c>
      <c r="J87" s="49">
        <f>VLOOKUP($A87,'Data shares'!$C:$FB,67)</f>
        <v>8637000</v>
      </c>
      <c r="K87" s="50">
        <f t="shared" si="5"/>
        <v>-14.495923642871347</v>
      </c>
      <c r="L87" s="50">
        <f>VLOOKUP($A87,'Data shares'!$C:$FB,118)</f>
        <v>0.83</v>
      </c>
      <c r="M87" s="50">
        <f>VLOOKUP($A87,'Data shares'!$C:$FB,119)</f>
        <v>0.86</v>
      </c>
      <c r="N87" s="50">
        <f>VLOOKUP($A87,'Data shares'!$C:$FB,121)*100</f>
        <v>-3.49</v>
      </c>
      <c r="O87" s="50">
        <f>VLOOKUP($A87,'Data shares'!$C:$FB,124)</f>
        <v>0.56999999999999995</v>
      </c>
      <c r="P87" s="50">
        <f>VLOOKUP($A87,'Data shares'!$C:$FB,125)</f>
        <v>0.55000000000000004</v>
      </c>
      <c r="Q87" s="50">
        <f>VLOOKUP($A87,'Data shares'!$C:$FB,127)*100</f>
        <v>3.64</v>
      </c>
    </row>
    <row r="88" spans="1:17" x14ac:dyDescent="0.25">
      <c r="A88" s="97" t="str">
        <f>'Data Vlaue (Cr)'!C83</f>
        <v>HCLTECH</v>
      </c>
      <c r="B88" s="140">
        <f>VLOOKUP($A88,'Data shares'!$C:$FB,7)</f>
        <v>1467.9</v>
      </c>
      <c r="C88" s="140">
        <f>VLOOKUP($A88,'Data shares'!$C:$FB,3)</f>
        <v>1476.2</v>
      </c>
      <c r="D88" s="140">
        <f>VLOOKUP($A88,'Data shares'!$C:$FB,4)</f>
        <v>1485</v>
      </c>
      <c r="E88" s="50">
        <f t="shared" si="3"/>
        <v>-0.59259259259258956</v>
      </c>
      <c r="F88" s="140">
        <f>VLOOKUP($A88,'Data shares'!$C:$FB,98)</f>
        <v>26273450</v>
      </c>
      <c r="G88" s="140">
        <f>VLOOKUP($A88,'Data shares'!$C:$FB,99)</f>
        <v>39665850</v>
      </c>
      <c r="H88" s="50">
        <f t="shared" si="4"/>
        <v>-33.76304806275423</v>
      </c>
      <c r="I88" s="49">
        <f>VLOOKUP($A88,'Data shares'!$C:$FB,66)</f>
        <v>18006800</v>
      </c>
      <c r="J88" s="49">
        <f>VLOOKUP($A88,'Data shares'!$C:$FB,67)</f>
        <v>17554600</v>
      </c>
      <c r="K88" s="50">
        <f t="shared" si="5"/>
        <v>2.5112735188928625</v>
      </c>
      <c r="L88" s="50">
        <f>VLOOKUP($A88,'Data shares'!$C:$FB,118)</f>
        <v>0.67</v>
      </c>
      <c r="M88" s="50">
        <f>VLOOKUP($A88,'Data shares'!$C:$FB,119)</f>
        <v>0.41</v>
      </c>
      <c r="N88" s="50">
        <f>VLOOKUP($A88,'Data shares'!$C:$FB,121)*100</f>
        <v>63.41</v>
      </c>
      <c r="O88" s="50">
        <f>VLOOKUP($A88,'Data shares'!$C:$FB,124)</f>
        <v>0.62</v>
      </c>
      <c r="P88" s="50">
        <f>VLOOKUP($A88,'Data shares'!$C:$FB,125)</f>
        <v>0.46</v>
      </c>
      <c r="Q88" s="50">
        <f>VLOOKUP($A88,'Data shares'!$C:$FB,127)*100</f>
        <v>34.78</v>
      </c>
    </row>
    <row r="89" spans="1:17" x14ac:dyDescent="0.25">
      <c r="A89" s="97" t="str">
        <f>'Data Vlaue (Cr)'!C84</f>
        <v>HDFCAMC</v>
      </c>
      <c r="B89" s="140">
        <f>VLOOKUP($A89,'Data shares'!$C:$FB,7)</f>
        <v>5650</v>
      </c>
      <c r="C89" s="140">
        <f>VLOOKUP($A89,'Data shares'!$C:$FB,3)</f>
        <v>5637.5</v>
      </c>
      <c r="D89" s="140">
        <f>VLOOKUP($A89,'Data shares'!$C:$FB,4)</f>
        <v>5646.5</v>
      </c>
      <c r="E89" s="50">
        <f t="shared" si="3"/>
        <v>-0.15939077304524926</v>
      </c>
      <c r="F89" s="49">
        <f>VLOOKUP($A89,'Data shares'!$C:$FB,98)</f>
        <v>3629850</v>
      </c>
      <c r="G89" s="49">
        <f>VLOOKUP($A89,'Data shares'!$C:$FB,99)</f>
        <v>5364900</v>
      </c>
      <c r="H89" s="50">
        <f t="shared" si="4"/>
        <v>-32.340770564223007</v>
      </c>
      <c r="I89" s="49">
        <f>VLOOKUP($A89,'Data shares'!$C:$FB,66)</f>
        <v>4032300</v>
      </c>
      <c r="J89" s="49">
        <f>VLOOKUP($A89,'Data shares'!$C:$FB,67)</f>
        <v>5703900</v>
      </c>
      <c r="K89" s="50">
        <f t="shared" si="5"/>
        <v>-41.455248865411797</v>
      </c>
      <c r="L89" s="50">
        <f>VLOOKUP($A89,'Data shares'!$C:$FB,118)</f>
        <v>0.59</v>
      </c>
      <c r="M89" s="50">
        <f>VLOOKUP($A89,'Data shares'!$C:$FB,119)</f>
        <v>0.73</v>
      </c>
      <c r="N89" s="50">
        <f>VLOOKUP($A89,'Data shares'!$C:$FB,121)*100</f>
        <v>-19.18</v>
      </c>
      <c r="O89" s="50">
        <f>VLOOKUP($A89,'Data shares'!$C:$FB,124)</f>
        <v>0.68</v>
      </c>
      <c r="P89" s="50">
        <f>VLOOKUP($A89,'Data shares'!$C:$FB,125)</f>
        <v>0.52</v>
      </c>
      <c r="Q89" s="50">
        <f>VLOOKUP($A89,'Data shares'!$C:$FB,127)*100</f>
        <v>30.769999999999996</v>
      </c>
    </row>
    <row r="90" spans="1:17" x14ac:dyDescent="0.25">
      <c r="A90" s="97" t="str">
        <f>'Data Vlaue (Cr)'!C85</f>
        <v>HDFCBANK</v>
      </c>
      <c r="B90" s="140">
        <f>VLOOKUP($A90,'Data shares'!$C:$FB,7)</f>
        <v>2018.2</v>
      </c>
      <c r="C90" s="140">
        <f>VLOOKUP($A90,'Data shares'!$C:$FB,3)</f>
        <v>2028.7</v>
      </c>
      <c r="D90" s="140">
        <f>VLOOKUP($A90,'Data shares'!$C:$FB,4)</f>
        <v>2034.4</v>
      </c>
      <c r="E90" s="50">
        <f t="shared" si="3"/>
        <v>-0.28018088871411939</v>
      </c>
      <c r="F90" s="49">
        <f>VLOOKUP($A90,'Data shares'!$C:$FB,98)</f>
        <v>123107050</v>
      </c>
      <c r="G90" s="49">
        <f>VLOOKUP($A90,'Data shares'!$C:$FB,99)</f>
        <v>159005000</v>
      </c>
      <c r="H90" s="50">
        <f t="shared" si="4"/>
        <v>-22.576617087512972</v>
      </c>
      <c r="I90" s="49">
        <f>VLOOKUP($A90,'Data shares'!$C:$FB,66)</f>
        <v>110622600</v>
      </c>
      <c r="J90" s="49">
        <f>VLOOKUP($A90,'Data shares'!$C:$FB,67)</f>
        <v>123238500</v>
      </c>
      <c r="K90" s="50">
        <f t="shared" si="5"/>
        <v>-11.404450808424318</v>
      </c>
      <c r="L90" s="50">
        <f>VLOOKUP($A90,'Data shares'!$C:$FB,118)</f>
        <v>1.26</v>
      </c>
      <c r="M90" s="50">
        <f>VLOOKUP($A90,'Data shares'!$C:$FB,119)</f>
        <v>0.78</v>
      </c>
      <c r="N90" s="50">
        <f>VLOOKUP($A90,'Data shares'!$C:$FB,121)*100</f>
        <v>61.539999999999992</v>
      </c>
      <c r="O90" s="50">
        <f>VLOOKUP($A90,'Data shares'!$C:$FB,124)</f>
        <v>0.99</v>
      </c>
      <c r="P90" s="50">
        <f>VLOOKUP($A90,'Data shares'!$C:$FB,125)</f>
        <v>0.81</v>
      </c>
      <c r="Q90" s="50">
        <f>VLOOKUP($A90,'Data shares'!$C:$FB,127)*100</f>
        <v>22.220000000000002</v>
      </c>
    </row>
    <row r="91" spans="1:17" x14ac:dyDescent="0.25">
      <c r="A91" s="97" t="str">
        <f>'Data Vlaue (Cr)'!C86</f>
        <v>HDFCLIFE</v>
      </c>
      <c r="B91" s="140">
        <f>VLOOKUP($A91,'Data shares'!$C:$FB,7)</f>
        <v>755.5</v>
      </c>
      <c r="C91" s="140">
        <f>VLOOKUP($A91,'Data shares'!$C:$FB,3)</f>
        <v>760</v>
      </c>
      <c r="D91" s="140">
        <f>VLOOKUP($A91,'Data shares'!$C:$FB,4)</f>
        <v>761.7</v>
      </c>
      <c r="E91" s="50">
        <f t="shared" si="3"/>
        <v>-0.22318498096363992</v>
      </c>
      <c r="F91" s="49">
        <f>VLOOKUP($A91,'Data shares'!$C:$FB,98)</f>
        <v>34531200</v>
      </c>
      <c r="G91" s="49">
        <f>VLOOKUP($A91,'Data shares'!$C:$FB,99)</f>
        <v>55008800</v>
      </c>
      <c r="H91" s="50">
        <f t="shared" si="4"/>
        <v>-37.226043832986718</v>
      </c>
      <c r="I91" s="49">
        <f>VLOOKUP($A91,'Data shares'!$C:$FB,66)</f>
        <v>28092900</v>
      </c>
      <c r="J91" s="49">
        <f>VLOOKUP($A91,'Data shares'!$C:$FB,67)</f>
        <v>34598300</v>
      </c>
      <c r="K91" s="50">
        <f t="shared" si="5"/>
        <v>-23.156740671130429</v>
      </c>
      <c r="L91" s="50">
        <f>VLOOKUP($A91,'Data shares'!$C:$FB,118)</f>
        <v>0.82</v>
      </c>
      <c r="M91" s="50">
        <f>VLOOKUP($A91,'Data shares'!$C:$FB,119)</f>
        <v>0.51</v>
      </c>
      <c r="N91" s="50">
        <f>VLOOKUP($A91,'Data shares'!$C:$FB,121)*100</f>
        <v>60.78</v>
      </c>
      <c r="O91" s="50">
        <f>VLOOKUP($A91,'Data shares'!$C:$FB,124)</f>
        <v>0.84</v>
      </c>
      <c r="P91" s="50">
        <f>VLOOKUP($A91,'Data shares'!$C:$FB,125)</f>
        <v>0.5</v>
      </c>
      <c r="Q91" s="50">
        <f>VLOOKUP($A91,'Data shares'!$C:$FB,127)*100</f>
        <v>68</v>
      </c>
    </row>
    <row r="92" spans="1:17" x14ac:dyDescent="0.25">
      <c r="A92" s="97" t="str">
        <f>'Data Vlaue (Cr)'!C87</f>
        <v>HEROMOTOCO</v>
      </c>
      <c r="B92" s="140">
        <f>VLOOKUP($A92,'Data shares'!$C:$FB,7)</f>
        <v>4260.7</v>
      </c>
      <c r="C92" s="140">
        <f>VLOOKUP($A92,'Data shares'!$C:$FB,3)</f>
        <v>4225</v>
      </c>
      <c r="D92" s="140">
        <f>VLOOKUP($A92,'Data shares'!$C:$FB,4)</f>
        <v>4221.2</v>
      </c>
      <c r="E92" s="50">
        <f t="shared" si="3"/>
        <v>9.0021794750312287E-2</v>
      </c>
      <c r="F92" s="49">
        <f>VLOOKUP($A92,'Data shares'!$C:$FB,98)</f>
        <v>8461050</v>
      </c>
      <c r="G92" s="49">
        <f>VLOOKUP($A92,'Data shares'!$C:$FB,99)</f>
        <v>12753000</v>
      </c>
      <c r="H92" s="50">
        <f t="shared" si="4"/>
        <v>-33.654434250764524</v>
      </c>
      <c r="I92" s="49">
        <f>VLOOKUP($A92,'Data shares'!$C:$FB,66)</f>
        <v>6779550</v>
      </c>
      <c r="J92" s="49">
        <f>VLOOKUP($A92,'Data shares'!$C:$FB,67)</f>
        <v>13927800</v>
      </c>
      <c r="K92" s="50">
        <f t="shared" si="5"/>
        <v>-105.43841405403013</v>
      </c>
      <c r="L92" s="50">
        <f>VLOOKUP($A92,'Data shares'!$C:$FB,118)</f>
        <v>0.68</v>
      </c>
      <c r="M92" s="50">
        <f>VLOOKUP($A92,'Data shares'!$C:$FB,119)</f>
        <v>0.57999999999999996</v>
      </c>
      <c r="N92" s="50">
        <f>VLOOKUP($A92,'Data shares'!$C:$FB,121)*100</f>
        <v>17.239999999999998</v>
      </c>
      <c r="O92" s="50">
        <f>VLOOKUP($A92,'Data shares'!$C:$FB,124)</f>
        <v>0.45</v>
      </c>
      <c r="P92" s="50">
        <f>VLOOKUP($A92,'Data shares'!$C:$FB,125)</f>
        <v>0.43</v>
      </c>
      <c r="Q92" s="50">
        <f>VLOOKUP($A92,'Data shares'!$C:$FB,127)*100</f>
        <v>4.6500000000000004</v>
      </c>
    </row>
    <row r="93" spans="1:17" x14ac:dyDescent="0.25">
      <c r="A93" s="97" t="str">
        <f>'Data Vlaue (Cr)'!C88</f>
        <v>HFCL</v>
      </c>
      <c r="B93" s="140">
        <f>VLOOKUP($A93,'Data shares'!$C:$FB,7)</f>
        <v>75.569999999999993</v>
      </c>
      <c r="C93" s="140">
        <f>VLOOKUP($A93,'Data shares'!$C:$FB,3)</f>
        <v>76.09</v>
      </c>
      <c r="D93" s="140">
        <f>VLOOKUP($A93,'Data shares'!$C:$FB,4)</f>
        <v>77.430000000000007</v>
      </c>
      <c r="E93" s="50">
        <f t="shared" si="3"/>
        <v>-1.7305953764690729</v>
      </c>
      <c r="F93" s="49">
        <f>VLOOKUP($A93,'Data shares'!$C:$FB,98)</f>
        <v>118383300</v>
      </c>
      <c r="G93" s="49">
        <f>VLOOKUP($A93,'Data shares'!$C:$FB,99)</f>
        <v>153729300</v>
      </c>
      <c r="H93" s="50">
        <f t="shared" si="4"/>
        <v>-22.992363849962238</v>
      </c>
      <c r="I93" s="49">
        <f>VLOOKUP($A93,'Data shares'!$C:$FB,66)</f>
        <v>88100550</v>
      </c>
      <c r="J93" s="49">
        <f>VLOOKUP($A93,'Data shares'!$C:$FB,67)</f>
        <v>61655550</v>
      </c>
      <c r="K93" s="50">
        <f t="shared" si="5"/>
        <v>30.016838714400762</v>
      </c>
      <c r="L93" s="50">
        <f>VLOOKUP($A93,'Data shares'!$C:$FB,118)</f>
        <v>0.6</v>
      </c>
      <c r="M93" s="50">
        <f>VLOOKUP($A93,'Data shares'!$C:$FB,119)</f>
        <v>0.56000000000000005</v>
      </c>
      <c r="N93" s="50">
        <f>VLOOKUP($A93,'Data shares'!$C:$FB,121)*100</f>
        <v>7.1400000000000006</v>
      </c>
      <c r="O93" s="50">
        <f>VLOOKUP($A93,'Data shares'!$C:$FB,124)</f>
        <v>0.62</v>
      </c>
      <c r="P93" s="50">
        <f>VLOOKUP($A93,'Data shares'!$C:$FB,125)</f>
        <v>0.97</v>
      </c>
      <c r="Q93" s="50">
        <f>VLOOKUP($A93,'Data shares'!$C:$FB,127)*100</f>
        <v>-36.08</v>
      </c>
    </row>
    <row r="94" spans="1:17" x14ac:dyDescent="0.25">
      <c r="A94" s="97" t="str">
        <f>'Data Vlaue (Cr)'!C89</f>
        <v>HINDALCO</v>
      </c>
      <c r="B94" s="140">
        <f>VLOOKUP($A94,'Data shares'!$C:$FB,7)</f>
        <v>683.05</v>
      </c>
      <c r="C94" s="140">
        <f>VLOOKUP($A94,'Data shares'!$C:$FB,3)</f>
        <v>680.2</v>
      </c>
      <c r="D94" s="140">
        <f>VLOOKUP($A94,'Data shares'!$C:$FB,4)</f>
        <v>687.4</v>
      </c>
      <c r="E94" s="50">
        <f t="shared" si="3"/>
        <v>-1.047425080011628</v>
      </c>
      <c r="F94" s="49">
        <f>VLOOKUP($A94,'Data shares'!$C:$FB,98)</f>
        <v>54098800</v>
      </c>
      <c r="G94" s="49">
        <f>VLOOKUP($A94,'Data shares'!$C:$FB,99)</f>
        <v>73064600</v>
      </c>
      <c r="H94" s="50">
        <f t="shared" si="4"/>
        <v>-25.957577267240222</v>
      </c>
      <c r="I94" s="49">
        <f>VLOOKUP($A94,'Data shares'!$C:$FB,66)</f>
        <v>41442800</v>
      </c>
      <c r="J94" s="49">
        <f>VLOOKUP($A94,'Data shares'!$C:$FB,67)</f>
        <v>49483000</v>
      </c>
      <c r="K94" s="50">
        <f t="shared" si="5"/>
        <v>-19.400716167826499</v>
      </c>
      <c r="L94" s="50">
        <f>VLOOKUP($A94,'Data shares'!$C:$FB,118)</f>
        <v>0.86</v>
      </c>
      <c r="M94" s="50">
        <f>VLOOKUP($A94,'Data shares'!$C:$FB,119)</f>
        <v>0.57999999999999996</v>
      </c>
      <c r="N94" s="50">
        <f>VLOOKUP($A94,'Data shares'!$C:$FB,121)*100</f>
        <v>48.28</v>
      </c>
      <c r="O94" s="50">
        <f>VLOOKUP($A94,'Data shares'!$C:$FB,124)</f>
        <v>1.01</v>
      </c>
      <c r="P94" s="50">
        <f>VLOOKUP($A94,'Data shares'!$C:$FB,125)</f>
        <v>0.68</v>
      </c>
      <c r="Q94" s="50">
        <f>VLOOKUP($A94,'Data shares'!$C:$FB,127)*100</f>
        <v>48.53</v>
      </c>
    </row>
    <row r="95" spans="1:17" x14ac:dyDescent="0.25">
      <c r="A95" s="97" t="str">
        <f>'Data Vlaue (Cr)'!C90</f>
        <v>HINDCOPPER</v>
      </c>
      <c r="B95" s="140">
        <f>VLOOKUP($A95,'Data shares'!$C:$FB,7)</f>
        <v>243.35</v>
      </c>
      <c r="C95" s="140">
        <f>VLOOKUP($A95,'Data shares'!$C:$FB,3)</f>
        <v>0</v>
      </c>
      <c r="D95" s="140">
        <f>VLOOKUP($A95,'Data shares'!$C:$FB,4)</f>
        <v>0</v>
      </c>
      <c r="E95" s="50" t="e">
        <f t="shared" si="3"/>
        <v>#DIV/0!</v>
      </c>
      <c r="F95" s="49">
        <f>VLOOKUP($A95,'Data shares'!$C:$FB,98)</f>
        <v>11164450</v>
      </c>
      <c r="G95" s="49">
        <f>VLOOKUP($A95,'Data shares'!$C:$FB,99)</f>
        <v>23431300</v>
      </c>
      <c r="H95" s="50">
        <f t="shared" si="4"/>
        <v>-52.352408957249494</v>
      </c>
      <c r="I95" s="49">
        <f>VLOOKUP($A95,'Data shares'!$C:$FB,66)</f>
        <v>20232750</v>
      </c>
      <c r="J95" s="49">
        <f>VLOOKUP($A95,'Data shares'!$C:$FB,67)</f>
        <v>26076000</v>
      </c>
      <c r="K95" s="50">
        <f t="shared" si="5"/>
        <v>-28.880157170923383</v>
      </c>
      <c r="L95" s="50">
        <f>VLOOKUP($A95,'Data shares'!$C:$FB,118)</f>
        <v>0.42</v>
      </c>
      <c r="M95" s="50">
        <f>VLOOKUP($A95,'Data shares'!$C:$FB,119)</f>
        <v>0.51</v>
      </c>
      <c r="N95" s="50">
        <f>VLOOKUP($A95,'Data shares'!$C:$FB,121)*100</f>
        <v>-17.649999999999999</v>
      </c>
      <c r="O95" s="50">
        <f>VLOOKUP($A95,'Data shares'!$C:$FB,124)</f>
        <v>1.1000000000000001</v>
      </c>
      <c r="P95" s="50">
        <f>VLOOKUP($A95,'Data shares'!$C:$FB,125)</f>
        <v>0.51</v>
      </c>
      <c r="Q95" s="50">
        <f>VLOOKUP($A95,'Data shares'!$C:$FB,127)*100</f>
        <v>115.69</v>
      </c>
    </row>
    <row r="96" spans="1:17" x14ac:dyDescent="0.25">
      <c r="A96" s="97" t="str">
        <f>'Data Vlaue (Cr)'!C91</f>
        <v>HINDPETRO</v>
      </c>
      <c r="B96" s="140">
        <f>VLOOKUP($A96,'Data shares'!$C:$FB,7)</f>
        <v>418.45</v>
      </c>
      <c r="C96" s="140">
        <f>VLOOKUP($A96,'Data shares'!$C:$FB,3)</f>
        <v>418.45</v>
      </c>
      <c r="D96" s="140">
        <f>VLOOKUP($A96,'Data shares'!$C:$FB,4)</f>
        <v>428.75</v>
      </c>
      <c r="E96" s="50">
        <f t="shared" si="3"/>
        <v>-2.4023323615160375</v>
      </c>
      <c r="F96" s="49">
        <f>VLOOKUP($A96,'Data shares'!$C:$FB,98)</f>
        <v>63838125</v>
      </c>
      <c r="G96" s="49">
        <f>VLOOKUP($A96,'Data shares'!$C:$FB,99)</f>
        <v>90264375</v>
      </c>
      <c r="H96" s="50">
        <f t="shared" si="4"/>
        <v>-29.276500280426248</v>
      </c>
      <c r="I96" s="49">
        <f>VLOOKUP($A96,'Data shares'!$C:$FB,66)</f>
        <v>71053200</v>
      </c>
      <c r="J96" s="49">
        <f>VLOOKUP($A96,'Data shares'!$C:$FB,67)</f>
        <v>135276075</v>
      </c>
      <c r="K96" s="50">
        <f t="shared" si="5"/>
        <v>-90.387026903784772</v>
      </c>
      <c r="L96" s="50">
        <f>VLOOKUP($A96,'Data shares'!$C:$FB,118)</f>
        <v>0.96</v>
      </c>
      <c r="M96" s="50">
        <f>VLOOKUP($A96,'Data shares'!$C:$FB,119)</f>
        <v>0.68</v>
      </c>
      <c r="N96" s="50">
        <f>VLOOKUP($A96,'Data shares'!$C:$FB,121)*100</f>
        <v>41.18</v>
      </c>
      <c r="O96" s="50">
        <f>VLOOKUP($A96,'Data shares'!$C:$FB,124)</f>
        <v>0.56999999999999995</v>
      </c>
      <c r="P96" s="50">
        <f>VLOOKUP($A96,'Data shares'!$C:$FB,125)</f>
        <v>0.46</v>
      </c>
      <c r="Q96" s="50">
        <f>VLOOKUP($A96,'Data shares'!$C:$FB,127)*100</f>
        <v>23.91</v>
      </c>
    </row>
    <row r="97" spans="1:17" x14ac:dyDescent="0.25">
      <c r="A97" s="97" t="str">
        <f>'Data Vlaue (Cr)'!C92</f>
        <v>HINDUNILVR</v>
      </c>
      <c r="B97" s="140">
        <f>VLOOKUP($A97,'Data shares'!$C:$FB,7)</f>
        <v>2521.1999999999998</v>
      </c>
      <c r="C97" s="140">
        <f>VLOOKUP($A97,'Data shares'!$C:$FB,3)</f>
        <v>2532.5</v>
      </c>
      <c r="D97" s="140">
        <f>VLOOKUP($A97,'Data shares'!$C:$FB,4)</f>
        <v>2450.8000000000002</v>
      </c>
      <c r="E97" s="50">
        <f t="shared" si="3"/>
        <v>3.3336053533539993</v>
      </c>
      <c r="F97" s="49">
        <f>VLOOKUP($A97,'Data shares'!$C:$FB,98)</f>
        <v>22008300</v>
      </c>
      <c r="G97" s="49">
        <f>VLOOKUP($A97,'Data shares'!$C:$FB,99)</f>
        <v>33402600</v>
      </c>
      <c r="H97" s="50">
        <f t="shared" si="4"/>
        <v>-34.112015232347183</v>
      </c>
      <c r="I97" s="49">
        <f>VLOOKUP($A97,'Data shares'!$C:$FB,66)</f>
        <v>110687100</v>
      </c>
      <c r="J97" s="49">
        <f>VLOOKUP($A97,'Data shares'!$C:$FB,67)</f>
        <v>42200700</v>
      </c>
      <c r="K97" s="50">
        <f t="shared" si="5"/>
        <v>61.873876901644365</v>
      </c>
      <c r="L97" s="50">
        <f>VLOOKUP($A97,'Data shares'!$C:$FB,118)</f>
        <v>0.94</v>
      </c>
      <c r="M97" s="50">
        <f>VLOOKUP($A97,'Data shares'!$C:$FB,119)</f>
        <v>0.69</v>
      </c>
      <c r="N97" s="50">
        <f>VLOOKUP($A97,'Data shares'!$C:$FB,121)*100</f>
        <v>36.230000000000004</v>
      </c>
      <c r="O97" s="50">
        <f>VLOOKUP($A97,'Data shares'!$C:$FB,124)</f>
        <v>0.44</v>
      </c>
      <c r="P97" s="50">
        <f>VLOOKUP($A97,'Data shares'!$C:$FB,125)</f>
        <v>0.7</v>
      </c>
      <c r="Q97" s="50">
        <f>VLOOKUP($A97,'Data shares'!$C:$FB,127)*100</f>
        <v>-37.14</v>
      </c>
    </row>
    <row r="98" spans="1:17" x14ac:dyDescent="0.25">
      <c r="A98" s="97" t="str">
        <f>'Data Vlaue (Cr)'!C93</f>
        <v>HINDZINC</v>
      </c>
      <c r="B98" s="140">
        <f>VLOOKUP($A98,'Data shares'!$C:$FB,7)</f>
        <v>424.05</v>
      </c>
      <c r="C98" s="140">
        <f>VLOOKUP($A98,'Data shares'!$C:$FB,3)</f>
        <v>426.7</v>
      </c>
      <c r="D98" s="140">
        <f>VLOOKUP($A98,'Data shares'!$C:$FB,4)</f>
        <v>434.7</v>
      </c>
      <c r="E98" s="50">
        <f t="shared" si="3"/>
        <v>-1.840349666436623</v>
      </c>
      <c r="F98" s="49">
        <f>VLOOKUP($A98,'Data shares'!$C:$FB,98)</f>
        <v>41805575</v>
      </c>
      <c r="G98" s="49">
        <f>VLOOKUP($A98,'Data shares'!$C:$FB,99)</f>
        <v>63104650</v>
      </c>
      <c r="H98" s="50">
        <f t="shared" si="4"/>
        <v>-33.751989750359122</v>
      </c>
      <c r="I98" s="49">
        <f>VLOOKUP($A98,'Data shares'!$C:$FB,66)</f>
        <v>34879425</v>
      </c>
      <c r="J98" s="49">
        <f>VLOOKUP($A98,'Data shares'!$C:$FB,67)</f>
        <v>28371000</v>
      </c>
      <c r="K98" s="50">
        <f t="shared" si="5"/>
        <v>18.659782952270572</v>
      </c>
      <c r="L98" s="50">
        <f>VLOOKUP($A98,'Data shares'!$C:$FB,118)</f>
        <v>0.7</v>
      </c>
      <c r="M98" s="50">
        <f>VLOOKUP($A98,'Data shares'!$C:$FB,119)</f>
        <v>0.63</v>
      </c>
      <c r="N98" s="50">
        <f>VLOOKUP($A98,'Data shares'!$C:$FB,121)*100</f>
        <v>11.110000000000001</v>
      </c>
      <c r="O98" s="50">
        <f>VLOOKUP($A98,'Data shares'!$C:$FB,124)</f>
        <v>0.77</v>
      </c>
      <c r="P98" s="50">
        <f>VLOOKUP($A98,'Data shares'!$C:$FB,125)</f>
        <v>0.49</v>
      </c>
      <c r="Q98" s="50">
        <f>VLOOKUP($A98,'Data shares'!$C:$FB,127)*100</f>
        <v>57.14</v>
      </c>
    </row>
    <row r="99" spans="1:17" x14ac:dyDescent="0.25">
      <c r="A99" s="97" t="str">
        <f>'Data Vlaue (Cr)'!C94</f>
        <v>HUDCO</v>
      </c>
      <c r="B99" s="140">
        <f>VLOOKUP($A99,'Data shares'!$C:$FB,7)</f>
        <v>212.27</v>
      </c>
      <c r="C99" s="140">
        <f>VLOOKUP($A99,'Data shares'!$C:$FB,3)</f>
        <v>212.15</v>
      </c>
      <c r="D99" s="140">
        <f>VLOOKUP($A99,'Data shares'!$C:$FB,4)</f>
        <v>216.96</v>
      </c>
      <c r="E99" s="50">
        <f t="shared" si="3"/>
        <v>-2.2169985250737474</v>
      </c>
      <c r="F99" s="49">
        <f>VLOOKUP($A99,'Data shares'!$C:$FB,98)</f>
        <v>42099525</v>
      </c>
      <c r="G99" s="49">
        <f>VLOOKUP($A99,'Data shares'!$C:$FB,99)</f>
        <v>61158225</v>
      </c>
      <c r="H99" s="50">
        <f t="shared" si="4"/>
        <v>-31.162938427333366</v>
      </c>
      <c r="I99" s="49">
        <f>VLOOKUP($A99,'Data shares'!$C:$FB,66)</f>
        <v>47810475</v>
      </c>
      <c r="J99" s="49">
        <f>VLOOKUP($A99,'Data shares'!$C:$FB,67)</f>
        <v>46195425</v>
      </c>
      <c r="K99" s="50">
        <f t="shared" si="5"/>
        <v>3.3780254222531783</v>
      </c>
      <c r="L99" s="50">
        <f>VLOOKUP($A99,'Data shares'!$C:$FB,118)</f>
        <v>0.81</v>
      </c>
      <c r="M99" s="50">
        <f>VLOOKUP($A99,'Data shares'!$C:$FB,119)</f>
        <v>0.61</v>
      </c>
      <c r="N99" s="50">
        <f>VLOOKUP($A99,'Data shares'!$C:$FB,121)*100</f>
        <v>32.79</v>
      </c>
      <c r="O99" s="50">
        <f>VLOOKUP($A99,'Data shares'!$C:$FB,124)</f>
        <v>0.55000000000000004</v>
      </c>
      <c r="P99" s="50">
        <f>VLOOKUP($A99,'Data shares'!$C:$FB,125)</f>
        <v>0.63</v>
      </c>
      <c r="Q99" s="50">
        <f>VLOOKUP($A99,'Data shares'!$C:$FB,127)*100</f>
        <v>-12.7</v>
      </c>
    </row>
    <row r="100" spans="1:17" x14ac:dyDescent="0.25">
      <c r="A100" s="97" t="str">
        <f>'Data Vlaue (Cr)'!C95</f>
        <v>ICICIBANK</v>
      </c>
      <c r="B100" s="140">
        <f>VLOOKUP($A100,'Data shares'!$C:$FB,7)</f>
        <v>1481.4</v>
      </c>
      <c r="C100" s="140">
        <f>VLOOKUP($A100,'Data shares'!$C:$FB,3)</f>
        <v>1477.4</v>
      </c>
      <c r="D100" s="140">
        <f>VLOOKUP($A100,'Data shares'!$C:$FB,4)</f>
        <v>1477.6</v>
      </c>
      <c r="E100" s="50">
        <f t="shared" si="3"/>
        <v>-1.3535462912819308E-2</v>
      </c>
      <c r="F100" s="49">
        <f>VLOOKUP($A100,'Data shares'!$C:$FB,98)</f>
        <v>108199000</v>
      </c>
      <c r="G100" s="49">
        <f>VLOOKUP($A100,'Data shares'!$C:$FB,99)</f>
        <v>137342100</v>
      </c>
      <c r="H100" s="50">
        <f t="shared" si="4"/>
        <v>-21.219349347359621</v>
      </c>
      <c r="I100" s="49">
        <f>VLOOKUP($A100,'Data shares'!$C:$FB,66)</f>
        <v>99079400</v>
      </c>
      <c r="J100" s="49">
        <f>VLOOKUP($A100,'Data shares'!$C:$FB,67)</f>
        <v>87172400</v>
      </c>
      <c r="K100" s="50">
        <f t="shared" si="5"/>
        <v>12.017634341750153</v>
      </c>
      <c r="L100" s="50">
        <f>VLOOKUP($A100,'Data shares'!$C:$FB,118)</f>
        <v>1.01</v>
      </c>
      <c r="M100" s="50">
        <f>VLOOKUP($A100,'Data shares'!$C:$FB,119)</f>
        <v>0.96</v>
      </c>
      <c r="N100" s="50">
        <f>VLOOKUP($A100,'Data shares'!$C:$FB,121)*100</f>
        <v>5.21</v>
      </c>
      <c r="O100" s="50">
        <f>VLOOKUP($A100,'Data shares'!$C:$FB,124)</f>
        <v>0.91</v>
      </c>
      <c r="P100" s="50">
        <f>VLOOKUP($A100,'Data shares'!$C:$FB,125)</f>
        <v>0.83</v>
      </c>
      <c r="Q100" s="50">
        <f>VLOOKUP($A100,'Data shares'!$C:$FB,127)*100</f>
        <v>9.64</v>
      </c>
    </row>
    <row r="101" spans="1:17" x14ac:dyDescent="0.25">
      <c r="A101" s="97" t="str">
        <f>'Data Vlaue (Cr)'!C96</f>
        <v>ICICIGI</v>
      </c>
      <c r="B101" s="140">
        <f>VLOOKUP($A101,'Data shares'!$C:$FB,7)</f>
        <v>1927</v>
      </c>
      <c r="C101" s="140">
        <f>VLOOKUP($A101,'Data shares'!$C:$FB,3)</f>
        <v>1938.2</v>
      </c>
      <c r="D101" s="140">
        <f>VLOOKUP($A101,'Data shares'!$C:$FB,4)</f>
        <v>1926</v>
      </c>
      <c r="E101" s="50">
        <f t="shared" si="3"/>
        <v>0.63343717549325262</v>
      </c>
      <c r="F101" s="49">
        <f>VLOOKUP($A101,'Data shares'!$C:$FB,98)</f>
        <v>5499975</v>
      </c>
      <c r="G101" s="49">
        <f>VLOOKUP($A101,'Data shares'!$C:$FB,99)</f>
        <v>8103550</v>
      </c>
      <c r="H101" s="50">
        <f t="shared" si="4"/>
        <v>-32.128820085024465</v>
      </c>
      <c r="I101" s="49">
        <f>VLOOKUP($A101,'Data shares'!$C:$FB,66)</f>
        <v>4068025</v>
      </c>
      <c r="J101" s="49">
        <f>VLOOKUP($A101,'Data shares'!$C:$FB,67)</f>
        <v>3777800</v>
      </c>
      <c r="K101" s="50">
        <f t="shared" si="5"/>
        <v>7.1342973555963889</v>
      </c>
      <c r="L101" s="50">
        <f>VLOOKUP($A101,'Data shares'!$C:$FB,118)</f>
        <v>0.94</v>
      </c>
      <c r="M101" s="50">
        <f>VLOOKUP($A101,'Data shares'!$C:$FB,119)</f>
        <v>0.46</v>
      </c>
      <c r="N101" s="50">
        <f>VLOOKUP($A101,'Data shares'!$C:$FB,121)*100</f>
        <v>104.35000000000001</v>
      </c>
      <c r="O101" s="50">
        <f>VLOOKUP($A101,'Data shares'!$C:$FB,124)</f>
        <v>0.54</v>
      </c>
      <c r="P101" s="50">
        <f>VLOOKUP($A101,'Data shares'!$C:$FB,125)</f>
        <v>0.3</v>
      </c>
      <c r="Q101" s="50">
        <f>VLOOKUP($A101,'Data shares'!$C:$FB,127)*100</f>
        <v>80</v>
      </c>
    </row>
    <row r="102" spans="1:17" x14ac:dyDescent="0.25">
      <c r="A102" s="97" t="str">
        <f>'Data Vlaue (Cr)'!C97</f>
        <v>ICICIPRULI</v>
      </c>
      <c r="B102" s="140">
        <f>VLOOKUP($A102,'Data shares'!$C:$FB,7)</f>
        <v>615.95000000000005</v>
      </c>
      <c r="C102" s="140">
        <f>VLOOKUP($A102,'Data shares'!$C:$FB,3)</f>
        <v>618.29999999999995</v>
      </c>
      <c r="D102" s="140">
        <f>VLOOKUP($A102,'Data shares'!$C:$FB,4)</f>
        <v>622.5</v>
      </c>
      <c r="E102" s="50">
        <f t="shared" si="3"/>
        <v>-0.67469879518073017</v>
      </c>
      <c r="F102" s="49">
        <f>VLOOKUP($A102,'Data shares'!$C:$FB,98)</f>
        <v>15784200</v>
      </c>
      <c r="G102" s="49">
        <f>VLOOKUP($A102,'Data shares'!$C:$FB,99)</f>
        <v>25285800</v>
      </c>
      <c r="H102" s="50">
        <f t="shared" si="4"/>
        <v>-37.576821773485513</v>
      </c>
      <c r="I102" s="49">
        <f>VLOOKUP($A102,'Data shares'!$C:$FB,66)</f>
        <v>7595175</v>
      </c>
      <c r="J102" s="49">
        <f>VLOOKUP($A102,'Data shares'!$C:$FB,67)</f>
        <v>12978675</v>
      </c>
      <c r="K102" s="50">
        <f t="shared" si="5"/>
        <v>-70.880526123492871</v>
      </c>
      <c r="L102" s="50">
        <f>VLOOKUP($A102,'Data shares'!$C:$FB,118)</f>
        <v>0.84</v>
      </c>
      <c r="M102" s="50">
        <f>VLOOKUP($A102,'Data shares'!$C:$FB,119)</f>
        <v>0.41</v>
      </c>
      <c r="N102" s="50">
        <f>VLOOKUP($A102,'Data shares'!$C:$FB,121)*100</f>
        <v>104.88</v>
      </c>
      <c r="O102" s="50">
        <f>VLOOKUP($A102,'Data shares'!$C:$FB,124)</f>
        <v>0.45</v>
      </c>
      <c r="P102" s="50">
        <f>VLOOKUP($A102,'Data shares'!$C:$FB,125)</f>
        <v>0.38</v>
      </c>
      <c r="Q102" s="50">
        <f>VLOOKUP($A102,'Data shares'!$C:$FB,127)*100</f>
        <v>18.420000000000002</v>
      </c>
    </row>
    <row r="103" spans="1:17" x14ac:dyDescent="0.25">
      <c r="A103" s="97" t="str">
        <f>'Data Vlaue (Cr)'!C98</f>
        <v>IDEA</v>
      </c>
      <c r="B103" s="140">
        <f>VLOOKUP($A103,'Data shares'!$C:$FB,7)</f>
        <v>6.91</v>
      </c>
      <c r="C103" s="140">
        <f>VLOOKUP($A103,'Data shares'!$C:$FB,3)</f>
        <v>6.93</v>
      </c>
      <c r="D103" s="140">
        <f>VLOOKUP($A103,'Data shares'!$C:$FB,4)</f>
        <v>7.05</v>
      </c>
      <c r="E103" s="50">
        <f t="shared" si="3"/>
        <v>-1.7021276595744694</v>
      </c>
      <c r="F103" s="49">
        <f>VLOOKUP($A103,'Data shares'!$C:$FB,98)</f>
        <v>6381359475</v>
      </c>
      <c r="G103" s="49">
        <f>VLOOKUP($A103,'Data shares'!$C:$FB,99)</f>
        <v>7977396225</v>
      </c>
      <c r="H103" s="50">
        <f t="shared" si="4"/>
        <v>-20.00698855847542</v>
      </c>
      <c r="I103" s="49">
        <f>VLOOKUP($A103,'Data shares'!$C:$FB,66)</f>
        <v>2862716700</v>
      </c>
      <c r="J103" s="49">
        <f>VLOOKUP($A103,'Data shares'!$C:$FB,67)</f>
        <v>3841852725</v>
      </c>
      <c r="K103" s="50">
        <f t="shared" si="5"/>
        <v>-34.20303605313093</v>
      </c>
      <c r="L103" s="50">
        <f>VLOOKUP($A103,'Data shares'!$C:$FB,118)</f>
        <v>0.85</v>
      </c>
      <c r="M103" s="50">
        <f>VLOOKUP($A103,'Data shares'!$C:$FB,119)</f>
        <v>0.57999999999999996</v>
      </c>
      <c r="N103" s="50">
        <f>VLOOKUP($A103,'Data shares'!$C:$FB,121)*100</f>
        <v>46.550000000000004</v>
      </c>
      <c r="O103" s="50">
        <f>VLOOKUP($A103,'Data shares'!$C:$FB,124)</f>
        <v>1.73</v>
      </c>
      <c r="P103" s="50">
        <f>VLOOKUP($A103,'Data shares'!$C:$FB,125)</f>
        <v>0.52</v>
      </c>
      <c r="Q103" s="50">
        <f>VLOOKUP($A103,'Data shares'!$C:$FB,127)*100</f>
        <v>232.69000000000003</v>
      </c>
    </row>
    <row r="104" spans="1:17" x14ac:dyDescent="0.25">
      <c r="A104" s="97" t="str">
        <f>'Data Vlaue (Cr)'!C99</f>
        <v>IDFCFIRSTB</v>
      </c>
      <c r="B104" s="140">
        <f>VLOOKUP($A104,'Data shares'!$C:$FB,7)</f>
        <v>68.760000000000005</v>
      </c>
      <c r="C104" s="140">
        <f>VLOOKUP($A104,'Data shares'!$C:$FB,3)</f>
        <v>69.150000000000006</v>
      </c>
      <c r="D104" s="140">
        <f>VLOOKUP($A104,'Data shares'!$C:$FB,4)</f>
        <v>69.67</v>
      </c>
      <c r="E104" s="50">
        <f t="shared" si="3"/>
        <v>-0.74637577149418111</v>
      </c>
      <c r="F104" s="49">
        <f>VLOOKUP($A104,'Data shares'!$C:$FB,98)</f>
        <v>483941675</v>
      </c>
      <c r="G104" s="49">
        <f>VLOOKUP($A104,'Data shares'!$C:$FB,99)</f>
        <v>643397475</v>
      </c>
      <c r="H104" s="50">
        <f t="shared" si="4"/>
        <v>-24.783404690856145</v>
      </c>
      <c r="I104" s="49">
        <f>VLOOKUP($A104,'Data shares'!$C:$FB,66)</f>
        <v>271609100</v>
      </c>
      <c r="J104" s="49">
        <f>VLOOKUP($A104,'Data shares'!$C:$FB,67)</f>
        <v>322463925</v>
      </c>
      <c r="K104" s="50">
        <f t="shared" si="5"/>
        <v>-18.723535036197241</v>
      </c>
      <c r="L104" s="50">
        <f>VLOOKUP($A104,'Data shares'!$C:$FB,118)</f>
        <v>0.74</v>
      </c>
      <c r="M104" s="50">
        <f>VLOOKUP($A104,'Data shares'!$C:$FB,119)</f>
        <v>0.56000000000000005</v>
      </c>
      <c r="N104" s="50">
        <f>VLOOKUP($A104,'Data shares'!$C:$FB,121)*100</f>
        <v>32.14</v>
      </c>
      <c r="O104" s="50">
        <f>VLOOKUP($A104,'Data shares'!$C:$FB,124)</f>
        <v>1.05</v>
      </c>
      <c r="P104" s="50">
        <f>VLOOKUP($A104,'Data shares'!$C:$FB,125)</f>
        <v>1.03</v>
      </c>
      <c r="Q104" s="50">
        <f>VLOOKUP($A104,'Data shares'!$C:$FB,127)*100</f>
        <v>1.94</v>
      </c>
    </row>
    <row r="105" spans="1:17" x14ac:dyDescent="0.25">
      <c r="A105" s="97" t="str">
        <f>'Data Vlaue (Cr)'!C100</f>
        <v>IEX</v>
      </c>
      <c r="B105" s="140">
        <f>VLOOKUP($A105,'Data shares'!$C:$FB,7)</f>
        <v>135.30000000000001</v>
      </c>
      <c r="C105" s="140">
        <f>VLOOKUP($A105,'Data shares'!$C:$FB,3)</f>
        <v>136.07</v>
      </c>
      <c r="D105" s="140">
        <f>VLOOKUP($A105,'Data shares'!$C:$FB,4)</f>
        <v>136.59</v>
      </c>
      <c r="E105" s="50">
        <f t="shared" si="3"/>
        <v>-0.38070136906070007</v>
      </c>
      <c r="F105" s="49">
        <f>VLOOKUP($A105,'Data shares'!$C:$FB,98)</f>
        <v>79207500</v>
      </c>
      <c r="G105" s="49">
        <f>VLOOKUP($A105,'Data shares'!$C:$FB,99)</f>
        <v>165667500</v>
      </c>
      <c r="H105" s="50">
        <f t="shared" si="4"/>
        <v>-52.1888722893748</v>
      </c>
      <c r="I105" s="49">
        <f>VLOOKUP($A105,'Data shares'!$C:$FB,66)</f>
        <v>133053750</v>
      </c>
      <c r="J105" s="49">
        <f>VLOOKUP($A105,'Data shares'!$C:$FB,67)</f>
        <v>145601250</v>
      </c>
      <c r="K105" s="50">
        <f t="shared" si="5"/>
        <v>-9.4303993686761931</v>
      </c>
      <c r="L105" s="50">
        <f>VLOOKUP($A105,'Data shares'!$C:$FB,118)</f>
        <v>0.81</v>
      </c>
      <c r="M105" s="50">
        <f>VLOOKUP($A105,'Data shares'!$C:$FB,119)</f>
        <v>1.18</v>
      </c>
      <c r="N105" s="50">
        <f>VLOOKUP($A105,'Data shares'!$C:$FB,121)*100</f>
        <v>-31.36</v>
      </c>
      <c r="O105" s="50">
        <f>VLOOKUP($A105,'Data shares'!$C:$FB,124)</f>
        <v>0.54</v>
      </c>
      <c r="P105" s="50">
        <f>VLOOKUP($A105,'Data shares'!$C:$FB,125)</f>
        <v>0.6</v>
      </c>
      <c r="Q105" s="50">
        <f>VLOOKUP($A105,'Data shares'!$C:$FB,127)*100</f>
        <v>-10</v>
      </c>
    </row>
    <row r="106" spans="1:17" x14ac:dyDescent="0.25">
      <c r="A106" s="97" t="str">
        <f>'Data Vlaue (Cr)'!C101</f>
        <v>IGL</v>
      </c>
      <c r="B106" s="140">
        <f>VLOOKUP($A106,'Data shares'!$C:$FB,7)</f>
        <v>205.05</v>
      </c>
      <c r="C106" s="140">
        <f>VLOOKUP($A106,'Data shares'!$C:$FB,3)</f>
        <v>203.9</v>
      </c>
      <c r="D106" s="140">
        <f>VLOOKUP($A106,'Data shares'!$C:$FB,4)</f>
        <v>203.05</v>
      </c>
      <c r="E106" s="50">
        <f t="shared" si="3"/>
        <v>0.41861610440777847</v>
      </c>
      <c r="F106" s="49">
        <f>VLOOKUP($A106,'Data shares'!$C:$FB,98)</f>
        <v>26224000</v>
      </c>
      <c r="G106" s="49">
        <f>VLOOKUP($A106,'Data shares'!$C:$FB,99)</f>
        <v>46543750</v>
      </c>
      <c r="H106" s="50">
        <f t="shared" si="4"/>
        <v>-43.657311669128504</v>
      </c>
      <c r="I106" s="49">
        <f>VLOOKUP($A106,'Data shares'!$C:$FB,66)</f>
        <v>65161250</v>
      </c>
      <c r="J106" s="49">
        <f>VLOOKUP($A106,'Data shares'!$C:$FB,67)</f>
        <v>46343000</v>
      </c>
      <c r="K106" s="50">
        <f t="shared" si="5"/>
        <v>28.879510445241614</v>
      </c>
      <c r="L106" s="50">
        <f>VLOOKUP($A106,'Data shares'!$C:$FB,118)</f>
        <v>0.62</v>
      </c>
      <c r="M106" s="50">
        <f>VLOOKUP($A106,'Data shares'!$C:$FB,119)</f>
        <v>0.57999999999999996</v>
      </c>
      <c r="N106" s="50">
        <f>VLOOKUP($A106,'Data shares'!$C:$FB,121)*100</f>
        <v>6.9</v>
      </c>
      <c r="O106" s="50">
        <f>VLOOKUP($A106,'Data shares'!$C:$FB,124)</f>
        <v>0.51</v>
      </c>
      <c r="P106" s="50">
        <f>VLOOKUP($A106,'Data shares'!$C:$FB,125)</f>
        <v>0.71</v>
      </c>
      <c r="Q106" s="50">
        <f>VLOOKUP($A106,'Data shares'!$C:$FB,127)*100</f>
        <v>-28.17</v>
      </c>
    </row>
    <row r="107" spans="1:17" x14ac:dyDescent="0.25">
      <c r="A107" s="97" t="str">
        <f>'Data Vlaue (Cr)'!C102</f>
        <v>IIFL</v>
      </c>
      <c r="B107" s="140">
        <f>VLOOKUP($A107,'Data shares'!$C:$FB,7)</f>
        <v>477.95</v>
      </c>
      <c r="C107" s="140">
        <f>VLOOKUP($A107,'Data shares'!$C:$FB,3)</f>
        <v>478.7</v>
      </c>
      <c r="D107" s="140">
        <f>VLOOKUP($A107,'Data shares'!$C:$FB,4)</f>
        <v>506.25</v>
      </c>
      <c r="E107" s="50">
        <f t="shared" si="3"/>
        <v>-5.4419753086419771</v>
      </c>
      <c r="F107" s="49">
        <f>VLOOKUP($A107,'Data shares'!$C:$FB,98)</f>
        <v>16770600</v>
      </c>
      <c r="G107" s="49">
        <f>VLOOKUP($A107,'Data shares'!$C:$FB,99)</f>
        <v>22119900</v>
      </c>
      <c r="H107" s="50">
        <f t="shared" si="4"/>
        <v>-24.183201551544084</v>
      </c>
      <c r="I107" s="49">
        <f>VLOOKUP($A107,'Data shares'!$C:$FB,66)</f>
        <v>30110850</v>
      </c>
      <c r="J107" s="49">
        <f>VLOOKUP($A107,'Data shares'!$C:$FB,67)</f>
        <v>18387600</v>
      </c>
      <c r="K107" s="50">
        <f t="shared" si="5"/>
        <v>38.933640199462985</v>
      </c>
      <c r="L107" s="50">
        <f>VLOOKUP($A107,'Data shares'!$C:$FB,118)</f>
        <v>0.61</v>
      </c>
      <c r="M107" s="50">
        <f>VLOOKUP($A107,'Data shares'!$C:$FB,119)</f>
        <v>0.83</v>
      </c>
      <c r="N107" s="50">
        <f>VLOOKUP($A107,'Data shares'!$C:$FB,121)*100</f>
        <v>-26.51</v>
      </c>
      <c r="O107" s="50">
        <f>VLOOKUP($A107,'Data shares'!$C:$FB,124)</f>
        <v>0.89</v>
      </c>
      <c r="P107" s="50">
        <f>VLOOKUP($A107,'Data shares'!$C:$FB,125)</f>
        <v>0.72</v>
      </c>
      <c r="Q107" s="50">
        <f>VLOOKUP($A107,'Data shares'!$C:$FB,127)*100</f>
        <v>23.61</v>
      </c>
    </row>
    <row r="108" spans="1:17" x14ac:dyDescent="0.25">
      <c r="A108" s="97" t="str">
        <f>'Data Vlaue (Cr)'!C103</f>
        <v>INDHOTEL</v>
      </c>
      <c r="B108" s="140">
        <f>VLOOKUP($A108,'Data shares'!$C:$FB,7)</f>
        <v>740.75</v>
      </c>
      <c r="C108" s="140">
        <f>VLOOKUP($A108,'Data shares'!$C:$FB,3)</f>
        <v>743.2</v>
      </c>
      <c r="D108" s="140">
        <f>VLOOKUP($A108,'Data shares'!$C:$FB,4)</f>
        <v>748.05</v>
      </c>
      <c r="E108" s="50">
        <f t="shared" si="3"/>
        <v>-0.64835238286209607</v>
      </c>
      <c r="F108" s="49">
        <f>VLOOKUP($A108,'Data shares'!$C:$FB,98)</f>
        <v>34248000</v>
      </c>
      <c r="G108" s="49">
        <f>VLOOKUP($A108,'Data shares'!$C:$FB,99)</f>
        <v>43183000</v>
      </c>
      <c r="H108" s="50">
        <f t="shared" si="4"/>
        <v>-20.691012667021745</v>
      </c>
      <c r="I108" s="49">
        <f>VLOOKUP($A108,'Data shares'!$C:$FB,66)</f>
        <v>24493000</v>
      </c>
      <c r="J108" s="49">
        <f>VLOOKUP($A108,'Data shares'!$C:$FB,67)</f>
        <v>23631000</v>
      </c>
      <c r="K108" s="50">
        <f t="shared" si="5"/>
        <v>3.5193728820479322</v>
      </c>
      <c r="L108" s="50">
        <f>VLOOKUP($A108,'Data shares'!$C:$FB,118)</f>
        <v>0.79</v>
      </c>
      <c r="M108" s="50">
        <f>VLOOKUP($A108,'Data shares'!$C:$FB,119)</f>
        <v>0.7</v>
      </c>
      <c r="N108" s="50">
        <f>VLOOKUP($A108,'Data shares'!$C:$FB,121)*100</f>
        <v>12.86</v>
      </c>
      <c r="O108" s="50">
        <f>VLOOKUP($A108,'Data shares'!$C:$FB,124)</f>
        <v>0.75</v>
      </c>
      <c r="P108" s="50">
        <f>VLOOKUP($A108,'Data shares'!$C:$FB,125)</f>
        <v>0.38</v>
      </c>
      <c r="Q108" s="50">
        <f>VLOOKUP($A108,'Data shares'!$C:$FB,127)*100</f>
        <v>97.37</v>
      </c>
    </row>
    <row r="109" spans="1:17" x14ac:dyDescent="0.25">
      <c r="A109" s="97" t="str">
        <f>'Data Vlaue (Cr)'!C104</f>
        <v>INDIANB</v>
      </c>
      <c r="B109" s="140">
        <f>VLOOKUP($A109,'Data shares'!$C:$FB,7)</f>
        <v>621.70000000000005</v>
      </c>
      <c r="C109" s="140">
        <f>VLOOKUP($A109,'Data shares'!$C:$FB,3)</f>
        <v>622.6</v>
      </c>
      <c r="D109" s="140">
        <f>VLOOKUP($A109,'Data shares'!$C:$FB,4)</f>
        <v>618.20000000000005</v>
      </c>
      <c r="E109" s="50">
        <f t="shared" si="3"/>
        <v>0.71174377224198915</v>
      </c>
      <c r="F109" s="49">
        <f>VLOOKUP($A109,'Data shares'!$C:$FB,98)</f>
        <v>8952000</v>
      </c>
      <c r="G109" s="49">
        <f>VLOOKUP($A109,'Data shares'!$C:$FB,99)</f>
        <v>13083000</v>
      </c>
      <c r="H109" s="50">
        <f t="shared" si="4"/>
        <v>-31.575326759917449</v>
      </c>
      <c r="I109" s="49">
        <f>VLOOKUP($A109,'Data shares'!$C:$FB,66)</f>
        <v>7376000</v>
      </c>
      <c r="J109" s="49">
        <f>VLOOKUP($A109,'Data shares'!$C:$FB,67)</f>
        <v>9825000</v>
      </c>
      <c r="K109" s="50">
        <f t="shared" si="5"/>
        <v>-33.202277657266812</v>
      </c>
      <c r="L109" s="50">
        <f>VLOOKUP($A109,'Data shares'!$C:$FB,118)</f>
        <v>0.76</v>
      </c>
      <c r="M109" s="50">
        <f>VLOOKUP($A109,'Data shares'!$C:$FB,119)</f>
        <v>0.69</v>
      </c>
      <c r="N109" s="50">
        <f>VLOOKUP($A109,'Data shares'!$C:$FB,121)*100</f>
        <v>10.14</v>
      </c>
      <c r="O109" s="50">
        <f>VLOOKUP($A109,'Data shares'!$C:$FB,124)</f>
        <v>0.64</v>
      </c>
      <c r="P109" s="50">
        <f>VLOOKUP($A109,'Data shares'!$C:$FB,125)</f>
        <v>0.48</v>
      </c>
      <c r="Q109" s="50">
        <f>VLOOKUP($A109,'Data shares'!$C:$FB,127)*100</f>
        <v>33.33</v>
      </c>
    </row>
    <row r="110" spans="1:17" x14ac:dyDescent="0.25">
      <c r="A110" s="97" t="str">
        <f>'Data Vlaue (Cr)'!C105</f>
        <v>INDIAVIX</v>
      </c>
      <c r="B110" s="140">
        <f>VLOOKUP($A110,'Data shares'!$C:$FB,7)</f>
        <v>11.54</v>
      </c>
      <c r="C110" s="140">
        <f>VLOOKUP($A110,'Data shares'!$C:$FB,3)</f>
        <v>0</v>
      </c>
      <c r="D110" s="140">
        <f>VLOOKUP($A110,'Data shares'!$C:$FB,4)</f>
        <v>0</v>
      </c>
      <c r="E110" s="50" t="e">
        <f t="shared" si="3"/>
        <v>#DIV/0!</v>
      </c>
      <c r="F110" s="49">
        <f>VLOOKUP($A110,'Data shares'!$C:$FB,98)</f>
        <v>0</v>
      </c>
      <c r="G110" s="49">
        <f>VLOOKUP($A110,'Data shares'!$C:$FB,99)</f>
        <v>0</v>
      </c>
      <c r="H110" s="50" t="e">
        <f t="shared" si="4"/>
        <v>#DIV/0!</v>
      </c>
      <c r="I110" s="49">
        <f>VLOOKUP($A110,'Data shares'!$C:$FB,66)</f>
        <v>0</v>
      </c>
      <c r="J110" s="49">
        <f>VLOOKUP($A110,'Data shares'!$C:$FB,67)</f>
        <v>0</v>
      </c>
      <c r="K110" s="50" t="e">
        <f t="shared" si="5"/>
        <v>#DIV/0!</v>
      </c>
      <c r="L110" s="50">
        <f>VLOOKUP($A110,'Data shares'!$C:$FB,118)</f>
        <v>0</v>
      </c>
      <c r="M110" s="50">
        <f>VLOOKUP($A110,'Data shares'!$C:$FB,119)</f>
        <v>0</v>
      </c>
      <c r="N110" s="50">
        <f>VLOOKUP($A110,'Data shares'!$C:$FB,121)*100</f>
        <v>0</v>
      </c>
      <c r="O110" s="50">
        <f>VLOOKUP($A110,'Data shares'!$C:$FB,124)</f>
        <v>0</v>
      </c>
      <c r="P110" s="50">
        <f>VLOOKUP($A110,'Data shares'!$C:$FB,125)</f>
        <v>0</v>
      </c>
      <c r="Q110" s="50">
        <f>VLOOKUP($A110,'Data shares'!$C:$FB,127)*100</f>
        <v>0</v>
      </c>
    </row>
    <row r="111" spans="1:17" x14ac:dyDescent="0.25">
      <c r="A111" s="97" t="str">
        <f>'Data Vlaue (Cr)'!C106</f>
        <v>INDIGO</v>
      </c>
      <c r="B111" s="140">
        <f>VLOOKUP($A111,'Data shares'!$C:$FB,7)</f>
        <v>5910.5</v>
      </c>
      <c r="C111" s="140">
        <f>VLOOKUP($A111,'Data shares'!$C:$FB,3)</f>
        <v>5880.5</v>
      </c>
      <c r="D111" s="140">
        <f>VLOOKUP($A111,'Data shares'!$C:$FB,4)</f>
        <v>5724.5</v>
      </c>
      <c r="E111" s="50">
        <f t="shared" si="3"/>
        <v>2.7251288322124205</v>
      </c>
      <c r="F111" s="49">
        <f>VLOOKUP($A111,'Data shares'!$C:$FB,98)</f>
        <v>9066300</v>
      </c>
      <c r="G111" s="49">
        <f>VLOOKUP($A111,'Data shares'!$C:$FB,99)</f>
        <v>14514000</v>
      </c>
      <c r="H111" s="50">
        <f t="shared" si="4"/>
        <v>-37.534105002066973</v>
      </c>
      <c r="I111" s="49">
        <f>VLOOKUP($A111,'Data shares'!$C:$FB,66)</f>
        <v>28512450</v>
      </c>
      <c r="J111" s="49">
        <f>VLOOKUP($A111,'Data shares'!$C:$FB,67)</f>
        <v>19214850</v>
      </c>
      <c r="K111" s="50">
        <f t="shared" si="5"/>
        <v>32.60891294855405</v>
      </c>
      <c r="L111" s="50">
        <f>VLOOKUP($A111,'Data shares'!$C:$FB,118)</f>
        <v>1.04</v>
      </c>
      <c r="M111" s="50">
        <f>VLOOKUP($A111,'Data shares'!$C:$FB,119)</f>
        <v>1</v>
      </c>
      <c r="N111" s="50">
        <f>VLOOKUP($A111,'Data shares'!$C:$FB,121)*100</f>
        <v>4</v>
      </c>
      <c r="O111" s="50">
        <f>VLOOKUP($A111,'Data shares'!$C:$FB,124)</f>
        <v>1.02</v>
      </c>
      <c r="P111" s="50">
        <f>VLOOKUP($A111,'Data shares'!$C:$FB,125)</f>
        <v>0.82</v>
      </c>
      <c r="Q111" s="50">
        <f>VLOOKUP($A111,'Data shares'!$C:$FB,127)*100</f>
        <v>24.39</v>
      </c>
    </row>
    <row r="112" spans="1:17" x14ac:dyDescent="0.25">
      <c r="A112" s="97" t="str">
        <f>'Data Vlaue (Cr)'!C107</f>
        <v>INDUSINDBK</v>
      </c>
      <c r="B112" s="140">
        <f>VLOOKUP($A112,'Data shares'!$C:$FB,7)</f>
        <v>798.9</v>
      </c>
      <c r="C112" s="140">
        <f>VLOOKUP($A112,'Data shares'!$C:$FB,3)</f>
        <v>803.7</v>
      </c>
      <c r="D112" s="140">
        <f>VLOOKUP($A112,'Data shares'!$C:$FB,4)</f>
        <v>806.75</v>
      </c>
      <c r="E112" s="50">
        <f t="shared" si="3"/>
        <v>-0.37806011775642445</v>
      </c>
      <c r="F112" s="49">
        <f>VLOOKUP($A112,'Data shares'!$C:$FB,98)</f>
        <v>62844600</v>
      </c>
      <c r="G112" s="49">
        <f>VLOOKUP($A112,'Data shares'!$C:$FB,99)</f>
        <v>83861400</v>
      </c>
      <c r="H112" s="50">
        <f t="shared" si="4"/>
        <v>-25.061351229528722</v>
      </c>
      <c r="I112" s="49">
        <f>VLOOKUP($A112,'Data shares'!$C:$FB,66)</f>
        <v>53521300</v>
      </c>
      <c r="J112" s="49">
        <f>VLOOKUP($A112,'Data shares'!$C:$FB,67)</f>
        <v>61790400</v>
      </c>
      <c r="K112" s="50">
        <f t="shared" si="5"/>
        <v>-15.450110516747536</v>
      </c>
      <c r="L112" s="50">
        <f>VLOOKUP($A112,'Data shares'!$C:$FB,118)</f>
        <v>0.86</v>
      </c>
      <c r="M112" s="50">
        <f>VLOOKUP($A112,'Data shares'!$C:$FB,119)</f>
        <v>0.54</v>
      </c>
      <c r="N112" s="50">
        <f>VLOOKUP($A112,'Data shares'!$C:$FB,121)*100</f>
        <v>59.260000000000005</v>
      </c>
      <c r="O112" s="50">
        <f>VLOOKUP($A112,'Data shares'!$C:$FB,124)</f>
        <v>0.78</v>
      </c>
      <c r="P112" s="50">
        <f>VLOOKUP($A112,'Data shares'!$C:$FB,125)</f>
        <v>0.8</v>
      </c>
      <c r="Q112" s="50">
        <f>VLOOKUP($A112,'Data shares'!$C:$FB,127)*100</f>
        <v>-2.5</v>
      </c>
    </row>
    <row r="113" spans="1:17" x14ac:dyDescent="0.25">
      <c r="A113" s="97" t="str">
        <f>'Data Vlaue (Cr)'!C108</f>
        <v>INDUSTOWER</v>
      </c>
      <c r="B113" s="140">
        <f>VLOOKUP($A113,'Data shares'!$C:$FB,7)</f>
        <v>363</v>
      </c>
      <c r="C113" s="140">
        <f>VLOOKUP($A113,'Data shares'!$C:$FB,3)</f>
        <v>364.2</v>
      </c>
      <c r="D113" s="140">
        <f>VLOOKUP($A113,'Data shares'!$C:$FB,4)</f>
        <v>386.15</v>
      </c>
      <c r="E113" s="50">
        <f t="shared" si="3"/>
        <v>-5.6843195649359028</v>
      </c>
      <c r="F113" s="49">
        <f>VLOOKUP($A113,'Data shares'!$C:$FB,98)</f>
        <v>81455500</v>
      </c>
      <c r="G113" s="49">
        <f>VLOOKUP($A113,'Data shares'!$C:$FB,99)</f>
        <v>90025200</v>
      </c>
      <c r="H113" s="50">
        <f t="shared" si="4"/>
        <v>-9.5192235063071227</v>
      </c>
      <c r="I113" s="49">
        <f>VLOOKUP($A113,'Data shares'!$C:$FB,66)</f>
        <v>120562300</v>
      </c>
      <c r="J113" s="49">
        <f>VLOOKUP($A113,'Data shares'!$C:$FB,67)</f>
        <v>50901400</v>
      </c>
      <c r="K113" s="50">
        <f t="shared" si="5"/>
        <v>57.780002538106856</v>
      </c>
      <c r="L113" s="50">
        <f>VLOOKUP($A113,'Data shares'!$C:$FB,118)</f>
        <v>0.74</v>
      </c>
      <c r="M113" s="50">
        <f>VLOOKUP($A113,'Data shares'!$C:$FB,119)</f>
        <v>0.67</v>
      </c>
      <c r="N113" s="50">
        <f>VLOOKUP($A113,'Data shares'!$C:$FB,121)*100</f>
        <v>10.45</v>
      </c>
      <c r="O113" s="50">
        <f>VLOOKUP($A113,'Data shares'!$C:$FB,124)</f>
        <v>0.82</v>
      </c>
      <c r="P113" s="50">
        <f>VLOOKUP($A113,'Data shares'!$C:$FB,125)</f>
        <v>0.63</v>
      </c>
      <c r="Q113" s="50">
        <f>VLOOKUP($A113,'Data shares'!$C:$FB,127)*100</f>
        <v>30.159999999999997</v>
      </c>
    </row>
    <row r="114" spans="1:17" x14ac:dyDescent="0.25">
      <c r="A114" s="97" t="str">
        <f>'Data Vlaue (Cr)'!C109</f>
        <v>INFY</v>
      </c>
      <c r="B114" s="140">
        <f>VLOOKUP($A114,'Data shares'!$C:$FB,7)</f>
        <v>1509</v>
      </c>
      <c r="C114" s="140">
        <f>VLOOKUP($A114,'Data shares'!$C:$FB,3)</f>
        <v>1515</v>
      </c>
      <c r="D114" s="140">
        <f>VLOOKUP($A114,'Data shares'!$C:$FB,4)</f>
        <v>1525</v>
      </c>
      <c r="E114" s="50">
        <f t="shared" si="3"/>
        <v>-0.65573770491803274</v>
      </c>
      <c r="F114" s="49">
        <f>VLOOKUP($A114,'Data shares'!$C:$FB,98)</f>
        <v>85814800</v>
      </c>
      <c r="G114" s="49">
        <f>VLOOKUP($A114,'Data shares'!$C:$FB,99)</f>
        <v>117048000</v>
      </c>
      <c r="H114" s="50">
        <f t="shared" si="4"/>
        <v>-26.684095413847309</v>
      </c>
      <c r="I114" s="49">
        <f>VLOOKUP($A114,'Data shares'!$C:$FB,66)</f>
        <v>70971600</v>
      </c>
      <c r="J114" s="49">
        <f>VLOOKUP($A114,'Data shares'!$C:$FB,67)</f>
        <v>62148000</v>
      </c>
      <c r="K114" s="50">
        <f t="shared" si="5"/>
        <v>12.432578665268924</v>
      </c>
      <c r="L114" s="50">
        <f>VLOOKUP($A114,'Data shares'!$C:$FB,118)</f>
        <v>0.62</v>
      </c>
      <c r="M114" s="50">
        <f>VLOOKUP($A114,'Data shares'!$C:$FB,119)</f>
        <v>0.49</v>
      </c>
      <c r="N114" s="50">
        <f>VLOOKUP($A114,'Data shares'!$C:$FB,121)*100</f>
        <v>26.529999999999998</v>
      </c>
      <c r="O114" s="50">
        <f>VLOOKUP($A114,'Data shares'!$C:$FB,124)</f>
        <v>0.56999999999999995</v>
      </c>
      <c r="P114" s="50">
        <f>VLOOKUP($A114,'Data shares'!$C:$FB,125)</f>
        <v>0.51</v>
      </c>
      <c r="Q114" s="50">
        <f>VLOOKUP($A114,'Data shares'!$C:$FB,127)*100</f>
        <v>11.76</v>
      </c>
    </row>
    <row r="115" spans="1:17" x14ac:dyDescent="0.25">
      <c r="A115" s="97" t="str">
        <f>'Data Vlaue (Cr)'!C110</f>
        <v>INOXWIND</v>
      </c>
      <c r="B115" s="140">
        <f>VLOOKUP($A115,'Data shares'!$C:$FB,7)</f>
        <v>150.74</v>
      </c>
      <c r="C115" s="140">
        <f>VLOOKUP($A115,'Data shares'!$C:$FB,3)</f>
        <v>151.53</v>
      </c>
      <c r="D115" s="140">
        <f>VLOOKUP($A115,'Data shares'!$C:$FB,4)</f>
        <v>156.83000000000001</v>
      </c>
      <c r="E115" s="50">
        <f t="shared" si="3"/>
        <v>-3.3794554613275594</v>
      </c>
      <c r="F115" s="49">
        <f>VLOOKUP($A115,'Data shares'!$C:$FB,98)</f>
        <v>34850072</v>
      </c>
      <c r="G115" s="49">
        <f>VLOOKUP($A115,'Data shares'!$C:$FB,99)</f>
        <v>64785600</v>
      </c>
      <c r="H115" s="50">
        <f t="shared" si="4"/>
        <v>-46.207070707070706</v>
      </c>
      <c r="I115" s="49">
        <f>VLOOKUP($A115,'Data shares'!$C:$FB,66)</f>
        <v>41534768</v>
      </c>
      <c r="J115" s="49">
        <f>VLOOKUP($A115,'Data shares'!$C:$FB,67)</f>
        <v>23466784</v>
      </c>
      <c r="K115" s="50">
        <f t="shared" si="5"/>
        <v>43.500866551126514</v>
      </c>
      <c r="L115" s="50">
        <f>VLOOKUP($A115,'Data shares'!$C:$FB,118)</f>
        <v>0.56999999999999995</v>
      </c>
      <c r="M115" s="50">
        <f>VLOOKUP($A115,'Data shares'!$C:$FB,119)</f>
        <v>0.47</v>
      </c>
      <c r="N115" s="50">
        <f>VLOOKUP($A115,'Data shares'!$C:$FB,121)*100</f>
        <v>21.279999999999998</v>
      </c>
      <c r="O115" s="50">
        <f>VLOOKUP($A115,'Data shares'!$C:$FB,124)</f>
        <v>0.95</v>
      </c>
      <c r="P115" s="50">
        <f>VLOOKUP($A115,'Data shares'!$C:$FB,125)</f>
        <v>0.92</v>
      </c>
      <c r="Q115" s="50">
        <f>VLOOKUP($A115,'Data shares'!$C:$FB,127)*100</f>
        <v>3.26</v>
      </c>
    </row>
    <row r="116" spans="1:17" x14ac:dyDescent="0.25">
      <c r="A116" s="97" t="str">
        <f>'Data Vlaue (Cr)'!C111</f>
        <v>IOC</v>
      </c>
      <c r="B116" s="140">
        <f>VLOOKUP($A116,'Data shares'!$C:$FB,7)</f>
        <v>145.62</v>
      </c>
      <c r="C116" s="140">
        <f>VLOOKUP($A116,'Data shares'!$C:$FB,3)</f>
        <v>146.04</v>
      </c>
      <c r="D116" s="140">
        <f>VLOOKUP($A116,'Data shares'!$C:$FB,4)</f>
        <v>149.51</v>
      </c>
      <c r="E116" s="50">
        <f t="shared" si="3"/>
        <v>-2.3209149889639482</v>
      </c>
      <c r="F116" s="49">
        <f>VLOOKUP($A116,'Data shares'!$C:$FB,98)</f>
        <v>127793250</v>
      </c>
      <c r="G116" s="49">
        <f>VLOOKUP($A116,'Data shares'!$C:$FB,99)</f>
        <v>213510375</v>
      </c>
      <c r="H116" s="50">
        <f t="shared" si="4"/>
        <v>-40.146585382560453</v>
      </c>
      <c r="I116" s="49">
        <f>VLOOKUP($A116,'Data shares'!$C:$FB,66)</f>
        <v>202566000</v>
      </c>
      <c r="J116" s="49">
        <f>VLOOKUP($A116,'Data shares'!$C:$FB,67)</f>
        <v>224430375</v>
      </c>
      <c r="K116" s="50">
        <f t="shared" si="5"/>
        <v>-10.793704274162495</v>
      </c>
      <c r="L116" s="50">
        <f>VLOOKUP($A116,'Data shares'!$C:$FB,118)</f>
        <v>0.77</v>
      </c>
      <c r="M116" s="50">
        <f>VLOOKUP($A116,'Data shares'!$C:$FB,119)</f>
        <v>0.64</v>
      </c>
      <c r="N116" s="50">
        <f>VLOOKUP($A116,'Data shares'!$C:$FB,121)*100</f>
        <v>20.309999999999999</v>
      </c>
      <c r="O116" s="50">
        <f>VLOOKUP($A116,'Data shares'!$C:$FB,124)</f>
        <v>1.2</v>
      </c>
      <c r="P116" s="50">
        <f>VLOOKUP($A116,'Data shares'!$C:$FB,125)</f>
        <v>0.32</v>
      </c>
      <c r="Q116" s="50">
        <f>VLOOKUP($A116,'Data shares'!$C:$FB,127)*100</f>
        <v>275</v>
      </c>
    </row>
    <row r="117" spans="1:17" x14ac:dyDescent="0.25">
      <c r="A117" s="97" t="str">
        <f>'Data Vlaue (Cr)'!C112</f>
        <v>IRB</v>
      </c>
      <c r="B117" s="140">
        <f>VLOOKUP($A117,'Data shares'!$C:$FB,7)</f>
        <v>45.07</v>
      </c>
      <c r="C117" s="140">
        <f>VLOOKUP($A117,'Data shares'!$C:$FB,3)</f>
        <v>45.27</v>
      </c>
      <c r="D117" s="140">
        <f>VLOOKUP($A117,'Data shares'!$C:$FB,4)</f>
        <v>46.22</v>
      </c>
      <c r="E117" s="50">
        <f t="shared" si="3"/>
        <v>-2.0553872782345213</v>
      </c>
      <c r="F117" s="49">
        <f>VLOOKUP($A117,'Data shares'!$C:$FB,98)</f>
        <v>100054750</v>
      </c>
      <c r="G117" s="49">
        <f>VLOOKUP($A117,'Data shares'!$C:$FB,99)</f>
        <v>147221750</v>
      </c>
      <c r="H117" s="50">
        <f t="shared" si="4"/>
        <v>-32.038065027755749</v>
      </c>
      <c r="I117" s="49">
        <f>VLOOKUP($A117,'Data shares'!$C:$FB,66)</f>
        <v>87317325</v>
      </c>
      <c r="J117" s="49">
        <f>VLOOKUP($A117,'Data shares'!$C:$FB,67)</f>
        <v>55654725</v>
      </c>
      <c r="K117" s="50">
        <f t="shared" si="5"/>
        <v>36.261532290413157</v>
      </c>
      <c r="L117" s="50">
        <f>VLOOKUP($A117,'Data shares'!$C:$FB,118)</f>
        <v>0.56000000000000005</v>
      </c>
      <c r="M117" s="50">
        <f>VLOOKUP($A117,'Data shares'!$C:$FB,119)</f>
        <v>0.36</v>
      </c>
      <c r="N117" s="50">
        <f>VLOOKUP($A117,'Data shares'!$C:$FB,121)*100</f>
        <v>55.559999999999995</v>
      </c>
      <c r="O117" s="50">
        <f>VLOOKUP($A117,'Data shares'!$C:$FB,124)</f>
        <v>0.72</v>
      </c>
      <c r="P117" s="50">
        <f>VLOOKUP($A117,'Data shares'!$C:$FB,125)</f>
        <v>0.4</v>
      </c>
      <c r="Q117" s="50">
        <f>VLOOKUP($A117,'Data shares'!$C:$FB,127)*100</f>
        <v>80</v>
      </c>
    </row>
    <row r="118" spans="1:17" x14ac:dyDescent="0.25">
      <c r="A118" s="97" t="str">
        <f>'Data Vlaue (Cr)'!C113</f>
        <v>IRCTC</v>
      </c>
      <c r="B118" s="140">
        <f>VLOOKUP($A118,'Data shares'!$C:$FB,7)</f>
        <v>726.05</v>
      </c>
      <c r="C118" s="140">
        <f>VLOOKUP($A118,'Data shares'!$C:$FB,3)</f>
        <v>728.3</v>
      </c>
      <c r="D118" s="140">
        <f>VLOOKUP($A118,'Data shares'!$C:$FB,4)</f>
        <v>739.4</v>
      </c>
      <c r="E118" s="50">
        <f t="shared" si="3"/>
        <v>-1.5012172031376825</v>
      </c>
      <c r="F118" s="49">
        <f>VLOOKUP($A118,'Data shares'!$C:$FB,98)</f>
        <v>21567000</v>
      </c>
      <c r="G118" s="49">
        <f>VLOOKUP($A118,'Data shares'!$C:$FB,99)</f>
        <v>29963500</v>
      </c>
      <c r="H118" s="50">
        <f t="shared" si="4"/>
        <v>-28.022427286531947</v>
      </c>
      <c r="I118" s="49">
        <f>VLOOKUP($A118,'Data shares'!$C:$FB,66)</f>
        <v>20032250</v>
      </c>
      <c r="J118" s="49">
        <f>VLOOKUP($A118,'Data shares'!$C:$FB,67)</f>
        <v>17339875</v>
      </c>
      <c r="K118" s="50">
        <f t="shared" si="5"/>
        <v>13.440202673189482</v>
      </c>
      <c r="L118" s="50">
        <f>VLOOKUP($A118,'Data shares'!$C:$FB,118)</f>
        <v>0.86</v>
      </c>
      <c r="M118" s="50">
        <f>VLOOKUP($A118,'Data shares'!$C:$FB,119)</f>
        <v>0.63</v>
      </c>
      <c r="N118" s="50">
        <f>VLOOKUP($A118,'Data shares'!$C:$FB,121)*100</f>
        <v>36.51</v>
      </c>
      <c r="O118" s="50">
        <f>VLOOKUP($A118,'Data shares'!$C:$FB,124)</f>
        <v>0.68</v>
      </c>
      <c r="P118" s="50">
        <f>VLOOKUP($A118,'Data shares'!$C:$FB,125)</f>
        <v>0.44</v>
      </c>
      <c r="Q118" s="50">
        <f>VLOOKUP($A118,'Data shares'!$C:$FB,127)*100</f>
        <v>54.55</v>
      </c>
    </row>
    <row r="119" spans="1:17" x14ac:dyDescent="0.25">
      <c r="A119" s="97" t="str">
        <f>'Data Vlaue (Cr)'!C114</f>
        <v>IREDA</v>
      </c>
      <c r="B119" s="140">
        <f>VLOOKUP($A119,'Data shares'!$C:$FB,7)</f>
        <v>147.38</v>
      </c>
      <c r="C119" s="140">
        <f>VLOOKUP($A119,'Data shares'!$C:$FB,3)</f>
        <v>147.66999999999999</v>
      </c>
      <c r="D119" s="140">
        <f>VLOOKUP($A119,'Data shares'!$C:$FB,4)</f>
        <v>148.47999999999999</v>
      </c>
      <c r="E119" s="50">
        <f t="shared" si="3"/>
        <v>-0.54552801724138089</v>
      </c>
      <c r="F119" s="49">
        <f>VLOOKUP($A119,'Data shares'!$C:$FB,98)</f>
        <v>59967900</v>
      </c>
      <c r="G119" s="49">
        <f>VLOOKUP($A119,'Data shares'!$C:$FB,99)</f>
        <v>92729100</v>
      </c>
      <c r="H119" s="50">
        <f t="shared" si="4"/>
        <v>-35.330009673338793</v>
      </c>
      <c r="I119" s="49">
        <f>VLOOKUP($A119,'Data shares'!$C:$FB,66)</f>
        <v>64532250</v>
      </c>
      <c r="J119" s="49">
        <f>VLOOKUP($A119,'Data shares'!$C:$FB,67)</f>
        <v>57159600</v>
      </c>
      <c r="K119" s="50">
        <f t="shared" si="5"/>
        <v>11.424752739909115</v>
      </c>
      <c r="L119" s="50">
        <f>VLOOKUP($A119,'Data shares'!$C:$FB,118)</f>
        <v>0.71</v>
      </c>
      <c r="M119" s="50">
        <f>VLOOKUP($A119,'Data shares'!$C:$FB,119)</f>
        <v>0.47</v>
      </c>
      <c r="N119" s="50">
        <f>VLOOKUP($A119,'Data shares'!$C:$FB,121)*100</f>
        <v>51.06</v>
      </c>
      <c r="O119" s="50">
        <f>VLOOKUP($A119,'Data shares'!$C:$FB,124)</f>
        <v>0.37</v>
      </c>
      <c r="P119" s="50">
        <f>VLOOKUP($A119,'Data shares'!$C:$FB,125)</f>
        <v>0.38</v>
      </c>
      <c r="Q119" s="50">
        <f>VLOOKUP($A119,'Data shares'!$C:$FB,127)*100</f>
        <v>-2.63</v>
      </c>
    </row>
    <row r="120" spans="1:17" x14ac:dyDescent="0.25">
      <c r="A120" s="97" t="str">
        <f>'Data Vlaue (Cr)'!C115</f>
        <v>IRFC</v>
      </c>
      <c r="B120" s="140">
        <f>VLOOKUP($A120,'Data shares'!$C:$FB,7)</f>
        <v>128.34</v>
      </c>
      <c r="C120" s="140">
        <f>VLOOKUP($A120,'Data shares'!$C:$FB,3)</f>
        <v>128.44</v>
      </c>
      <c r="D120" s="140">
        <f>VLOOKUP($A120,'Data shares'!$C:$FB,4)</f>
        <v>130.86000000000001</v>
      </c>
      <c r="E120" s="50">
        <f t="shared" si="3"/>
        <v>-1.8493046003362494</v>
      </c>
      <c r="F120" s="49">
        <f>VLOOKUP($A120,'Data shares'!$C:$FB,98)</f>
        <v>72037500</v>
      </c>
      <c r="G120" s="49">
        <f>VLOOKUP($A120,'Data shares'!$C:$FB,99)</f>
        <v>121660500</v>
      </c>
      <c r="H120" s="50">
        <f t="shared" si="4"/>
        <v>-40.788094739048418</v>
      </c>
      <c r="I120" s="49">
        <f>VLOOKUP($A120,'Data shares'!$C:$FB,66)</f>
        <v>81774250</v>
      </c>
      <c r="J120" s="49">
        <f>VLOOKUP($A120,'Data shares'!$C:$FB,67)</f>
        <v>109968750</v>
      </c>
      <c r="K120" s="50">
        <f t="shared" si="5"/>
        <v>-34.478457460630949</v>
      </c>
      <c r="L120" s="50">
        <f>VLOOKUP($A120,'Data shares'!$C:$FB,118)</f>
        <v>0.46</v>
      </c>
      <c r="M120" s="50">
        <f>VLOOKUP($A120,'Data shares'!$C:$FB,119)</f>
        <v>0.43</v>
      </c>
      <c r="N120" s="50">
        <f>VLOOKUP($A120,'Data shares'!$C:$FB,121)*100</f>
        <v>6.98</v>
      </c>
      <c r="O120" s="50">
        <f>VLOOKUP($A120,'Data shares'!$C:$FB,124)</f>
        <v>0.42</v>
      </c>
      <c r="P120" s="50">
        <f>VLOOKUP($A120,'Data shares'!$C:$FB,125)</f>
        <v>0.32</v>
      </c>
      <c r="Q120" s="50">
        <f>VLOOKUP($A120,'Data shares'!$C:$FB,127)*100</f>
        <v>31.25</v>
      </c>
    </row>
    <row r="121" spans="1:17" x14ac:dyDescent="0.25">
      <c r="A121" s="97" t="str">
        <f>'Data Vlaue (Cr)'!C116</f>
        <v>ITC</v>
      </c>
      <c r="B121" s="140">
        <f>VLOOKUP($A121,'Data shares'!$C:$FB,7)</f>
        <v>411.95</v>
      </c>
      <c r="C121" s="140">
        <f>VLOOKUP($A121,'Data shares'!$C:$FB,3)</f>
        <v>413.15</v>
      </c>
      <c r="D121" s="140">
        <f>VLOOKUP($A121,'Data shares'!$C:$FB,4)</f>
        <v>410.1</v>
      </c>
      <c r="E121" s="50">
        <f t="shared" si="3"/>
        <v>0.74372104364787961</v>
      </c>
      <c r="F121" s="49">
        <f>VLOOKUP($A121,'Data shares'!$C:$FB,98)</f>
        <v>150204800</v>
      </c>
      <c r="G121" s="49">
        <f>VLOOKUP($A121,'Data shares'!$C:$FB,99)</f>
        <v>194017600</v>
      </c>
      <c r="H121" s="50">
        <f t="shared" si="4"/>
        <v>-22.581868861381651</v>
      </c>
      <c r="I121" s="49">
        <f>VLOOKUP($A121,'Data shares'!$C:$FB,66)</f>
        <v>189480000</v>
      </c>
      <c r="J121" s="49">
        <f>VLOOKUP($A121,'Data shares'!$C:$FB,67)</f>
        <v>103870400</v>
      </c>
      <c r="K121" s="50">
        <f t="shared" si="5"/>
        <v>45.18133839983112</v>
      </c>
      <c r="L121" s="50">
        <f>VLOOKUP($A121,'Data shares'!$C:$FB,118)</f>
        <v>0.91</v>
      </c>
      <c r="M121" s="50">
        <f>VLOOKUP($A121,'Data shares'!$C:$FB,119)</f>
        <v>0.57999999999999996</v>
      </c>
      <c r="N121" s="50">
        <f>VLOOKUP($A121,'Data shares'!$C:$FB,121)*100</f>
        <v>56.899999999999991</v>
      </c>
      <c r="O121" s="50">
        <f>VLOOKUP($A121,'Data shares'!$C:$FB,124)</f>
        <v>0.49</v>
      </c>
      <c r="P121" s="50">
        <f>VLOOKUP($A121,'Data shares'!$C:$FB,125)</f>
        <v>0.67</v>
      </c>
      <c r="Q121" s="50">
        <f>VLOOKUP($A121,'Data shares'!$C:$FB,127)*100</f>
        <v>-26.87</v>
      </c>
    </row>
    <row r="122" spans="1:17" x14ac:dyDescent="0.25">
      <c r="A122" s="97" t="str">
        <f>'Data Vlaue (Cr)'!C117</f>
        <v>JINDALSTEL</v>
      </c>
      <c r="B122" s="140">
        <f>VLOOKUP($A122,'Data shares'!$C:$FB,7)</f>
        <v>965</v>
      </c>
      <c r="C122" s="140">
        <f>VLOOKUP($A122,'Data shares'!$C:$FB,3)</f>
        <v>965.75</v>
      </c>
      <c r="D122" s="140">
        <f>VLOOKUP($A122,'Data shares'!$C:$FB,4)</f>
        <v>987.35</v>
      </c>
      <c r="E122" s="50">
        <f t="shared" si="3"/>
        <v>-2.1876740770750009</v>
      </c>
      <c r="F122" s="49">
        <f>VLOOKUP($A122,'Data shares'!$C:$FB,98)</f>
        <v>14978750</v>
      </c>
      <c r="G122" s="49">
        <f>VLOOKUP($A122,'Data shares'!$C:$FB,99)</f>
        <v>25490000</v>
      </c>
      <c r="H122" s="50">
        <f t="shared" si="4"/>
        <v>-41.236759513534722</v>
      </c>
      <c r="I122" s="49">
        <f>VLOOKUP($A122,'Data shares'!$C:$FB,66)</f>
        <v>14827500</v>
      </c>
      <c r="J122" s="49">
        <f>VLOOKUP($A122,'Data shares'!$C:$FB,67)</f>
        <v>12516250</v>
      </c>
      <c r="K122" s="50">
        <f t="shared" si="5"/>
        <v>15.587590625526893</v>
      </c>
      <c r="L122" s="50">
        <f>VLOOKUP($A122,'Data shares'!$C:$FB,118)</f>
        <v>0.97</v>
      </c>
      <c r="M122" s="50">
        <f>VLOOKUP($A122,'Data shares'!$C:$FB,119)</f>
        <v>0.99</v>
      </c>
      <c r="N122" s="50">
        <f>VLOOKUP($A122,'Data shares'!$C:$FB,121)*100</f>
        <v>-2.02</v>
      </c>
      <c r="O122" s="50">
        <f>VLOOKUP($A122,'Data shares'!$C:$FB,124)</f>
        <v>0.92</v>
      </c>
      <c r="P122" s="50">
        <f>VLOOKUP($A122,'Data shares'!$C:$FB,125)</f>
        <v>0.77</v>
      </c>
      <c r="Q122" s="50">
        <f>VLOOKUP($A122,'Data shares'!$C:$FB,127)*100</f>
        <v>19.48</v>
      </c>
    </row>
    <row r="123" spans="1:17" x14ac:dyDescent="0.25">
      <c r="A123" s="97" t="str">
        <f>'Data Vlaue (Cr)'!C118</f>
        <v>JIOFIN</v>
      </c>
      <c r="B123" s="140">
        <f>VLOOKUP($A123,'Data shares'!$C:$FB,7)</f>
        <v>329.25</v>
      </c>
      <c r="C123" s="140">
        <f>VLOOKUP($A123,'Data shares'!$C:$FB,3)</f>
        <v>330.9</v>
      </c>
      <c r="D123" s="140">
        <f>VLOOKUP($A123,'Data shares'!$C:$FB,4)</f>
        <v>321.10000000000002</v>
      </c>
      <c r="E123" s="50">
        <f t="shared" si="3"/>
        <v>3.0520087200249</v>
      </c>
      <c r="F123" s="49">
        <f>VLOOKUP($A123,'Data shares'!$C:$FB,98)</f>
        <v>182073300</v>
      </c>
      <c r="G123" s="49">
        <f>VLOOKUP($A123,'Data shares'!$C:$FB,99)</f>
        <v>246432750</v>
      </c>
      <c r="H123" s="50">
        <f t="shared" si="4"/>
        <v>-26.116435416964666</v>
      </c>
      <c r="I123" s="49">
        <f>VLOOKUP($A123,'Data shares'!$C:$FB,66)</f>
        <v>460656400</v>
      </c>
      <c r="J123" s="49">
        <f>VLOOKUP($A123,'Data shares'!$C:$FB,67)</f>
        <v>187964750</v>
      </c>
      <c r="K123" s="50">
        <f t="shared" si="5"/>
        <v>59.196322899236833</v>
      </c>
      <c r="L123" s="50">
        <f>VLOOKUP($A123,'Data shares'!$C:$FB,118)</f>
        <v>0.78</v>
      </c>
      <c r="M123" s="50">
        <f>VLOOKUP($A123,'Data shares'!$C:$FB,119)</f>
        <v>0.65</v>
      </c>
      <c r="N123" s="50">
        <f>VLOOKUP($A123,'Data shares'!$C:$FB,121)*100</f>
        <v>20</v>
      </c>
      <c r="O123" s="50">
        <f>VLOOKUP($A123,'Data shares'!$C:$FB,124)</f>
        <v>0.37</v>
      </c>
      <c r="P123" s="50">
        <f>VLOOKUP($A123,'Data shares'!$C:$FB,125)</f>
        <v>0.52</v>
      </c>
      <c r="Q123" s="50">
        <f>VLOOKUP($A123,'Data shares'!$C:$FB,127)*100</f>
        <v>-28.849999999999998</v>
      </c>
    </row>
    <row r="124" spans="1:17" x14ac:dyDescent="0.25">
      <c r="A124" s="97" t="str">
        <f>'Data Vlaue (Cr)'!C119</f>
        <v>JSL</v>
      </c>
      <c r="B124" s="140">
        <f>VLOOKUP($A124,'Data shares'!$C:$FB,7)</f>
        <v>694.1</v>
      </c>
      <c r="C124" s="140">
        <f>VLOOKUP($A124,'Data shares'!$C:$FB,3)</f>
        <v>695.7</v>
      </c>
      <c r="D124" s="140">
        <f>VLOOKUP($A124,'Data shares'!$C:$FB,4)</f>
        <v>683.8</v>
      </c>
      <c r="E124" s="50">
        <f t="shared" si="3"/>
        <v>1.7402749341912975</v>
      </c>
      <c r="F124" s="49">
        <f>VLOOKUP($A124,'Data shares'!$C:$FB,98)</f>
        <v>5538600</v>
      </c>
      <c r="G124" s="49">
        <f>VLOOKUP($A124,'Data shares'!$C:$FB,99)</f>
        <v>9694250</v>
      </c>
      <c r="H124" s="50">
        <f t="shared" si="4"/>
        <v>-42.867163524769836</v>
      </c>
      <c r="I124" s="49">
        <f>VLOOKUP($A124,'Data shares'!$C:$FB,66)</f>
        <v>7083900</v>
      </c>
      <c r="J124" s="49">
        <f>VLOOKUP($A124,'Data shares'!$C:$FB,67)</f>
        <v>6219450</v>
      </c>
      <c r="K124" s="50">
        <f t="shared" si="5"/>
        <v>12.203023758099352</v>
      </c>
      <c r="L124" s="50">
        <f>VLOOKUP($A124,'Data shares'!$C:$FB,118)</f>
        <v>0.46</v>
      </c>
      <c r="M124" s="50">
        <f>VLOOKUP($A124,'Data shares'!$C:$FB,119)</f>
        <v>0.54</v>
      </c>
      <c r="N124" s="50">
        <f>VLOOKUP($A124,'Data shares'!$C:$FB,121)*100</f>
        <v>-14.81</v>
      </c>
      <c r="O124" s="50">
        <f>VLOOKUP($A124,'Data shares'!$C:$FB,124)</f>
        <v>0.5</v>
      </c>
      <c r="P124" s="50">
        <f>VLOOKUP($A124,'Data shares'!$C:$FB,125)</f>
        <v>0.23</v>
      </c>
      <c r="Q124" s="50">
        <f>VLOOKUP($A124,'Data shares'!$C:$FB,127)*100</f>
        <v>117.39</v>
      </c>
    </row>
    <row r="125" spans="1:17" x14ac:dyDescent="0.25">
      <c r="A125" s="97" t="str">
        <f>'Data Vlaue (Cr)'!C120</f>
        <v>JSWENERGY</v>
      </c>
      <c r="B125" s="140">
        <f>VLOOKUP($A125,'Data shares'!$C:$FB,7)</f>
        <v>515.04999999999995</v>
      </c>
      <c r="C125" s="140">
        <f>VLOOKUP($A125,'Data shares'!$C:$FB,3)</f>
        <v>517.79999999999995</v>
      </c>
      <c r="D125" s="140">
        <f>VLOOKUP($A125,'Data shares'!$C:$FB,4)</f>
        <v>528.75</v>
      </c>
      <c r="E125" s="50">
        <f t="shared" si="3"/>
        <v>-2.0709219858156112</v>
      </c>
      <c r="F125" s="49">
        <f>VLOOKUP($A125,'Data shares'!$C:$FB,98)</f>
        <v>49788000</v>
      </c>
      <c r="G125" s="49">
        <f>VLOOKUP($A125,'Data shares'!$C:$FB,99)</f>
        <v>58546000</v>
      </c>
      <c r="H125" s="50">
        <f t="shared" si="4"/>
        <v>-14.959177398968333</v>
      </c>
      <c r="I125" s="49">
        <f>VLOOKUP($A125,'Data shares'!$C:$FB,66)</f>
        <v>30883000</v>
      </c>
      <c r="J125" s="49">
        <f>VLOOKUP($A125,'Data shares'!$C:$FB,67)</f>
        <v>30888000</v>
      </c>
      <c r="K125" s="50">
        <f t="shared" si="5"/>
        <v>-1.6190136968558751E-2</v>
      </c>
      <c r="L125" s="50">
        <f>VLOOKUP($A125,'Data shares'!$C:$FB,118)</f>
        <v>0.62</v>
      </c>
      <c r="M125" s="50">
        <f>VLOOKUP($A125,'Data shares'!$C:$FB,119)</f>
        <v>0.56999999999999995</v>
      </c>
      <c r="N125" s="50">
        <f>VLOOKUP($A125,'Data shares'!$C:$FB,121)*100</f>
        <v>8.77</v>
      </c>
      <c r="O125" s="50">
        <f>VLOOKUP($A125,'Data shares'!$C:$FB,124)</f>
        <v>0.37</v>
      </c>
      <c r="P125" s="50">
        <f>VLOOKUP($A125,'Data shares'!$C:$FB,125)</f>
        <v>0.35</v>
      </c>
      <c r="Q125" s="50">
        <f>VLOOKUP($A125,'Data shares'!$C:$FB,127)*100</f>
        <v>5.71</v>
      </c>
    </row>
    <row r="126" spans="1:17" x14ac:dyDescent="0.25">
      <c r="A126" s="97" t="str">
        <f>'Data Vlaue (Cr)'!C121</f>
        <v>JSWSTEEL</v>
      </c>
      <c r="B126" s="140">
        <f>VLOOKUP($A126,'Data shares'!$C:$FB,7)</f>
        <v>1048.3</v>
      </c>
      <c r="C126" s="140">
        <f>VLOOKUP($A126,'Data shares'!$C:$FB,3)</f>
        <v>1052.8</v>
      </c>
      <c r="D126" s="140">
        <f>VLOOKUP($A126,'Data shares'!$C:$FB,4)</f>
        <v>1042.0999999999999</v>
      </c>
      <c r="E126" s="50">
        <f t="shared" si="3"/>
        <v>1.026772862489209</v>
      </c>
      <c r="F126" s="49">
        <f>VLOOKUP($A126,'Data shares'!$C:$FB,98)</f>
        <v>44253675</v>
      </c>
      <c r="G126" s="49">
        <f>VLOOKUP($A126,'Data shares'!$C:$FB,99)</f>
        <v>53927100</v>
      </c>
      <c r="H126" s="50">
        <f t="shared" si="4"/>
        <v>-17.937966254443499</v>
      </c>
      <c r="I126" s="49">
        <f>VLOOKUP($A126,'Data shares'!$C:$FB,66)</f>
        <v>35404425</v>
      </c>
      <c r="J126" s="49">
        <f>VLOOKUP($A126,'Data shares'!$C:$FB,67)</f>
        <v>35882325</v>
      </c>
      <c r="K126" s="50">
        <f t="shared" si="5"/>
        <v>-1.3498312710911136</v>
      </c>
      <c r="L126" s="50">
        <f>VLOOKUP($A126,'Data shares'!$C:$FB,118)</f>
        <v>0.56999999999999995</v>
      </c>
      <c r="M126" s="50">
        <f>VLOOKUP($A126,'Data shares'!$C:$FB,119)</f>
        <v>0.62</v>
      </c>
      <c r="N126" s="50">
        <f>VLOOKUP($A126,'Data shares'!$C:$FB,121)*100</f>
        <v>-8.06</v>
      </c>
      <c r="O126" s="50">
        <f>VLOOKUP($A126,'Data shares'!$C:$FB,124)</f>
        <v>0.51</v>
      </c>
      <c r="P126" s="50">
        <f>VLOOKUP($A126,'Data shares'!$C:$FB,125)</f>
        <v>0.36</v>
      </c>
      <c r="Q126" s="50">
        <f>VLOOKUP($A126,'Data shares'!$C:$FB,127)*100</f>
        <v>41.67</v>
      </c>
    </row>
    <row r="127" spans="1:17" x14ac:dyDescent="0.25">
      <c r="A127" s="97" t="str">
        <f>'Data Vlaue (Cr)'!C122</f>
        <v>JUBLFOOD</v>
      </c>
      <c r="B127" s="140">
        <f>VLOOKUP($A127,'Data shares'!$C:$FB,7)</f>
        <v>655.5</v>
      </c>
      <c r="C127" s="140">
        <f>VLOOKUP($A127,'Data shares'!$C:$FB,3)</f>
        <v>657.95</v>
      </c>
      <c r="D127" s="140">
        <f>VLOOKUP($A127,'Data shares'!$C:$FB,4)</f>
        <v>658.6</v>
      </c>
      <c r="E127" s="50">
        <f t="shared" si="3"/>
        <v>-9.8694199817791872E-2</v>
      </c>
      <c r="F127" s="49">
        <f>VLOOKUP($A127,'Data shares'!$C:$FB,98)</f>
        <v>21970000</v>
      </c>
      <c r="G127" s="49">
        <f>VLOOKUP($A127,'Data shares'!$C:$FB,99)</f>
        <v>30538750</v>
      </c>
      <c r="H127" s="50">
        <f t="shared" si="4"/>
        <v>-28.058614055912567</v>
      </c>
      <c r="I127" s="49">
        <f>VLOOKUP($A127,'Data shares'!$C:$FB,66)</f>
        <v>9713750</v>
      </c>
      <c r="J127" s="49">
        <f>VLOOKUP($A127,'Data shares'!$C:$FB,67)</f>
        <v>18400000</v>
      </c>
      <c r="K127" s="50">
        <f t="shared" si="5"/>
        <v>-89.422210783682914</v>
      </c>
      <c r="L127" s="50">
        <f>VLOOKUP($A127,'Data shares'!$C:$FB,118)</f>
        <v>0.81</v>
      </c>
      <c r="M127" s="50">
        <f>VLOOKUP($A127,'Data shares'!$C:$FB,119)</f>
        <v>0.46</v>
      </c>
      <c r="N127" s="50">
        <f>VLOOKUP($A127,'Data shares'!$C:$FB,121)*100</f>
        <v>76.09</v>
      </c>
      <c r="O127" s="50">
        <f>VLOOKUP($A127,'Data shares'!$C:$FB,124)</f>
        <v>0.45</v>
      </c>
      <c r="P127" s="50">
        <f>VLOOKUP($A127,'Data shares'!$C:$FB,125)</f>
        <v>0.38</v>
      </c>
      <c r="Q127" s="50">
        <f>VLOOKUP($A127,'Data shares'!$C:$FB,127)*100</f>
        <v>18.420000000000002</v>
      </c>
    </row>
    <row r="128" spans="1:17" x14ac:dyDescent="0.25">
      <c r="A128" s="97" t="str">
        <f>'Data Vlaue (Cr)'!C123</f>
        <v>KALYANKJIL</v>
      </c>
      <c r="B128" s="140">
        <f>VLOOKUP($A128,'Data shares'!$C:$FB,7)</f>
        <v>594.70000000000005</v>
      </c>
      <c r="C128" s="140">
        <f>VLOOKUP($A128,'Data shares'!$C:$FB,3)</f>
        <v>596.70000000000005</v>
      </c>
      <c r="D128" s="140">
        <f>VLOOKUP($A128,'Data shares'!$C:$FB,4)</f>
        <v>609.4</v>
      </c>
      <c r="E128" s="50">
        <f t="shared" si="3"/>
        <v>-2.0840170659665134</v>
      </c>
      <c r="F128" s="49">
        <f>VLOOKUP($A128,'Data shares'!$C:$FB,98)</f>
        <v>24468200</v>
      </c>
      <c r="G128" s="49">
        <f>VLOOKUP($A128,'Data shares'!$C:$FB,99)</f>
        <v>33083300</v>
      </c>
      <c r="H128" s="50">
        <f t="shared" si="4"/>
        <v>-26.040630771416396</v>
      </c>
      <c r="I128" s="49">
        <f>VLOOKUP($A128,'Data shares'!$C:$FB,66)</f>
        <v>23283800</v>
      </c>
      <c r="J128" s="49">
        <f>VLOOKUP($A128,'Data shares'!$C:$FB,67)</f>
        <v>26130825</v>
      </c>
      <c r="K128" s="50">
        <f t="shared" si="5"/>
        <v>-12.227492935002019</v>
      </c>
      <c r="L128" s="50">
        <f>VLOOKUP($A128,'Data shares'!$C:$FB,118)</f>
        <v>0.55000000000000004</v>
      </c>
      <c r="M128" s="50">
        <f>VLOOKUP($A128,'Data shares'!$C:$FB,119)</f>
        <v>0.62</v>
      </c>
      <c r="N128" s="50">
        <f>VLOOKUP($A128,'Data shares'!$C:$FB,121)*100</f>
        <v>-11.29</v>
      </c>
      <c r="O128" s="50">
        <f>VLOOKUP($A128,'Data shares'!$C:$FB,124)</f>
        <v>0.46</v>
      </c>
      <c r="P128" s="50">
        <f>VLOOKUP($A128,'Data shares'!$C:$FB,125)</f>
        <v>0.4</v>
      </c>
      <c r="Q128" s="50">
        <f>VLOOKUP($A128,'Data shares'!$C:$FB,127)*100</f>
        <v>15</v>
      </c>
    </row>
    <row r="129" spans="1:17" x14ac:dyDescent="0.25">
      <c r="A129" s="97" t="str">
        <f>'Data Vlaue (Cr)'!C124</f>
        <v>KAYNES</v>
      </c>
      <c r="B129" s="140">
        <f>VLOOKUP($A129,'Data shares'!$C:$FB,7)</f>
        <v>6172</v>
      </c>
      <c r="C129" s="140">
        <f>VLOOKUP($A129,'Data shares'!$C:$FB,3)</f>
        <v>6211</v>
      </c>
      <c r="D129" s="140">
        <f>VLOOKUP($A129,'Data shares'!$C:$FB,4)</f>
        <v>5627.5</v>
      </c>
      <c r="E129" s="50">
        <f t="shared" si="3"/>
        <v>10.368725011106175</v>
      </c>
      <c r="F129" s="49">
        <f>VLOOKUP($A129,'Data shares'!$C:$FB,98)</f>
        <v>1550000</v>
      </c>
      <c r="G129" s="49">
        <f>VLOOKUP($A129,'Data shares'!$C:$FB,99)</f>
        <v>1763600</v>
      </c>
      <c r="H129" s="50">
        <f t="shared" si="4"/>
        <v>-12.111589929689272</v>
      </c>
      <c r="I129" s="49">
        <f>VLOOKUP($A129,'Data shares'!$C:$FB,66)</f>
        <v>19098700</v>
      </c>
      <c r="J129" s="49">
        <f>VLOOKUP($A129,'Data shares'!$C:$FB,67)</f>
        <v>6956100</v>
      </c>
      <c r="K129" s="50">
        <f t="shared" si="5"/>
        <v>63.578149298119769</v>
      </c>
      <c r="L129" s="50">
        <f>VLOOKUP($A129,'Data shares'!$C:$FB,118)</f>
        <v>0.67</v>
      </c>
      <c r="M129" s="50">
        <f>VLOOKUP($A129,'Data shares'!$C:$FB,119)</f>
        <v>0.61</v>
      </c>
      <c r="N129" s="50">
        <f>VLOOKUP($A129,'Data shares'!$C:$FB,121)*100</f>
        <v>9.84</v>
      </c>
      <c r="O129" s="50">
        <f>VLOOKUP($A129,'Data shares'!$C:$FB,124)</f>
        <v>0.37</v>
      </c>
      <c r="P129" s="50">
        <f>VLOOKUP($A129,'Data shares'!$C:$FB,125)</f>
        <v>0.34</v>
      </c>
      <c r="Q129" s="50">
        <f>VLOOKUP($A129,'Data shares'!$C:$FB,127)*100</f>
        <v>8.82</v>
      </c>
    </row>
    <row r="130" spans="1:17" x14ac:dyDescent="0.25">
      <c r="A130" s="97" t="str">
        <f>'Data Vlaue (Cr)'!C125</f>
        <v>KEI</v>
      </c>
      <c r="B130" s="140">
        <f>VLOOKUP($A130,'Data shares'!$C:$FB,7)</f>
        <v>3844.2</v>
      </c>
      <c r="C130" s="140">
        <f>VLOOKUP($A130,'Data shares'!$C:$FB,3)</f>
        <v>3866.8</v>
      </c>
      <c r="D130" s="140">
        <f>VLOOKUP($A130,'Data shares'!$C:$FB,4)</f>
        <v>3923.6</v>
      </c>
      <c r="E130" s="50">
        <f t="shared" si="3"/>
        <v>-1.4476501172392631</v>
      </c>
      <c r="F130" s="49">
        <f>VLOOKUP($A130,'Data shares'!$C:$FB,98)</f>
        <v>1182475</v>
      </c>
      <c r="G130" s="49">
        <f>VLOOKUP($A130,'Data shares'!$C:$FB,99)</f>
        <v>2280250</v>
      </c>
      <c r="H130" s="50">
        <f t="shared" si="4"/>
        <v>-48.142747505755942</v>
      </c>
      <c r="I130" s="49">
        <f>VLOOKUP($A130,'Data shares'!$C:$FB,66)</f>
        <v>2551500</v>
      </c>
      <c r="J130" s="49">
        <f>VLOOKUP($A130,'Data shares'!$C:$FB,67)</f>
        <v>2502850</v>
      </c>
      <c r="K130" s="50">
        <f t="shared" si="5"/>
        <v>1.906721536351166</v>
      </c>
      <c r="L130" s="50">
        <f>VLOOKUP($A130,'Data shares'!$C:$FB,118)</f>
        <v>0.59</v>
      </c>
      <c r="M130" s="50">
        <f>VLOOKUP($A130,'Data shares'!$C:$FB,119)</f>
        <v>0.56000000000000005</v>
      </c>
      <c r="N130" s="50">
        <f>VLOOKUP($A130,'Data shares'!$C:$FB,121)*100</f>
        <v>5.36</v>
      </c>
      <c r="O130" s="50">
        <f>VLOOKUP($A130,'Data shares'!$C:$FB,124)</f>
        <v>0.41</v>
      </c>
      <c r="P130" s="50">
        <f>VLOOKUP($A130,'Data shares'!$C:$FB,125)</f>
        <v>0.34</v>
      </c>
      <c r="Q130" s="50">
        <f>VLOOKUP($A130,'Data shares'!$C:$FB,127)*100</f>
        <v>20.59</v>
      </c>
    </row>
    <row r="131" spans="1:17" x14ac:dyDescent="0.25">
      <c r="A131" s="97" t="str">
        <f>'Data Vlaue (Cr)'!C126</f>
        <v>KFINTECH</v>
      </c>
      <c r="B131" s="140">
        <f>VLOOKUP($A131,'Data shares'!$C:$FB,7)</f>
        <v>1082.9000000000001</v>
      </c>
      <c r="C131" s="140">
        <f>VLOOKUP($A131,'Data shares'!$C:$FB,3)</f>
        <v>1081.4000000000001</v>
      </c>
      <c r="D131" s="140">
        <f>VLOOKUP($A131,'Data shares'!$C:$FB,4)</f>
        <v>1109.0999999999999</v>
      </c>
      <c r="E131" s="50">
        <f t="shared" si="3"/>
        <v>-2.4975205121269335</v>
      </c>
      <c r="F131" s="49">
        <f>VLOOKUP($A131,'Data shares'!$C:$FB,98)</f>
        <v>2962350</v>
      </c>
      <c r="G131" s="49">
        <f>VLOOKUP($A131,'Data shares'!$C:$FB,99)</f>
        <v>4147200</v>
      </c>
      <c r="H131" s="50">
        <f t="shared" si="4"/>
        <v>-28.569878472222221</v>
      </c>
      <c r="I131" s="49">
        <f>VLOOKUP($A131,'Data shares'!$C:$FB,66)</f>
        <v>3389850</v>
      </c>
      <c r="J131" s="49">
        <f>VLOOKUP($A131,'Data shares'!$C:$FB,67)</f>
        <v>3734550</v>
      </c>
      <c r="K131" s="50">
        <f t="shared" si="5"/>
        <v>-10.168591530598698</v>
      </c>
      <c r="L131" s="50">
        <f>VLOOKUP($A131,'Data shares'!$C:$FB,118)</f>
        <v>0.73</v>
      </c>
      <c r="M131" s="50">
        <f>VLOOKUP($A131,'Data shares'!$C:$FB,119)</f>
        <v>0.48</v>
      </c>
      <c r="N131" s="50">
        <f>VLOOKUP($A131,'Data shares'!$C:$FB,121)*100</f>
        <v>52.080000000000005</v>
      </c>
      <c r="O131" s="50">
        <f>VLOOKUP($A131,'Data shares'!$C:$FB,124)</f>
        <v>0.93</v>
      </c>
      <c r="P131" s="50">
        <f>VLOOKUP($A131,'Data shares'!$C:$FB,125)</f>
        <v>0.42</v>
      </c>
      <c r="Q131" s="50">
        <f>VLOOKUP($A131,'Data shares'!$C:$FB,127)*100</f>
        <v>121.42999999999999</v>
      </c>
    </row>
    <row r="132" spans="1:17" x14ac:dyDescent="0.25">
      <c r="A132" s="97" t="str">
        <f>'Data Vlaue (Cr)'!C127</f>
        <v>KOTAKBANK</v>
      </c>
      <c r="B132" s="140">
        <f>VLOOKUP($A132,'Data shares'!$C:$FB,7)</f>
        <v>1978.6</v>
      </c>
      <c r="C132" s="140">
        <f>VLOOKUP($A132,'Data shares'!$C:$FB,3)</f>
        <v>1990.3</v>
      </c>
      <c r="D132" s="140">
        <f>VLOOKUP($A132,'Data shares'!$C:$FB,4)</f>
        <v>1971.5</v>
      </c>
      <c r="E132" s="50">
        <f t="shared" si="3"/>
        <v>0.95358863809282046</v>
      </c>
      <c r="F132" s="49">
        <f>VLOOKUP($A132,'Data shares'!$C:$FB,98)</f>
        <v>42890400</v>
      </c>
      <c r="G132" s="49">
        <f>VLOOKUP($A132,'Data shares'!$C:$FB,99)</f>
        <v>57997200</v>
      </c>
      <c r="H132" s="50">
        <f t="shared" si="4"/>
        <v>-26.047464360348432</v>
      </c>
      <c r="I132" s="49">
        <f>VLOOKUP($A132,'Data shares'!$C:$FB,66)</f>
        <v>64669600</v>
      </c>
      <c r="J132" s="49">
        <f>VLOOKUP($A132,'Data shares'!$C:$FB,67)</f>
        <v>45850800</v>
      </c>
      <c r="K132" s="50">
        <f t="shared" si="5"/>
        <v>29.099917117161695</v>
      </c>
      <c r="L132" s="50">
        <f>VLOOKUP($A132,'Data shares'!$C:$FB,118)</f>
        <v>0.68</v>
      </c>
      <c r="M132" s="50">
        <f>VLOOKUP($A132,'Data shares'!$C:$FB,119)</f>
        <v>0.57999999999999996</v>
      </c>
      <c r="N132" s="50">
        <f>VLOOKUP($A132,'Data shares'!$C:$FB,121)*100</f>
        <v>17.239999999999998</v>
      </c>
      <c r="O132" s="50">
        <f>VLOOKUP($A132,'Data shares'!$C:$FB,124)</f>
        <v>0.56000000000000005</v>
      </c>
      <c r="P132" s="50">
        <f>VLOOKUP($A132,'Data shares'!$C:$FB,125)</f>
        <v>0.48</v>
      </c>
      <c r="Q132" s="50">
        <f>VLOOKUP($A132,'Data shares'!$C:$FB,127)*100</f>
        <v>16.669999999999998</v>
      </c>
    </row>
    <row r="133" spans="1:17" x14ac:dyDescent="0.25">
      <c r="A133" s="97" t="str">
        <f>'Data Vlaue (Cr)'!C128</f>
        <v>KPITTECH</v>
      </c>
      <c r="B133" s="140">
        <f>VLOOKUP($A133,'Data shares'!$C:$FB,7)</f>
        <v>1226.4000000000001</v>
      </c>
      <c r="C133" s="140">
        <f>VLOOKUP($A133,'Data shares'!$C:$FB,3)</f>
        <v>1228.9000000000001</v>
      </c>
      <c r="D133" s="140">
        <f>VLOOKUP($A133,'Data shares'!$C:$FB,4)</f>
        <v>1255.4000000000001</v>
      </c>
      <c r="E133" s="50">
        <f t="shared" si="3"/>
        <v>-2.1108809941054645</v>
      </c>
      <c r="F133" s="49">
        <f>VLOOKUP($A133,'Data shares'!$C:$FB,98)</f>
        <v>8020400</v>
      </c>
      <c r="G133" s="49">
        <f>VLOOKUP($A133,'Data shares'!$C:$FB,99)</f>
        <v>14994800</v>
      </c>
      <c r="H133" s="50">
        <f t="shared" si="4"/>
        <v>-46.512124203057056</v>
      </c>
      <c r="I133" s="49">
        <f>VLOOKUP($A133,'Data shares'!$C:$FB,66)</f>
        <v>21055600</v>
      </c>
      <c r="J133" s="49">
        <f>VLOOKUP($A133,'Data shares'!$C:$FB,67)</f>
        <v>61515600</v>
      </c>
      <c r="K133" s="50">
        <f t="shared" si="5"/>
        <v>-192.15790573529134</v>
      </c>
      <c r="L133" s="50">
        <f>VLOOKUP($A133,'Data shares'!$C:$FB,118)</f>
        <v>1.31</v>
      </c>
      <c r="M133" s="50">
        <f>VLOOKUP($A133,'Data shares'!$C:$FB,119)</f>
        <v>1.1000000000000001</v>
      </c>
      <c r="N133" s="50">
        <f>VLOOKUP($A133,'Data shares'!$C:$FB,121)*100</f>
        <v>19.09</v>
      </c>
      <c r="O133" s="50">
        <f>VLOOKUP($A133,'Data shares'!$C:$FB,124)</f>
        <v>0.73</v>
      </c>
      <c r="P133" s="50">
        <f>VLOOKUP($A133,'Data shares'!$C:$FB,125)</f>
        <v>0.63</v>
      </c>
      <c r="Q133" s="50">
        <f>VLOOKUP($A133,'Data shares'!$C:$FB,127)*100</f>
        <v>15.870000000000001</v>
      </c>
    </row>
    <row r="134" spans="1:17" x14ac:dyDescent="0.25">
      <c r="A134" s="97" t="str">
        <f>'Data Vlaue (Cr)'!C129</f>
        <v>LAURUSLABS</v>
      </c>
      <c r="B134" s="140">
        <f>VLOOKUP($A134,'Data shares'!$C:$FB,7)</f>
        <v>874.35</v>
      </c>
      <c r="C134" s="140">
        <f>VLOOKUP($A134,'Data shares'!$C:$FB,3)</f>
        <v>878</v>
      </c>
      <c r="D134" s="140">
        <f>VLOOKUP($A134,'Data shares'!$C:$FB,4)</f>
        <v>886.8</v>
      </c>
      <c r="E134" s="50">
        <f t="shared" si="3"/>
        <v>-0.99233198015335533</v>
      </c>
      <c r="F134" s="49">
        <f>VLOOKUP($A134,'Data shares'!$C:$FB,98)</f>
        <v>29068300</v>
      </c>
      <c r="G134" s="49">
        <f>VLOOKUP($A134,'Data shares'!$C:$FB,99)</f>
        <v>60191900</v>
      </c>
      <c r="H134" s="50">
        <f t="shared" si="4"/>
        <v>-51.707289519021657</v>
      </c>
      <c r="I134" s="49">
        <f>VLOOKUP($A134,'Data shares'!$C:$FB,66)</f>
        <v>42248400</v>
      </c>
      <c r="J134" s="49">
        <f>VLOOKUP($A134,'Data shares'!$C:$FB,67)</f>
        <v>124839500</v>
      </c>
      <c r="K134" s="50">
        <f t="shared" si="5"/>
        <v>-195.48929663608564</v>
      </c>
      <c r="L134" s="50">
        <f>VLOOKUP($A134,'Data shares'!$C:$FB,118)</f>
        <v>0.66</v>
      </c>
      <c r="M134" s="50">
        <f>VLOOKUP($A134,'Data shares'!$C:$FB,119)</f>
        <v>0.9</v>
      </c>
      <c r="N134" s="50">
        <f>VLOOKUP($A134,'Data shares'!$C:$FB,121)*100</f>
        <v>-26.669999999999998</v>
      </c>
      <c r="O134" s="50">
        <f>VLOOKUP($A134,'Data shares'!$C:$FB,124)</f>
        <v>0.96</v>
      </c>
      <c r="P134" s="50">
        <f>VLOOKUP($A134,'Data shares'!$C:$FB,125)</f>
        <v>0.79</v>
      </c>
      <c r="Q134" s="50">
        <f>VLOOKUP($A134,'Data shares'!$C:$FB,127)*100</f>
        <v>21.52</v>
      </c>
    </row>
    <row r="135" spans="1:17" x14ac:dyDescent="0.25">
      <c r="A135" s="97" t="str">
        <f>'Data Vlaue (Cr)'!C130</f>
        <v>LICHSGFIN</v>
      </c>
      <c r="B135" s="140">
        <f>VLOOKUP($A135,'Data shares'!$C:$FB,7)</f>
        <v>586.04999999999995</v>
      </c>
      <c r="C135" s="140">
        <f>VLOOKUP($A135,'Data shares'!$C:$FB,3)</f>
        <v>581.85</v>
      </c>
      <c r="D135" s="140">
        <f>VLOOKUP($A135,'Data shares'!$C:$FB,4)</f>
        <v>586.5</v>
      </c>
      <c r="E135" s="50">
        <f t="shared" si="3"/>
        <v>-0.79283887468030301</v>
      </c>
      <c r="F135" s="49">
        <f>VLOOKUP($A135,'Data shares'!$C:$FB,98)</f>
        <v>43408000</v>
      </c>
      <c r="G135" s="49">
        <f>VLOOKUP($A135,'Data shares'!$C:$FB,99)</f>
        <v>52217000</v>
      </c>
      <c r="H135" s="50">
        <f t="shared" si="4"/>
        <v>-16.869984870827508</v>
      </c>
      <c r="I135" s="49">
        <f>VLOOKUP($A135,'Data shares'!$C:$FB,66)</f>
        <v>28436000</v>
      </c>
      <c r="J135" s="49">
        <f>VLOOKUP($A135,'Data shares'!$C:$FB,67)</f>
        <v>22826000</v>
      </c>
      <c r="K135" s="50">
        <f t="shared" si="5"/>
        <v>19.728513152342099</v>
      </c>
      <c r="L135" s="50">
        <f>VLOOKUP($A135,'Data shares'!$C:$FB,118)</f>
        <v>0.99</v>
      </c>
      <c r="M135" s="50">
        <f>VLOOKUP($A135,'Data shares'!$C:$FB,119)</f>
        <v>0.92</v>
      </c>
      <c r="N135" s="50">
        <f>VLOOKUP($A135,'Data shares'!$C:$FB,121)*100</f>
        <v>7.61</v>
      </c>
      <c r="O135" s="50">
        <f>VLOOKUP($A135,'Data shares'!$C:$FB,124)</f>
        <v>0.59</v>
      </c>
      <c r="P135" s="50">
        <f>VLOOKUP($A135,'Data shares'!$C:$FB,125)</f>
        <v>0.81</v>
      </c>
      <c r="Q135" s="50">
        <f>VLOOKUP($A135,'Data shares'!$C:$FB,127)*100</f>
        <v>-27.16</v>
      </c>
    </row>
    <row r="136" spans="1:17" x14ac:dyDescent="0.25">
      <c r="A136" s="97" t="str">
        <f>'Data Vlaue (Cr)'!C131</f>
        <v>LICI</v>
      </c>
      <c r="B136" s="140">
        <f>VLOOKUP($A136,'Data shares'!$C:$FB,7)</f>
        <v>895</v>
      </c>
      <c r="C136" s="140">
        <f>VLOOKUP($A136,'Data shares'!$C:$FB,3)</f>
        <v>898.5</v>
      </c>
      <c r="D136" s="140">
        <f>VLOOKUP($A136,'Data shares'!$C:$FB,4)</f>
        <v>904.65</v>
      </c>
      <c r="E136" s="50">
        <f t="shared" ref="E136:E172" si="6">(C136-D136)/D136*100</f>
        <v>-0.67982092521969573</v>
      </c>
      <c r="F136" s="49">
        <f>VLOOKUP($A136,'Data shares'!$C:$FB,98)</f>
        <v>8984500</v>
      </c>
      <c r="G136" s="49">
        <f>VLOOKUP($A136,'Data shares'!$C:$FB,99)</f>
        <v>15054200</v>
      </c>
      <c r="H136" s="50">
        <f t="shared" ref="H136:H172" si="7">(F136-G136)/G136*100</f>
        <v>-40.318980749558264</v>
      </c>
      <c r="I136" s="49">
        <f>VLOOKUP($A136,'Data shares'!$C:$FB,66)</f>
        <v>7941500</v>
      </c>
      <c r="J136" s="49">
        <f>VLOOKUP($A136,'Data shares'!$C:$FB,67)</f>
        <v>9300200</v>
      </c>
      <c r="K136" s="50">
        <f t="shared" ref="K136:K172" si="8">(I136-J136)/I136*100</f>
        <v>-17.108858527985895</v>
      </c>
      <c r="L136" s="50">
        <f>VLOOKUP($A136,'Data shares'!$C:$FB,118)</f>
        <v>0.7</v>
      </c>
      <c r="M136" s="50">
        <f>VLOOKUP($A136,'Data shares'!$C:$FB,119)</f>
        <v>0.5</v>
      </c>
      <c r="N136" s="50">
        <f>VLOOKUP($A136,'Data shares'!$C:$FB,121)*100</f>
        <v>40</v>
      </c>
      <c r="O136" s="50">
        <f>VLOOKUP($A136,'Data shares'!$C:$FB,124)</f>
        <v>0.63</v>
      </c>
      <c r="P136" s="50">
        <f>VLOOKUP($A136,'Data shares'!$C:$FB,125)</f>
        <v>0.32</v>
      </c>
      <c r="Q136" s="50">
        <f>VLOOKUP($A136,'Data shares'!$C:$FB,127)*100</f>
        <v>96.88</v>
      </c>
    </row>
    <row r="137" spans="1:17" x14ac:dyDescent="0.25">
      <c r="A137" s="97" t="str">
        <f>'Data Vlaue (Cr)'!C132</f>
        <v>LODHA</v>
      </c>
      <c r="B137" s="140">
        <f>VLOOKUP($A137,'Data shares'!$C:$FB,7)</f>
        <v>1231.5999999999999</v>
      </c>
      <c r="C137" s="140">
        <f>VLOOKUP($A137,'Data shares'!$C:$FB,3)</f>
        <v>1235.2</v>
      </c>
      <c r="D137" s="140">
        <f>VLOOKUP($A137,'Data shares'!$C:$FB,4)</f>
        <v>1241.9000000000001</v>
      </c>
      <c r="E137" s="50">
        <f t="shared" si="6"/>
        <v>-0.53949593365005599</v>
      </c>
      <c r="F137" s="49">
        <f>VLOOKUP($A137,'Data shares'!$C:$FB,98)</f>
        <v>11115900</v>
      </c>
      <c r="G137" s="49">
        <f>VLOOKUP($A137,'Data shares'!$C:$FB,99)</f>
        <v>14918850</v>
      </c>
      <c r="H137" s="50">
        <f t="shared" si="7"/>
        <v>-25.490905800380055</v>
      </c>
      <c r="I137" s="49">
        <f>VLOOKUP($A137,'Data shares'!$C:$FB,66)</f>
        <v>8100450</v>
      </c>
      <c r="J137" s="49">
        <f>VLOOKUP($A137,'Data shares'!$C:$FB,67)</f>
        <v>9066600</v>
      </c>
      <c r="K137" s="50">
        <f t="shared" si="8"/>
        <v>-11.927115160268874</v>
      </c>
      <c r="L137" s="50">
        <f>VLOOKUP($A137,'Data shares'!$C:$FB,118)</f>
        <v>0.85</v>
      </c>
      <c r="M137" s="50">
        <f>VLOOKUP($A137,'Data shares'!$C:$FB,119)</f>
        <v>0.64</v>
      </c>
      <c r="N137" s="50">
        <f>VLOOKUP($A137,'Data shares'!$C:$FB,121)*100</f>
        <v>32.81</v>
      </c>
      <c r="O137" s="50">
        <f>VLOOKUP($A137,'Data shares'!$C:$FB,124)</f>
        <v>0.62</v>
      </c>
      <c r="P137" s="50">
        <f>VLOOKUP($A137,'Data shares'!$C:$FB,125)</f>
        <v>0.55000000000000004</v>
      </c>
      <c r="Q137" s="50">
        <f>VLOOKUP($A137,'Data shares'!$C:$FB,127)*100</f>
        <v>12.73</v>
      </c>
    </row>
    <row r="138" spans="1:17" x14ac:dyDescent="0.25">
      <c r="A138" s="97" t="str">
        <f>'Data Vlaue (Cr)'!C133</f>
        <v>LT</v>
      </c>
      <c r="B138" s="140">
        <f>VLOOKUP($A138,'Data shares'!$C:$FB,7)</f>
        <v>3636.5</v>
      </c>
      <c r="C138" s="140">
        <f>VLOOKUP($A138,'Data shares'!$C:$FB,3)</f>
        <v>3650.5</v>
      </c>
      <c r="D138" s="140">
        <f>VLOOKUP($A138,'Data shares'!$C:$FB,4)</f>
        <v>3679.2</v>
      </c>
      <c r="E138" s="50">
        <f t="shared" si="6"/>
        <v>-0.78006088280060393</v>
      </c>
      <c r="F138" s="49">
        <f>VLOOKUP($A138,'Data shares'!$C:$FB,98)</f>
        <v>20781950</v>
      </c>
      <c r="G138" s="49">
        <f>VLOOKUP($A138,'Data shares'!$C:$FB,99)</f>
        <v>33516525</v>
      </c>
      <c r="H138" s="50">
        <f t="shared" si="7"/>
        <v>-37.994914448917363</v>
      </c>
      <c r="I138" s="49">
        <f>VLOOKUP($A138,'Data shares'!$C:$FB,66)</f>
        <v>25561725</v>
      </c>
      <c r="J138" s="49">
        <f>VLOOKUP($A138,'Data shares'!$C:$FB,67)</f>
        <v>119108325</v>
      </c>
      <c r="K138" s="50">
        <f t="shared" si="8"/>
        <v>-365.96356466553021</v>
      </c>
      <c r="L138" s="50">
        <f>VLOOKUP($A138,'Data shares'!$C:$FB,118)</f>
        <v>0.87</v>
      </c>
      <c r="M138" s="50">
        <f>VLOOKUP($A138,'Data shares'!$C:$FB,119)</f>
        <v>0.59</v>
      </c>
      <c r="N138" s="50">
        <f>VLOOKUP($A138,'Data shares'!$C:$FB,121)*100</f>
        <v>47.46</v>
      </c>
      <c r="O138" s="50">
        <f>VLOOKUP($A138,'Data shares'!$C:$FB,124)</f>
        <v>0.54</v>
      </c>
      <c r="P138" s="50">
        <f>VLOOKUP($A138,'Data shares'!$C:$FB,125)</f>
        <v>0.36</v>
      </c>
      <c r="Q138" s="50">
        <f>VLOOKUP($A138,'Data shares'!$C:$FB,127)*100</f>
        <v>50</v>
      </c>
    </row>
    <row r="139" spans="1:17" x14ac:dyDescent="0.25">
      <c r="A139" s="97" t="str">
        <f>'Data Vlaue (Cr)'!C134</f>
        <v>LTF</v>
      </c>
      <c r="B139" s="140">
        <f>VLOOKUP($A139,'Data shares'!$C:$FB,7)</f>
        <v>202.59</v>
      </c>
      <c r="C139" s="140">
        <f>VLOOKUP($A139,'Data shares'!$C:$FB,3)</f>
        <v>203.68</v>
      </c>
      <c r="D139" s="140">
        <f>VLOOKUP($A139,'Data shares'!$C:$FB,4)</f>
        <v>204.62</v>
      </c>
      <c r="E139" s="50">
        <f t="shared" si="6"/>
        <v>-0.45938813410223722</v>
      </c>
      <c r="F139" s="49">
        <f>VLOOKUP($A139,'Data shares'!$C:$FB,98)</f>
        <v>83800822</v>
      </c>
      <c r="G139" s="49">
        <f>VLOOKUP($A139,'Data shares'!$C:$FB,99)</f>
        <v>129157052</v>
      </c>
      <c r="H139" s="50">
        <f t="shared" si="7"/>
        <v>-35.117114627236923</v>
      </c>
      <c r="I139" s="49">
        <f>VLOOKUP($A139,'Data shares'!$C:$FB,66)</f>
        <v>71240292</v>
      </c>
      <c r="J139" s="49">
        <f>VLOOKUP($A139,'Data shares'!$C:$FB,67)</f>
        <v>106695344</v>
      </c>
      <c r="K139" s="50">
        <f t="shared" si="8"/>
        <v>-49.768257547287988</v>
      </c>
      <c r="L139" s="50">
        <f>VLOOKUP($A139,'Data shares'!$C:$FB,118)</f>
        <v>0.68</v>
      </c>
      <c r="M139" s="50">
        <f>VLOOKUP($A139,'Data shares'!$C:$FB,119)</f>
        <v>0.67</v>
      </c>
      <c r="N139" s="50">
        <f>VLOOKUP($A139,'Data shares'!$C:$FB,121)*100</f>
        <v>1.49</v>
      </c>
      <c r="O139" s="50">
        <f>VLOOKUP($A139,'Data shares'!$C:$FB,124)</f>
        <v>0.52</v>
      </c>
      <c r="P139" s="50">
        <f>VLOOKUP($A139,'Data shares'!$C:$FB,125)</f>
        <v>0.64</v>
      </c>
      <c r="Q139" s="50">
        <f>VLOOKUP($A139,'Data shares'!$C:$FB,127)*100</f>
        <v>-18.75</v>
      </c>
    </row>
    <row r="140" spans="1:17" x14ac:dyDescent="0.25">
      <c r="A140" s="97" t="str">
        <f>'Data Vlaue (Cr)'!C135</f>
        <v>LTIM</v>
      </c>
      <c r="B140" s="140">
        <f>VLOOKUP($A140,'Data shares'!$C:$FB,7)</f>
        <v>5106</v>
      </c>
      <c r="C140" s="140">
        <f>VLOOKUP($A140,'Data shares'!$C:$FB,3)</f>
        <v>5109</v>
      </c>
      <c r="D140" s="140">
        <f>VLOOKUP($A140,'Data shares'!$C:$FB,4)</f>
        <v>5126.5</v>
      </c>
      <c r="E140" s="50">
        <f t="shared" si="6"/>
        <v>-0.34136350336486881</v>
      </c>
      <c r="F140" s="49">
        <f>VLOOKUP($A140,'Data shares'!$C:$FB,98)</f>
        <v>2857950</v>
      </c>
      <c r="G140" s="49">
        <f>VLOOKUP($A140,'Data shares'!$C:$FB,99)</f>
        <v>4117950</v>
      </c>
      <c r="H140" s="50">
        <f t="shared" si="7"/>
        <v>-30.597748879903836</v>
      </c>
      <c r="I140" s="49">
        <f>VLOOKUP($A140,'Data shares'!$C:$FB,66)</f>
        <v>1827900</v>
      </c>
      <c r="J140" s="49">
        <f>VLOOKUP($A140,'Data shares'!$C:$FB,67)</f>
        <v>3175050</v>
      </c>
      <c r="K140" s="50">
        <f t="shared" si="8"/>
        <v>-73.699327096668313</v>
      </c>
      <c r="L140" s="50">
        <f>VLOOKUP($A140,'Data shares'!$C:$FB,118)</f>
        <v>0.76</v>
      </c>
      <c r="M140" s="50">
        <f>VLOOKUP($A140,'Data shares'!$C:$FB,119)</f>
        <v>0.63</v>
      </c>
      <c r="N140" s="50">
        <f>VLOOKUP($A140,'Data shares'!$C:$FB,121)*100</f>
        <v>20.630000000000003</v>
      </c>
      <c r="O140" s="50">
        <f>VLOOKUP($A140,'Data shares'!$C:$FB,124)</f>
        <v>0.41</v>
      </c>
      <c r="P140" s="50">
        <f>VLOOKUP($A140,'Data shares'!$C:$FB,125)</f>
        <v>0.37</v>
      </c>
      <c r="Q140" s="50">
        <f>VLOOKUP($A140,'Data shares'!$C:$FB,127)*100</f>
        <v>10.81</v>
      </c>
    </row>
    <row r="141" spans="1:17" x14ac:dyDescent="0.25">
      <c r="A141" s="97" t="str">
        <f>'Data Vlaue (Cr)'!C136</f>
        <v>LUPIN</v>
      </c>
      <c r="B141" s="140">
        <f>VLOOKUP($A141,'Data shares'!$C:$FB,7)</f>
        <v>1929.1</v>
      </c>
      <c r="C141" s="140">
        <f>VLOOKUP($A141,'Data shares'!$C:$FB,3)</f>
        <v>1935.1</v>
      </c>
      <c r="D141" s="140">
        <f>VLOOKUP($A141,'Data shares'!$C:$FB,4)</f>
        <v>1995.1</v>
      </c>
      <c r="E141" s="50">
        <f t="shared" si="6"/>
        <v>-3.0073680517267309</v>
      </c>
      <c r="F141" s="49">
        <f>VLOOKUP($A141,'Data shares'!$C:$FB,98)</f>
        <v>13574925</v>
      </c>
      <c r="G141" s="49">
        <f>VLOOKUP($A141,'Data shares'!$C:$FB,99)</f>
        <v>18388050</v>
      </c>
      <c r="H141" s="50">
        <f t="shared" si="7"/>
        <v>-26.175287754819028</v>
      </c>
      <c r="I141" s="49">
        <f>VLOOKUP($A141,'Data shares'!$C:$FB,66)</f>
        <v>14988475</v>
      </c>
      <c r="J141" s="49">
        <f>VLOOKUP($A141,'Data shares'!$C:$FB,67)</f>
        <v>12314800</v>
      </c>
      <c r="K141" s="50">
        <f t="shared" si="8"/>
        <v>17.838205688036975</v>
      </c>
      <c r="L141" s="50">
        <f>VLOOKUP($A141,'Data shares'!$C:$FB,118)</f>
        <v>0.79</v>
      </c>
      <c r="M141" s="50">
        <f>VLOOKUP($A141,'Data shares'!$C:$FB,119)</f>
        <v>0.83</v>
      </c>
      <c r="N141" s="50">
        <f>VLOOKUP($A141,'Data shares'!$C:$FB,121)*100</f>
        <v>-4.82</v>
      </c>
      <c r="O141" s="50">
        <f>VLOOKUP($A141,'Data shares'!$C:$FB,124)</f>
        <v>0.92</v>
      </c>
      <c r="P141" s="50">
        <f>VLOOKUP($A141,'Data shares'!$C:$FB,125)</f>
        <v>0.42</v>
      </c>
      <c r="Q141" s="50">
        <f>VLOOKUP($A141,'Data shares'!$C:$FB,127)*100</f>
        <v>119.04999999999998</v>
      </c>
    </row>
    <row r="142" spans="1:17" x14ac:dyDescent="0.25">
      <c r="A142" s="97" t="str">
        <f>'Data Vlaue (Cr)'!C137</f>
        <v>M&amp;M</v>
      </c>
      <c r="B142" s="140">
        <f>VLOOKUP($A142,'Data shares'!$C:$FB,7)</f>
        <v>3203.1</v>
      </c>
      <c r="C142" s="140">
        <f>VLOOKUP($A142,'Data shares'!$C:$FB,3)</f>
        <v>3215.6</v>
      </c>
      <c r="D142" s="140">
        <f>VLOOKUP($A142,'Data shares'!$C:$FB,4)</f>
        <v>3228.2</v>
      </c>
      <c r="E142" s="50">
        <f t="shared" si="6"/>
        <v>-0.39031038969084664</v>
      </c>
      <c r="F142" s="49">
        <f>VLOOKUP($A142,'Data shares'!$C:$FB,98)</f>
        <v>28761400</v>
      </c>
      <c r="G142" s="49">
        <f>VLOOKUP($A142,'Data shares'!$C:$FB,99)</f>
        <v>32964800</v>
      </c>
      <c r="H142" s="50">
        <f t="shared" si="7"/>
        <v>-12.751177013056351</v>
      </c>
      <c r="I142" s="49">
        <f>VLOOKUP($A142,'Data shares'!$C:$FB,66)</f>
        <v>49178200</v>
      </c>
      <c r="J142" s="49">
        <f>VLOOKUP($A142,'Data shares'!$C:$FB,67)</f>
        <v>43224600</v>
      </c>
      <c r="K142" s="50">
        <f t="shared" si="8"/>
        <v>12.106177127263706</v>
      </c>
      <c r="L142" s="50">
        <f>VLOOKUP($A142,'Data shares'!$C:$FB,118)</f>
        <v>0.62</v>
      </c>
      <c r="M142" s="50">
        <f>VLOOKUP($A142,'Data shares'!$C:$FB,119)</f>
        <v>0.59</v>
      </c>
      <c r="N142" s="50">
        <f>VLOOKUP($A142,'Data shares'!$C:$FB,121)*100</f>
        <v>5.08</v>
      </c>
      <c r="O142" s="50">
        <f>VLOOKUP($A142,'Data shares'!$C:$FB,124)</f>
        <v>0.43</v>
      </c>
      <c r="P142" s="50">
        <f>VLOOKUP($A142,'Data shares'!$C:$FB,125)</f>
        <v>0.46</v>
      </c>
      <c r="Q142" s="50">
        <f>VLOOKUP($A142,'Data shares'!$C:$FB,127)*100</f>
        <v>-6.52</v>
      </c>
    </row>
    <row r="143" spans="1:17" x14ac:dyDescent="0.25">
      <c r="A143" s="97" t="str">
        <f>'Data Vlaue (Cr)'!C138</f>
        <v>M&amp;MFIN</v>
      </c>
      <c r="B143" s="140">
        <f>VLOOKUP($A143,'Data shares'!$C:$FB,7)</f>
        <v>257.5</v>
      </c>
      <c r="C143" s="140">
        <f>VLOOKUP($A143,'Data shares'!$C:$FB,3)</f>
        <v>0</v>
      </c>
      <c r="D143" s="140">
        <f>VLOOKUP($A143,'Data shares'!$C:$FB,4)</f>
        <v>0</v>
      </c>
      <c r="E143" s="50" t="e">
        <f t="shared" si="6"/>
        <v>#DIV/0!</v>
      </c>
      <c r="F143" s="49">
        <f>VLOOKUP($A143,'Data shares'!$C:$FB,98)</f>
        <v>11231928</v>
      </c>
      <c r="G143" s="49">
        <f>VLOOKUP($A143,'Data shares'!$C:$FB,99)</f>
        <v>19840400</v>
      </c>
      <c r="H143" s="50">
        <f t="shared" si="7"/>
        <v>-43.388601036269428</v>
      </c>
      <c r="I143" s="49">
        <f>VLOOKUP($A143,'Data shares'!$C:$FB,66)</f>
        <v>12708136</v>
      </c>
      <c r="J143" s="49">
        <f>VLOOKUP($A143,'Data shares'!$C:$FB,67)</f>
        <v>16388376</v>
      </c>
      <c r="K143" s="50">
        <f t="shared" si="8"/>
        <v>-28.959715256430997</v>
      </c>
      <c r="L143" s="50">
        <f>VLOOKUP($A143,'Data shares'!$C:$FB,118)</f>
        <v>0.42</v>
      </c>
      <c r="M143" s="50">
        <f>VLOOKUP($A143,'Data shares'!$C:$FB,119)</f>
        <v>0.38</v>
      </c>
      <c r="N143" s="50">
        <f>VLOOKUP($A143,'Data shares'!$C:$FB,121)*100</f>
        <v>10.530000000000001</v>
      </c>
      <c r="O143" s="50">
        <f>VLOOKUP($A143,'Data shares'!$C:$FB,124)</f>
        <v>0.33</v>
      </c>
      <c r="P143" s="50">
        <f>VLOOKUP($A143,'Data shares'!$C:$FB,125)</f>
        <v>0.28999999999999998</v>
      </c>
      <c r="Q143" s="50">
        <f>VLOOKUP($A143,'Data shares'!$C:$FB,127)*100</f>
        <v>13.79</v>
      </c>
    </row>
    <row r="144" spans="1:17" x14ac:dyDescent="0.25">
      <c r="A144" s="97" t="str">
        <f>'Data Vlaue (Cr)'!C139</f>
        <v>MANAPPURAM</v>
      </c>
      <c r="B144" s="140">
        <f>VLOOKUP($A144,'Data shares'!$C:$FB,7)</f>
        <v>253.05</v>
      </c>
      <c r="C144" s="140">
        <f>VLOOKUP($A144,'Data shares'!$C:$FB,3)</f>
        <v>254.4</v>
      </c>
      <c r="D144" s="140">
        <f>VLOOKUP($A144,'Data shares'!$C:$FB,4)</f>
        <v>257.25</v>
      </c>
      <c r="E144" s="50">
        <f t="shared" si="6"/>
        <v>-1.1078717201166159</v>
      </c>
      <c r="F144" s="49">
        <f>VLOOKUP($A144,'Data shares'!$C:$FB,98)</f>
        <v>35901000</v>
      </c>
      <c r="G144" s="49">
        <f>VLOOKUP($A144,'Data shares'!$C:$FB,99)</f>
        <v>50064000</v>
      </c>
      <c r="H144" s="50">
        <f t="shared" si="7"/>
        <v>-28.289789069990412</v>
      </c>
      <c r="I144" s="49">
        <f>VLOOKUP($A144,'Data shares'!$C:$FB,66)</f>
        <v>34095000</v>
      </c>
      <c r="J144" s="49">
        <f>VLOOKUP($A144,'Data shares'!$C:$FB,67)</f>
        <v>45696000</v>
      </c>
      <c r="K144" s="50">
        <f t="shared" si="8"/>
        <v>-34.025516937967446</v>
      </c>
      <c r="L144" s="50">
        <f>VLOOKUP($A144,'Data shares'!$C:$FB,118)</f>
        <v>1.54</v>
      </c>
      <c r="M144" s="50">
        <f>VLOOKUP($A144,'Data shares'!$C:$FB,119)</f>
        <v>1.05</v>
      </c>
      <c r="N144" s="50">
        <f>VLOOKUP($A144,'Data shares'!$C:$FB,121)*100</f>
        <v>46.67</v>
      </c>
      <c r="O144" s="50">
        <f>VLOOKUP($A144,'Data shares'!$C:$FB,124)</f>
        <v>1.1599999999999999</v>
      </c>
      <c r="P144" s="50">
        <f>VLOOKUP($A144,'Data shares'!$C:$FB,125)</f>
        <v>1.08</v>
      </c>
      <c r="Q144" s="50">
        <f>VLOOKUP($A144,'Data shares'!$C:$FB,127)*100</f>
        <v>7.41</v>
      </c>
    </row>
    <row r="145" spans="1:17" x14ac:dyDescent="0.25">
      <c r="A145" s="97" t="str">
        <f>'Data Vlaue (Cr)'!C140</f>
        <v>MANKIND</v>
      </c>
      <c r="B145" s="140">
        <f>VLOOKUP($A145,'Data shares'!$C:$FB,7)</f>
        <v>2567.1999999999998</v>
      </c>
      <c r="C145" s="140">
        <f>VLOOKUP($A145,'Data shares'!$C:$FB,3)</f>
        <v>2567.6</v>
      </c>
      <c r="D145" s="140">
        <f>VLOOKUP($A145,'Data shares'!$C:$FB,4)</f>
        <v>2573.1</v>
      </c>
      <c r="E145" s="50">
        <f t="shared" si="6"/>
        <v>-0.2137499514204656</v>
      </c>
      <c r="F145" s="49">
        <f>VLOOKUP($A145,'Data shares'!$C:$FB,98)</f>
        <v>2100375</v>
      </c>
      <c r="G145" s="49">
        <f>VLOOKUP($A145,'Data shares'!$C:$FB,99)</f>
        <v>3490425</v>
      </c>
      <c r="H145" s="50">
        <f t="shared" si="7"/>
        <v>-39.82466318571521</v>
      </c>
      <c r="I145" s="49">
        <f>VLOOKUP($A145,'Data shares'!$C:$FB,66)</f>
        <v>4750875</v>
      </c>
      <c r="J145" s="49">
        <f>VLOOKUP($A145,'Data shares'!$C:$FB,67)</f>
        <v>4218525</v>
      </c>
      <c r="K145" s="50">
        <f t="shared" si="8"/>
        <v>11.20530428605257</v>
      </c>
      <c r="L145" s="50">
        <f>VLOOKUP($A145,'Data shares'!$C:$FB,118)</f>
        <v>0.56999999999999995</v>
      </c>
      <c r="M145" s="50">
        <f>VLOOKUP($A145,'Data shares'!$C:$FB,119)</f>
        <v>0.7</v>
      </c>
      <c r="N145" s="50">
        <f>VLOOKUP($A145,'Data shares'!$C:$FB,121)*100</f>
        <v>-18.57</v>
      </c>
      <c r="O145" s="50">
        <f>VLOOKUP($A145,'Data shares'!$C:$FB,124)</f>
        <v>0.52</v>
      </c>
      <c r="P145" s="50">
        <f>VLOOKUP($A145,'Data shares'!$C:$FB,125)</f>
        <v>0.34</v>
      </c>
      <c r="Q145" s="50">
        <f>VLOOKUP($A145,'Data shares'!$C:$FB,127)*100</f>
        <v>52.94</v>
      </c>
    </row>
    <row r="146" spans="1:17" x14ac:dyDescent="0.25">
      <c r="A146" s="97" t="str">
        <f>'Data Vlaue (Cr)'!C141</f>
        <v>MARICO</v>
      </c>
      <c r="B146" s="140">
        <f>VLOOKUP($A146,'Data shares'!$C:$FB,7)</f>
        <v>709.8</v>
      </c>
      <c r="C146" s="140">
        <f>VLOOKUP($A146,'Data shares'!$C:$FB,3)</f>
        <v>705.25</v>
      </c>
      <c r="D146" s="140">
        <f>VLOOKUP($A146,'Data shares'!$C:$FB,4)</f>
        <v>700.25</v>
      </c>
      <c r="E146" s="50">
        <f t="shared" si="6"/>
        <v>0.71403070332024277</v>
      </c>
      <c r="F146" s="49">
        <f>VLOOKUP($A146,'Data shares'!$C:$FB,98)</f>
        <v>23107200</v>
      </c>
      <c r="G146" s="49">
        <f>VLOOKUP($A146,'Data shares'!$C:$FB,99)</f>
        <v>30585600</v>
      </c>
      <c r="H146" s="50">
        <f t="shared" si="7"/>
        <v>-24.450721908349028</v>
      </c>
      <c r="I146" s="49">
        <f>VLOOKUP($A146,'Data shares'!$C:$FB,66)</f>
        <v>14481600</v>
      </c>
      <c r="J146" s="49">
        <f>VLOOKUP($A146,'Data shares'!$C:$FB,67)</f>
        <v>15747600</v>
      </c>
      <c r="K146" s="50">
        <f t="shared" si="8"/>
        <v>-8.7421279416639042</v>
      </c>
      <c r="L146" s="50">
        <f>VLOOKUP($A146,'Data shares'!$C:$FB,118)</f>
        <v>0.76</v>
      </c>
      <c r="M146" s="50">
        <f>VLOOKUP($A146,'Data shares'!$C:$FB,119)</f>
        <v>0.56999999999999995</v>
      </c>
      <c r="N146" s="50">
        <f>VLOOKUP($A146,'Data shares'!$C:$FB,121)*100</f>
        <v>33.33</v>
      </c>
      <c r="O146" s="50">
        <f>VLOOKUP($A146,'Data shares'!$C:$FB,124)</f>
        <v>0.35</v>
      </c>
      <c r="P146" s="50">
        <f>VLOOKUP($A146,'Data shares'!$C:$FB,125)</f>
        <v>0.55000000000000004</v>
      </c>
      <c r="Q146" s="50">
        <f>VLOOKUP($A146,'Data shares'!$C:$FB,127)*100</f>
        <v>-36.36</v>
      </c>
    </row>
    <row r="147" spans="1:17" x14ac:dyDescent="0.25">
      <c r="A147" s="97" t="str">
        <f>'Data Vlaue (Cr)'!C142</f>
        <v>MARUTI</v>
      </c>
      <c r="B147" s="140">
        <f>VLOOKUP($A147,'Data shares'!$C:$FB,7)</f>
        <v>12608</v>
      </c>
      <c r="C147" s="140">
        <f>VLOOKUP($A147,'Data shares'!$C:$FB,3)</f>
        <v>12551</v>
      </c>
      <c r="D147" s="140">
        <f>VLOOKUP($A147,'Data shares'!$C:$FB,4)</f>
        <v>12542</v>
      </c>
      <c r="E147" s="50">
        <f t="shared" si="6"/>
        <v>7.1758890129166003E-2</v>
      </c>
      <c r="F147" s="49">
        <f>VLOOKUP($A147,'Data shares'!$C:$FB,98)</f>
        <v>4353200</v>
      </c>
      <c r="G147" s="49">
        <f>VLOOKUP($A147,'Data shares'!$C:$FB,99)</f>
        <v>6811050</v>
      </c>
      <c r="H147" s="50">
        <f t="shared" si="7"/>
        <v>-36.086212845302853</v>
      </c>
      <c r="I147" s="49">
        <f>VLOOKUP($A147,'Data shares'!$C:$FB,66)</f>
        <v>12456750</v>
      </c>
      <c r="J147" s="49">
        <f>VLOOKUP($A147,'Data shares'!$C:$FB,67)</f>
        <v>9518600</v>
      </c>
      <c r="K147" s="50">
        <f t="shared" si="8"/>
        <v>23.586810363858952</v>
      </c>
      <c r="L147" s="50">
        <f>VLOOKUP($A147,'Data shares'!$C:$FB,118)</f>
        <v>0.51</v>
      </c>
      <c r="M147" s="50">
        <f>VLOOKUP($A147,'Data shares'!$C:$FB,119)</f>
        <v>0.33</v>
      </c>
      <c r="N147" s="50">
        <f>VLOOKUP($A147,'Data shares'!$C:$FB,121)*100</f>
        <v>54.55</v>
      </c>
      <c r="O147" s="50">
        <f>VLOOKUP($A147,'Data shares'!$C:$FB,124)</f>
        <v>0.43</v>
      </c>
      <c r="P147" s="50">
        <f>VLOOKUP($A147,'Data shares'!$C:$FB,125)</f>
        <v>0.37</v>
      </c>
      <c r="Q147" s="50">
        <f>VLOOKUP($A147,'Data shares'!$C:$FB,127)*100</f>
        <v>16.220000000000002</v>
      </c>
    </row>
    <row r="148" spans="1:17" x14ac:dyDescent="0.25">
      <c r="A148" s="97" t="str">
        <f>'Data Vlaue (Cr)'!C143</f>
        <v>MAXHEALTH</v>
      </c>
      <c r="B148" s="140">
        <f>VLOOKUP($A148,'Data shares'!$C:$FB,7)</f>
        <v>1246</v>
      </c>
      <c r="C148" s="140">
        <f>VLOOKUP($A148,'Data shares'!$C:$FB,3)</f>
        <v>1251.5</v>
      </c>
      <c r="D148" s="140">
        <f>VLOOKUP($A148,'Data shares'!$C:$FB,4)</f>
        <v>1270.8</v>
      </c>
      <c r="E148" s="50">
        <f t="shared" si="6"/>
        <v>-1.5187283600881298</v>
      </c>
      <c r="F148" s="49">
        <f>VLOOKUP($A148,'Data shares'!$C:$FB,98)</f>
        <v>11850825</v>
      </c>
      <c r="G148" s="49">
        <f>VLOOKUP($A148,'Data shares'!$C:$FB,99)</f>
        <v>14864325</v>
      </c>
      <c r="H148" s="50">
        <f t="shared" si="7"/>
        <v>-20.273372655670542</v>
      </c>
      <c r="I148" s="49">
        <f>VLOOKUP($A148,'Data shares'!$C:$FB,66)</f>
        <v>8153775</v>
      </c>
      <c r="J148" s="49">
        <f>VLOOKUP($A148,'Data shares'!$C:$FB,67)</f>
        <v>10977225</v>
      </c>
      <c r="K148" s="50">
        <f t="shared" si="8"/>
        <v>-34.627519155237913</v>
      </c>
      <c r="L148" s="50">
        <f>VLOOKUP($A148,'Data shares'!$C:$FB,118)</f>
        <v>0.69</v>
      </c>
      <c r="M148" s="50">
        <f>VLOOKUP($A148,'Data shares'!$C:$FB,119)</f>
        <v>0.46</v>
      </c>
      <c r="N148" s="50">
        <f>VLOOKUP($A148,'Data shares'!$C:$FB,121)*100</f>
        <v>50</v>
      </c>
      <c r="O148" s="50">
        <f>VLOOKUP($A148,'Data shares'!$C:$FB,124)</f>
        <v>0.54</v>
      </c>
      <c r="P148" s="50">
        <f>VLOOKUP($A148,'Data shares'!$C:$FB,125)</f>
        <v>0.43</v>
      </c>
      <c r="Q148" s="50">
        <f>VLOOKUP($A148,'Data shares'!$C:$FB,127)*100</f>
        <v>25.580000000000002</v>
      </c>
    </row>
    <row r="149" spans="1:17" x14ac:dyDescent="0.25">
      <c r="A149" s="97" t="str">
        <f>'Data Vlaue (Cr)'!C144</f>
        <v>MAZDOCK</v>
      </c>
      <c r="B149" s="140">
        <f>VLOOKUP($A149,'Data shares'!$C:$FB,7)</f>
        <v>2771.2</v>
      </c>
      <c r="C149" s="140">
        <f>VLOOKUP($A149,'Data shares'!$C:$FB,3)</f>
        <v>2779</v>
      </c>
      <c r="D149" s="140">
        <f>VLOOKUP($A149,'Data shares'!$C:$FB,4)</f>
        <v>2774.2</v>
      </c>
      <c r="E149" s="50">
        <f t="shared" si="6"/>
        <v>0.17302285343523113</v>
      </c>
      <c r="F149" s="49">
        <f>VLOOKUP($A149,'Data shares'!$C:$FB,98)</f>
        <v>4678975</v>
      </c>
      <c r="G149" s="49">
        <f>VLOOKUP($A149,'Data shares'!$C:$FB,99)</f>
        <v>7770700</v>
      </c>
      <c r="H149" s="50">
        <f t="shared" si="7"/>
        <v>-39.786956130078373</v>
      </c>
      <c r="I149" s="49">
        <f>VLOOKUP($A149,'Data shares'!$C:$FB,66)</f>
        <v>9356200</v>
      </c>
      <c r="J149" s="49">
        <f>VLOOKUP($A149,'Data shares'!$C:$FB,67)</f>
        <v>10147200</v>
      </c>
      <c r="K149" s="50">
        <f t="shared" si="8"/>
        <v>-8.4542869968576984</v>
      </c>
      <c r="L149" s="50">
        <f>VLOOKUP($A149,'Data shares'!$C:$FB,118)</f>
        <v>0.55000000000000004</v>
      </c>
      <c r="M149" s="50">
        <f>VLOOKUP($A149,'Data shares'!$C:$FB,119)</f>
        <v>0.46</v>
      </c>
      <c r="N149" s="50">
        <f>VLOOKUP($A149,'Data shares'!$C:$FB,121)*100</f>
        <v>19.57</v>
      </c>
      <c r="O149" s="50">
        <f>VLOOKUP($A149,'Data shares'!$C:$FB,124)</f>
        <v>0.31</v>
      </c>
      <c r="P149" s="50">
        <f>VLOOKUP($A149,'Data shares'!$C:$FB,125)</f>
        <v>0.35</v>
      </c>
      <c r="Q149" s="50">
        <f>VLOOKUP($A149,'Data shares'!$C:$FB,127)*100</f>
        <v>-11.43</v>
      </c>
    </row>
    <row r="150" spans="1:17" x14ac:dyDescent="0.25">
      <c r="A150" s="97" t="str">
        <f>'Data Vlaue (Cr)'!C145</f>
        <v>MCX</v>
      </c>
      <c r="B150" s="140">
        <f>VLOOKUP($A150,'Data shares'!$C:$FB,7)</f>
        <v>7693</v>
      </c>
      <c r="C150" s="140">
        <f>VLOOKUP($A150,'Data shares'!$C:$FB,3)</f>
        <v>7697.5</v>
      </c>
      <c r="D150" s="140">
        <f>VLOOKUP($A150,'Data shares'!$C:$FB,4)</f>
        <v>7793.5</v>
      </c>
      <c r="E150" s="50">
        <f t="shared" si="6"/>
        <v>-1.2317957272085713</v>
      </c>
      <c r="F150" s="49">
        <f>VLOOKUP($A150,'Data shares'!$C:$FB,98)</f>
        <v>3710125</v>
      </c>
      <c r="G150" s="49">
        <f>VLOOKUP($A150,'Data shares'!$C:$FB,99)</f>
        <v>6983125</v>
      </c>
      <c r="H150" s="50">
        <f t="shared" si="7"/>
        <v>-46.870133357200395</v>
      </c>
      <c r="I150" s="49">
        <f>VLOOKUP($A150,'Data shares'!$C:$FB,66)</f>
        <v>6898125</v>
      </c>
      <c r="J150" s="49">
        <f>VLOOKUP($A150,'Data shares'!$C:$FB,67)</f>
        <v>7934875</v>
      </c>
      <c r="K150" s="50">
        <f t="shared" si="8"/>
        <v>-15.029446407538281</v>
      </c>
      <c r="L150" s="50">
        <f>VLOOKUP($A150,'Data shares'!$C:$FB,118)</f>
        <v>0.69</v>
      </c>
      <c r="M150" s="50">
        <f>VLOOKUP($A150,'Data shares'!$C:$FB,119)</f>
        <v>0.61</v>
      </c>
      <c r="N150" s="50">
        <f>VLOOKUP($A150,'Data shares'!$C:$FB,121)*100</f>
        <v>13.11</v>
      </c>
      <c r="O150" s="50">
        <f>VLOOKUP($A150,'Data shares'!$C:$FB,124)</f>
        <v>0.57999999999999996</v>
      </c>
      <c r="P150" s="50">
        <f>VLOOKUP($A150,'Data shares'!$C:$FB,125)</f>
        <v>0.68</v>
      </c>
      <c r="Q150" s="50">
        <f>VLOOKUP($A150,'Data shares'!$C:$FB,127)*100</f>
        <v>-14.71</v>
      </c>
    </row>
    <row r="151" spans="1:17" x14ac:dyDescent="0.25">
      <c r="A151" s="97" t="str">
        <f>'Data Vlaue (Cr)'!C146</f>
        <v>MFSL</v>
      </c>
      <c r="B151" s="140">
        <f>VLOOKUP($A151,'Data shares'!$C:$FB,7)</f>
        <v>1501.4</v>
      </c>
      <c r="C151" s="140">
        <f>VLOOKUP($A151,'Data shares'!$C:$FB,3)</f>
        <v>1507</v>
      </c>
      <c r="D151" s="140">
        <f>VLOOKUP($A151,'Data shares'!$C:$FB,4)</f>
        <v>1515.7</v>
      </c>
      <c r="E151" s="50">
        <f t="shared" si="6"/>
        <v>-0.57399221481823881</v>
      </c>
      <c r="F151" s="49">
        <f>VLOOKUP($A151,'Data shares'!$C:$FB,98)</f>
        <v>5884800</v>
      </c>
      <c r="G151" s="49">
        <f>VLOOKUP($A151,'Data shares'!$C:$FB,99)</f>
        <v>8743200</v>
      </c>
      <c r="H151" s="50">
        <f t="shared" si="7"/>
        <v>-32.692835575075485</v>
      </c>
      <c r="I151" s="49">
        <f>VLOOKUP($A151,'Data shares'!$C:$FB,66)</f>
        <v>4313600</v>
      </c>
      <c r="J151" s="49">
        <f>VLOOKUP($A151,'Data shares'!$C:$FB,67)</f>
        <v>6964800</v>
      </c>
      <c r="K151" s="50">
        <f t="shared" si="8"/>
        <v>-61.461424332344215</v>
      </c>
      <c r="L151" s="50">
        <f>VLOOKUP($A151,'Data shares'!$C:$FB,118)</f>
        <v>1.06</v>
      </c>
      <c r="M151" s="50">
        <f>VLOOKUP($A151,'Data shares'!$C:$FB,119)</f>
        <v>0.74</v>
      </c>
      <c r="N151" s="50">
        <f>VLOOKUP($A151,'Data shares'!$C:$FB,121)*100</f>
        <v>43.24</v>
      </c>
      <c r="O151" s="50">
        <f>VLOOKUP($A151,'Data shares'!$C:$FB,124)</f>
        <v>1.4</v>
      </c>
      <c r="P151" s="50">
        <f>VLOOKUP($A151,'Data shares'!$C:$FB,125)</f>
        <v>0.46</v>
      </c>
      <c r="Q151" s="50">
        <f>VLOOKUP($A151,'Data shares'!$C:$FB,127)*100</f>
        <v>204.35</v>
      </c>
    </row>
    <row r="152" spans="1:17" x14ac:dyDescent="0.25">
      <c r="A152" s="97" t="str">
        <f>'Data Vlaue (Cr)'!C147</f>
        <v>MGL</v>
      </c>
      <c r="B152" s="140">
        <f>VLOOKUP($A152,'Data shares'!$C:$FB,7)</f>
        <v>1358.1</v>
      </c>
      <c r="C152" s="140">
        <f>VLOOKUP($A152,'Data shares'!$C:$FB,3)</f>
        <v>0</v>
      </c>
      <c r="D152" s="140">
        <f>VLOOKUP($A152,'Data shares'!$C:$FB,4)</f>
        <v>0</v>
      </c>
      <c r="E152" s="50" t="e">
        <f t="shared" si="6"/>
        <v>#DIV/0!</v>
      </c>
      <c r="F152" s="49">
        <f>VLOOKUP($A152,'Data shares'!$C:$FB,98)</f>
        <v>2304800</v>
      </c>
      <c r="G152" s="49">
        <f>VLOOKUP($A152,'Data shares'!$C:$FB,99)</f>
        <v>3681200</v>
      </c>
      <c r="H152" s="50">
        <f t="shared" si="7"/>
        <v>-37.389981527762686</v>
      </c>
      <c r="I152" s="49">
        <f>VLOOKUP($A152,'Data shares'!$C:$FB,66)</f>
        <v>2914800</v>
      </c>
      <c r="J152" s="49">
        <f>VLOOKUP($A152,'Data shares'!$C:$FB,67)</f>
        <v>5013600</v>
      </c>
      <c r="K152" s="50">
        <f t="shared" si="8"/>
        <v>-72.004940304652123</v>
      </c>
      <c r="L152" s="50">
        <f>VLOOKUP($A152,'Data shares'!$C:$FB,118)</f>
        <v>0.56999999999999995</v>
      </c>
      <c r="M152" s="50">
        <f>VLOOKUP($A152,'Data shares'!$C:$FB,119)</f>
        <v>0.47</v>
      </c>
      <c r="N152" s="50">
        <f>VLOOKUP($A152,'Data shares'!$C:$FB,121)*100</f>
        <v>21.279999999999998</v>
      </c>
      <c r="O152" s="50">
        <f>VLOOKUP($A152,'Data shares'!$C:$FB,124)</f>
        <v>0.38</v>
      </c>
      <c r="P152" s="50">
        <f>VLOOKUP($A152,'Data shares'!$C:$FB,125)</f>
        <v>0.34</v>
      </c>
      <c r="Q152" s="50">
        <f>VLOOKUP($A152,'Data shares'!$C:$FB,127)*100</f>
        <v>11.76</v>
      </c>
    </row>
    <row r="153" spans="1:17" x14ac:dyDescent="0.25">
      <c r="A153" s="97" t="str">
        <f>'Data Vlaue (Cr)'!C148</f>
        <v>MIDCPNIFTY</v>
      </c>
      <c r="B153" s="140">
        <f>VLOOKUP($A153,'Data shares'!$C:$FB,7)</f>
        <v>12867.1</v>
      </c>
      <c r="C153" s="140">
        <f>VLOOKUP($A153,'Data shares'!$C:$FB,3)</f>
        <v>12920.65</v>
      </c>
      <c r="D153" s="140">
        <f>VLOOKUP($A153,'Data shares'!$C:$FB,4)</f>
        <v>13058.7</v>
      </c>
      <c r="E153" s="50">
        <f t="shared" si="6"/>
        <v>-1.0571496397038072</v>
      </c>
      <c r="F153" s="49">
        <f>VLOOKUP($A153,'Data shares'!$C:$FB,98)</f>
        <v>5482540</v>
      </c>
      <c r="G153" s="49">
        <f>VLOOKUP($A153,'Data shares'!$C:$FB,99)</f>
        <v>37076340</v>
      </c>
      <c r="H153" s="50">
        <f t="shared" si="7"/>
        <v>-85.212833844980381</v>
      </c>
      <c r="I153" s="49">
        <f>VLOOKUP($A153,'Data shares'!$C:$FB,66)</f>
        <v>1537693500</v>
      </c>
      <c r="J153" s="49">
        <f>VLOOKUP($A153,'Data shares'!$C:$FB,67)</f>
        <v>417705540</v>
      </c>
      <c r="K153" s="50">
        <f t="shared" si="8"/>
        <v>72.835578741797363</v>
      </c>
      <c r="L153" s="50">
        <f>VLOOKUP($A153,'Data shares'!$C:$FB,118)</f>
        <v>1.2</v>
      </c>
      <c r="M153" s="50">
        <f>VLOOKUP($A153,'Data shares'!$C:$FB,119)</f>
        <v>0.76</v>
      </c>
      <c r="N153" s="50">
        <f>VLOOKUP($A153,'Data shares'!$C:$FB,121)*100</f>
        <v>57.89</v>
      </c>
      <c r="O153" s="50">
        <f>VLOOKUP($A153,'Data shares'!$C:$FB,124)</f>
        <v>0.92</v>
      </c>
      <c r="P153" s="50">
        <f>VLOOKUP($A153,'Data shares'!$C:$FB,125)</f>
        <v>0.89</v>
      </c>
      <c r="Q153" s="50">
        <f>VLOOKUP($A153,'Data shares'!$C:$FB,127)*100</f>
        <v>3.37</v>
      </c>
    </row>
    <row r="154" spans="1:17" x14ac:dyDescent="0.25">
      <c r="A154" s="97" t="str">
        <f>'Data Vlaue (Cr)'!C149</f>
        <v>MOTHERSON</v>
      </c>
      <c r="B154" s="140">
        <f>VLOOKUP($A154,'Data shares'!$C:$FB,7)</f>
        <v>97.17</v>
      </c>
      <c r="C154" s="140">
        <f>VLOOKUP($A154,'Data shares'!$C:$FB,3)</f>
        <v>97.68</v>
      </c>
      <c r="D154" s="140">
        <f>VLOOKUP($A154,'Data shares'!$C:$FB,4)</f>
        <v>99.23</v>
      </c>
      <c r="E154" s="50">
        <f t="shared" si="6"/>
        <v>-1.5620276126171493</v>
      </c>
      <c r="F154" s="49">
        <f>VLOOKUP($A154,'Data shares'!$C:$FB,98)</f>
        <v>187827150</v>
      </c>
      <c r="G154" s="49">
        <f>VLOOKUP($A154,'Data shares'!$C:$FB,99)</f>
        <v>230606550</v>
      </c>
      <c r="H154" s="50">
        <f t="shared" si="7"/>
        <v>-18.550817398725229</v>
      </c>
      <c r="I154" s="49">
        <f>VLOOKUP($A154,'Data shares'!$C:$FB,66)</f>
        <v>136726800</v>
      </c>
      <c r="J154" s="49">
        <f>VLOOKUP($A154,'Data shares'!$C:$FB,67)</f>
        <v>161572800</v>
      </c>
      <c r="K154" s="50">
        <f t="shared" si="8"/>
        <v>-18.172004318100036</v>
      </c>
      <c r="L154" s="50">
        <f>VLOOKUP($A154,'Data shares'!$C:$FB,118)</f>
        <v>0.69</v>
      </c>
      <c r="M154" s="50">
        <f>VLOOKUP($A154,'Data shares'!$C:$FB,119)</f>
        <v>0.61</v>
      </c>
      <c r="N154" s="50">
        <f>VLOOKUP($A154,'Data shares'!$C:$FB,121)*100</f>
        <v>13.11</v>
      </c>
      <c r="O154" s="50">
        <f>VLOOKUP($A154,'Data shares'!$C:$FB,124)</f>
        <v>0.95</v>
      </c>
      <c r="P154" s="50">
        <f>VLOOKUP($A154,'Data shares'!$C:$FB,125)</f>
        <v>0.67</v>
      </c>
      <c r="Q154" s="50">
        <f>VLOOKUP($A154,'Data shares'!$C:$FB,127)*100</f>
        <v>41.79</v>
      </c>
    </row>
    <row r="155" spans="1:17" x14ac:dyDescent="0.25">
      <c r="A155" s="97" t="str">
        <f>'Data Vlaue (Cr)'!C150</f>
        <v>MPHASIS</v>
      </c>
      <c r="B155" s="140">
        <f>VLOOKUP($A155,'Data shares'!$C:$FB,7)</f>
        <v>2790.2</v>
      </c>
      <c r="C155" s="140">
        <f>VLOOKUP($A155,'Data shares'!$C:$FB,3)</f>
        <v>2799</v>
      </c>
      <c r="D155" s="140">
        <f>VLOOKUP($A155,'Data shares'!$C:$FB,4)</f>
        <v>2819.2</v>
      </c>
      <c r="E155" s="50">
        <f t="shared" si="6"/>
        <v>-0.71651532349602076</v>
      </c>
      <c r="F155" s="49">
        <f>VLOOKUP($A155,'Data shares'!$C:$FB,98)</f>
        <v>4690950</v>
      </c>
      <c r="G155" s="49">
        <f>VLOOKUP($A155,'Data shares'!$C:$FB,99)</f>
        <v>6914600</v>
      </c>
      <c r="H155" s="50">
        <f t="shared" si="7"/>
        <v>-32.158765510658604</v>
      </c>
      <c r="I155" s="49">
        <f>VLOOKUP($A155,'Data shares'!$C:$FB,66)</f>
        <v>5339125</v>
      </c>
      <c r="J155" s="49">
        <f>VLOOKUP($A155,'Data shares'!$C:$FB,67)</f>
        <v>9847200</v>
      </c>
      <c r="K155" s="50">
        <f t="shared" si="8"/>
        <v>-84.43471542621684</v>
      </c>
      <c r="L155" s="50">
        <f>VLOOKUP($A155,'Data shares'!$C:$FB,118)</f>
        <v>0.68</v>
      </c>
      <c r="M155" s="50">
        <f>VLOOKUP($A155,'Data shares'!$C:$FB,119)</f>
        <v>0.84</v>
      </c>
      <c r="N155" s="50">
        <f>VLOOKUP($A155,'Data shares'!$C:$FB,121)*100</f>
        <v>-19.05</v>
      </c>
      <c r="O155" s="50">
        <f>VLOOKUP($A155,'Data shares'!$C:$FB,124)</f>
        <v>0.59</v>
      </c>
      <c r="P155" s="50">
        <f>VLOOKUP($A155,'Data shares'!$C:$FB,125)</f>
        <v>0.39</v>
      </c>
      <c r="Q155" s="50">
        <f>VLOOKUP($A155,'Data shares'!$C:$FB,127)*100</f>
        <v>51.28</v>
      </c>
    </row>
    <row r="156" spans="1:17" x14ac:dyDescent="0.25">
      <c r="A156" s="97" t="str">
        <f>'Data Vlaue (Cr)'!C151</f>
        <v>MUTHOOTFIN</v>
      </c>
      <c r="B156" s="140">
        <f>VLOOKUP($A156,'Data shares'!$C:$FB,7)</f>
        <v>2612.3000000000002</v>
      </c>
      <c r="C156" s="140">
        <f>VLOOKUP($A156,'Data shares'!$C:$FB,3)</f>
        <v>2620</v>
      </c>
      <c r="D156" s="140">
        <f>VLOOKUP($A156,'Data shares'!$C:$FB,4)</f>
        <v>2633.1</v>
      </c>
      <c r="E156" s="50">
        <f t="shared" si="6"/>
        <v>-0.49751243781094179</v>
      </c>
      <c r="F156" s="49">
        <f>VLOOKUP($A156,'Data shares'!$C:$FB,98)</f>
        <v>4923325</v>
      </c>
      <c r="G156" s="49">
        <f>VLOOKUP($A156,'Data shares'!$C:$FB,99)</f>
        <v>8865175</v>
      </c>
      <c r="H156" s="50">
        <f t="shared" si="7"/>
        <v>-44.464435276235378</v>
      </c>
      <c r="I156" s="49">
        <f>VLOOKUP($A156,'Data shares'!$C:$FB,66)</f>
        <v>6226550</v>
      </c>
      <c r="J156" s="49">
        <f>VLOOKUP($A156,'Data shares'!$C:$FB,67)</f>
        <v>5035250</v>
      </c>
      <c r="K156" s="50">
        <f t="shared" si="8"/>
        <v>19.13258546064835</v>
      </c>
      <c r="L156" s="50">
        <f>VLOOKUP($A156,'Data shares'!$C:$FB,118)</f>
        <v>0.26</v>
      </c>
      <c r="M156" s="50">
        <f>VLOOKUP($A156,'Data shares'!$C:$FB,119)</f>
        <v>0.5</v>
      </c>
      <c r="N156" s="50">
        <f>VLOOKUP($A156,'Data shares'!$C:$FB,121)*100</f>
        <v>-48</v>
      </c>
      <c r="O156" s="50">
        <f>VLOOKUP($A156,'Data shares'!$C:$FB,124)</f>
        <v>0.43</v>
      </c>
      <c r="P156" s="50">
        <f>VLOOKUP($A156,'Data shares'!$C:$FB,125)</f>
        <v>0.53</v>
      </c>
      <c r="Q156" s="50">
        <f>VLOOKUP($A156,'Data shares'!$C:$FB,127)*100</f>
        <v>-18.87</v>
      </c>
    </row>
    <row r="157" spans="1:17" x14ac:dyDescent="0.25">
      <c r="A157" s="97" t="str">
        <f>'Data Vlaue (Cr)'!C152</f>
        <v>NATIONALUM</v>
      </c>
      <c r="B157" s="140">
        <f>VLOOKUP($A157,'Data shares'!$C:$FB,7)</f>
        <v>185.06</v>
      </c>
      <c r="C157" s="140">
        <f>VLOOKUP($A157,'Data shares'!$C:$FB,3)</f>
        <v>185.9</v>
      </c>
      <c r="D157" s="140">
        <f>VLOOKUP($A157,'Data shares'!$C:$FB,4)</f>
        <v>187.86</v>
      </c>
      <c r="E157" s="50">
        <f t="shared" si="6"/>
        <v>-1.0433301394655636</v>
      </c>
      <c r="F157" s="49">
        <f>VLOOKUP($A157,'Data shares'!$C:$FB,98)</f>
        <v>90780000</v>
      </c>
      <c r="G157" s="49">
        <f>VLOOKUP($A157,'Data shares'!$C:$FB,99)</f>
        <v>107493750</v>
      </c>
      <c r="H157" s="50">
        <f t="shared" si="7"/>
        <v>-15.548578405721264</v>
      </c>
      <c r="I157" s="49">
        <f>VLOOKUP($A157,'Data shares'!$C:$FB,66)</f>
        <v>96607500</v>
      </c>
      <c r="J157" s="49">
        <f>VLOOKUP($A157,'Data shares'!$C:$FB,67)</f>
        <v>74456250</v>
      </c>
      <c r="K157" s="50">
        <f t="shared" si="8"/>
        <v>22.929120409906062</v>
      </c>
      <c r="L157" s="50">
        <f>VLOOKUP($A157,'Data shares'!$C:$FB,118)</f>
        <v>0.93</v>
      </c>
      <c r="M157" s="50">
        <f>VLOOKUP($A157,'Data shares'!$C:$FB,119)</f>
        <v>0.72</v>
      </c>
      <c r="N157" s="50">
        <f>VLOOKUP($A157,'Data shares'!$C:$FB,121)*100</f>
        <v>29.17</v>
      </c>
      <c r="O157" s="50">
        <f>VLOOKUP($A157,'Data shares'!$C:$FB,124)</f>
        <v>0.81</v>
      </c>
      <c r="P157" s="50">
        <f>VLOOKUP($A157,'Data shares'!$C:$FB,125)</f>
        <v>0.56999999999999995</v>
      </c>
      <c r="Q157" s="50">
        <f>VLOOKUP($A157,'Data shares'!$C:$FB,127)*100</f>
        <v>42.11</v>
      </c>
    </row>
    <row r="158" spans="1:17" x14ac:dyDescent="0.25">
      <c r="A158" s="97" t="str">
        <f>'Data Vlaue (Cr)'!C153</f>
        <v>NAUKRI</v>
      </c>
      <c r="B158" s="140">
        <f>VLOOKUP($A158,'Data shares'!$C:$FB,7)</f>
        <v>1392.3</v>
      </c>
      <c r="C158" s="140">
        <f>VLOOKUP($A158,'Data shares'!$C:$FB,3)</f>
        <v>1399.1</v>
      </c>
      <c r="D158" s="140">
        <f>VLOOKUP($A158,'Data shares'!$C:$FB,4)</f>
        <v>1402.2</v>
      </c>
      <c r="E158" s="50">
        <f t="shared" si="6"/>
        <v>-0.22108115818001259</v>
      </c>
      <c r="F158" s="49">
        <f>VLOOKUP($A158,'Data shares'!$C:$FB,98)</f>
        <v>11896500</v>
      </c>
      <c r="G158" s="49">
        <f>VLOOKUP($A158,'Data shares'!$C:$FB,99)</f>
        <v>15359250</v>
      </c>
      <c r="H158" s="50">
        <f t="shared" si="7"/>
        <v>-22.545046144831289</v>
      </c>
      <c r="I158" s="49">
        <f>VLOOKUP($A158,'Data shares'!$C:$FB,66)</f>
        <v>4625250</v>
      </c>
      <c r="J158" s="49">
        <f>VLOOKUP($A158,'Data shares'!$C:$FB,67)</f>
        <v>14045625</v>
      </c>
      <c r="K158" s="50">
        <f t="shared" si="8"/>
        <v>-203.67277444462459</v>
      </c>
      <c r="L158" s="50">
        <f>VLOOKUP($A158,'Data shares'!$C:$FB,118)</f>
        <v>1.01</v>
      </c>
      <c r="M158" s="50">
        <f>VLOOKUP($A158,'Data shares'!$C:$FB,119)</f>
        <v>0.66</v>
      </c>
      <c r="N158" s="50">
        <f>VLOOKUP($A158,'Data shares'!$C:$FB,121)*100</f>
        <v>53.03</v>
      </c>
      <c r="O158" s="50">
        <f>VLOOKUP($A158,'Data shares'!$C:$FB,124)</f>
        <v>0.61</v>
      </c>
      <c r="P158" s="50">
        <f>VLOOKUP($A158,'Data shares'!$C:$FB,125)</f>
        <v>0.67</v>
      </c>
      <c r="Q158" s="50">
        <f>VLOOKUP($A158,'Data shares'!$C:$FB,127)*100</f>
        <v>-8.9599999999999991</v>
      </c>
    </row>
    <row r="159" spans="1:17" x14ac:dyDescent="0.25">
      <c r="A159" s="97" t="str">
        <f>'Data Vlaue (Cr)'!C154</f>
        <v>NBCC</v>
      </c>
      <c r="B159" s="140">
        <f>VLOOKUP($A159,'Data shares'!$C:$FB,7)</f>
        <v>108.18</v>
      </c>
      <c r="C159" s="140">
        <f>VLOOKUP($A159,'Data shares'!$C:$FB,3)</f>
        <v>108.67</v>
      </c>
      <c r="D159" s="140">
        <f>VLOOKUP($A159,'Data shares'!$C:$FB,4)</f>
        <v>109.24</v>
      </c>
      <c r="E159" s="50">
        <f t="shared" si="6"/>
        <v>-0.52178689124862065</v>
      </c>
      <c r="F159" s="49">
        <f>VLOOKUP($A159,'Data shares'!$C:$FB,98)</f>
        <v>63836500</v>
      </c>
      <c r="G159" s="49">
        <f>VLOOKUP($A159,'Data shares'!$C:$FB,99)</f>
        <v>101497500</v>
      </c>
      <c r="H159" s="50">
        <f t="shared" si="7"/>
        <v>-37.105347422350306</v>
      </c>
      <c r="I159" s="49">
        <f>VLOOKUP($A159,'Data shares'!$C:$FB,66)</f>
        <v>61925500</v>
      </c>
      <c r="J159" s="49">
        <f>VLOOKUP($A159,'Data shares'!$C:$FB,67)</f>
        <v>42120000</v>
      </c>
      <c r="K159" s="50">
        <f t="shared" si="8"/>
        <v>31.982785766768135</v>
      </c>
      <c r="L159" s="50">
        <f>VLOOKUP($A159,'Data shares'!$C:$FB,118)</f>
        <v>0.68</v>
      </c>
      <c r="M159" s="50">
        <f>VLOOKUP($A159,'Data shares'!$C:$FB,119)</f>
        <v>0.46</v>
      </c>
      <c r="N159" s="50">
        <f>VLOOKUP($A159,'Data shares'!$C:$FB,121)*100</f>
        <v>47.83</v>
      </c>
      <c r="O159" s="50">
        <f>VLOOKUP($A159,'Data shares'!$C:$FB,124)</f>
        <v>0.79</v>
      </c>
      <c r="P159" s="50">
        <f>VLOOKUP($A159,'Data shares'!$C:$FB,125)</f>
        <v>0.6</v>
      </c>
      <c r="Q159" s="50">
        <f>VLOOKUP($A159,'Data shares'!$C:$FB,127)*100</f>
        <v>31.669999999999998</v>
      </c>
    </row>
    <row r="160" spans="1:17" x14ac:dyDescent="0.25">
      <c r="A160" s="97" t="str">
        <f>'Data Vlaue (Cr)'!C155</f>
        <v>NCC</v>
      </c>
      <c r="B160" s="140">
        <f>VLOOKUP($A160,'Data shares'!$C:$FB,7)</f>
        <v>217.71</v>
      </c>
      <c r="C160" s="140">
        <f>VLOOKUP($A160,'Data shares'!$C:$FB,3)</f>
        <v>217.26</v>
      </c>
      <c r="D160" s="140">
        <f>VLOOKUP($A160,'Data shares'!$C:$FB,4)</f>
        <v>222.46</v>
      </c>
      <c r="E160" s="50">
        <f t="shared" si="6"/>
        <v>-2.3374988762024711</v>
      </c>
      <c r="F160" s="49">
        <f>VLOOKUP($A160,'Data shares'!$C:$FB,98)</f>
        <v>18227700</v>
      </c>
      <c r="G160" s="49">
        <f>VLOOKUP($A160,'Data shares'!$C:$FB,99)</f>
        <v>28765800</v>
      </c>
      <c r="H160" s="50">
        <f t="shared" si="7"/>
        <v>-36.634128027032098</v>
      </c>
      <c r="I160" s="49">
        <f>VLOOKUP($A160,'Data shares'!$C:$FB,66)</f>
        <v>17034300</v>
      </c>
      <c r="J160" s="49">
        <f>VLOOKUP($A160,'Data shares'!$C:$FB,67)</f>
        <v>21354300</v>
      </c>
      <c r="K160" s="50">
        <f t="shared" si="8"/>
        <v>-25.360595974005388</v>
      </c>
      <c r="L160" s="50">
        <f>VLOOKUP($A160,'Data shares'!$C:$FB,118)</f>
        <v>0.74</v>
      </c>
      <c r="M160" s="50">
        <f>VLOOKUP($A160,'Data shares'!$C:$FB,119)</f>
        <v>0.52</v>
      </c>
      <c r="N160" s="50">
        <f>VLOOKUP($A160,'Data shares'!$C:$FB,121)*100</f>
        <v>42.309999999999995</v>
      </c>
      <c r="O160" s="50">
        <f>VLOOKUP($A160,'Data shares'!$C:$FB,124)</f>
        <v>0.59</v>
      </c>
      <c r="P160" s="50">
        <f>VLOOKUP($A160,'Data shares'!$C:$FB,125)</f>
        <v>0.45</v>
      </c>
      <c r="Q160" s="50">
        <f>VLOOKUP($A160,'Data shares'!$C:$FB,127)*100</f>
        <v>31.11</v>
      </c>
    </row>
    <row r="161" spans="1:17" x14ac:dyDescent="0.25">
      <c r="A161" s="97" t="str">
        <f>'Data Vlaue (Cr)'!C156</f>
        <v>NESTLEIND</v>
      </c>
      <c r="B161" s="140">
        <f>VLOOKUP($A161,'Data shares'!$C:$FB,7)</f>
        <v>2247.6999999999998</v>
      </c>
      <c r="C161" s="140">
        <f>VLOOKUP($A161,'Data shares'!$C:$FB,3)</f>
        <v>2257.8000000000002</v>
      </c>
      <c r="D161" s="140">
        <f>VLOOKUP($A161,'Data shares'!$C:$FB,4)</f>
        <v>2244.6999999999998</v>
      </c>
      <c r="E161" s="50">
        <f t="shared" si="6"/>
        <v>0.58359691718271334</v>
      </c>
      <c r="F161" s="49">
        <f>VLOOKUP($A161,'Data shares'!$C:$FB,98)</f>
        <v>13100250</v>
      </c>
      <c r="G161" s="49">
        <f>VLOOKUP($A161,'Data shares'!$C:$FB,99)</f>
        <v>17412000</v>
      </c>
      <c r="H161" s="50">
        <f t="shared" si="7"/>
        <v>-24.763094417643007</v>
      </c>
      <c r="I161" s="49">
        <f>VLOOKUP($A161,'Data shares'!$C:$FB,66)</f>
        <v>8693250</v>
      </c>
      <c r="J161" s="49">
        <f>VLOOKUP($A161,'Data shares'!$C:$FB,67)</f>
        <v>9592000</v>
      </c>
      <c r="K161" s="50">
        <f t="shared" si="8"/>
        <v>-10.338481005377735</v>
      </c>
      <c r="L161" s="50">
        <f>VLOOKUP($A161,'Data shares'!$C:$FB,118)</f>
        <v>0.91</v>
      </c>
      <c r="M161" s="50">
        <f>VLOOKUP($A161,'Data shares'!$C:$FB,119)</f>
        <v>0.68</v>
      </c>
      <c r="N161" s="50">
        <f>VLOOKUP($A161,'Data shares'!$C:$FB,121)*100</f>
        <v>33.82</v>
      </c>
      <c r="O161" s="50">
        <f>VLOOKUP($A161,'Data shares'!$C:$FB,124)</f>
        <v>0.43</v>
      </c>
      <c r="P161" s="50">
        <f>VLOOKUP($A161,'Data shares'!$C:$FB,125)</f>
        <v>0.31</v>
      </c>
      <c r="Q161" s="50">
        <f>VLOOKUP($A161,'Data shares'!$C:$FB,127)*100</f>
        <v>38.71</v>
      </c>
    </row>
    <row r="162" spans="1:17" x14ac:dyDescent="0.25">
      <c r="A162" s="97" t="str">
        <f>'Data Vlaue (Cr)'!C157</f>
        <v>NHPC</v>
      </c>
      <c r="B162" s="140">
        <f>VLOOKUP($A162,'Data shares'!$C:$FB,7)</f>
        <v>83.25</v>
      </c>
      <c r="C162" s="140">
        <f>VLOOKUP($A162,'Data shares'!$C:$FB,3)</f>
        <v>83.24</v>
      </c>
      <c r="D162" s="140">
        <f>VLOOKUP($A162,'Data shares'!$C:$FB,4)</f>
        <v>84.47</v>
      </c>
      <c r="E162" s="50">
        <f t="shared" si="6"/>
        <v>-1.4561382739434166</v>
      </c>
      <c r="F162" s="49">
        <f>VLOOKUP($A162,'Data shares'!$C:$FB,98)</f>
        <v>62572800</v>
      </c>
      <c r="G162" s="49">
        <f>VLOOKUP($A162,'Data shares'!$C:$FB,99)</f>
        <v>98995200</v>
      </c>
      <c r="H162" s="50">
        <f t="shared" si="7"/>
        <v>-36.792086889061288</v>
      </c>
      <c r="I162" s="49">
        <f>VLOOKUP($A162,'Data shares'!$C:$FB,66)</f>
        <v>42150400</v>
      </c>
      <c r="J162" s="49">
        <f>VLOOKUP($A162,'Data shares'!$C:$FB,67)</f>
        <v>43481600</v>
      </c>
      <c r="K162" s="50">
        <f t="shared" si="8"/>
        <v>-3.15821439416945</v>
      </c>
      <c r="L162" s="50">
        <f>VLOOKUP($A162,'Data shares'!$C:$FB,118)</f>
        <v>0.63</v>
      </c>
      <c r="M162" s="50">
        <f>VLOOKUP($A162,'Data shares'!$C:$FB,119)</f>
        <v>0.48</v>
      </c>
      <c r="N162" s="50">
        <f>VLOOKUP($A162,'Data shares'!$C:$FB,121)*100</f>
        <v>31.25</v>
      </c>
      <c r="O162" s="50">
        <f>VLOOKUP($A162,'Data shares'!$C:$FB,124)</f>
        <v>0.52</v>
      </c>
      <c r="P162" s="50">
        <f>VLOOKUP($A162,'Data shares'!$C:$FB,125)</f>
        <v>0.52</v>
      </c>
      <c r="Q162" s="50">
        <f>VLOOKUP($A162,'Data shares'!$C:$FB,127)*100</f>
        <v>0</v>
      </c>
    </row>
    <row r="163" spans="1:17" x14ac:dyDescent="0.25">
      <c r="A163" s="97" t="str">
        <f>'Data Vlaue (Cr)'!C158</f>
        <v>NIFTY</v>
      </c>
      <c r="B163" s="140">
        <f>VLOOKUP($A163,'Data shares'!$C:$FB,7)</f>
        <v>24768.35</v>
      </c>
      <c r="C163" s="140">
        <f>VLOOKUP($A163,'Data shares'!$C:$FB,3)</f>
        <v>24871.599999999999</v>
      </c>
      <c r="D163" s="140">
        <f>VLOOKUP($A163,'Data shares'!$C:$FB,4)</f>
        <v>24959.1</v>
      </c>
      <c r="E163" s="50">
        <f t="shared" si="6"/>
        <v>-0.35057353830867299</v>
      </c>
      <c r="F163" s="49">
        <f>VLOOKUP($A163,'Data shares'!$C:$FB,98)</f>
        <v>262017225</v>
      </c>
      <c r="G163" s="49">
        <f>VLOOKUP($A163,'Data shares'!$C:$FB,99)</f>
        <v>519553250</v>
      </c>
      <c r="H163" s="50">
        <f t="shared" si="7"/>
        <v>-49.568744878412367</v>
      </c>
      <c r="I163" s="49">
        <f>VLOOKUP($A163,'Data shares'!$C:$FB,66)</f>
        <v>22012720575</v>
      </c>
      <c r="J163" s="49">
        <f>VLOOKUP($A163,'Data shares'!$C:$FB,67)</f>
        <v>7353876150</v>
      </c>
      <c r="K163" s="50">
        <f t="shared" si="8"/>
        <v>66.592606647849578</v>
      </c>
      <c r="L163" s="50">
        <f>VLOOKUP($A163,'Data shares'!$C:$FB,118)</f>
        <v>1.04</v>
      </c>
      <c r="M163" s="50">
        <f>VLOOKUP($A163,'Data shares'!$C:$FB,119)</f>
        <v>0.87</v>
      </c>
      <c r="N163" s="50">
        <f>VLOOKUP($A163,'Data shares'!$C:$FB,121)*100</f>
        <v>19.54</v>
      </c>
      <c r="O163" s="50">
        <f>VLOOKUP($A163,'Data shares'!$C:$FB,124)</f>
        <v>0.93</v>
      </c>
      <c r="P163" s="50">
        <f>VLOOKUP($A163,'Data shares'!$C:$FB,125)</f>
        <v>0.83</v>
      </c>
      <c r="Q163" s="50">
        <f>VLOOKUP($A163,'Data shares'!$C:$FB,127)*100</f>
        <v>12.049999999999999</v>
      </c>
    </row>
    <row r="164" spans="1:17" x14ac:dyDescent="0.25">
      <c r="A164" s="97" t="str">
        <f>'Data Vlaue (Cr)'!C159</f>
        <v>NIFTYNXT50</v>
      </c>
      <c r="B164" s="140">
        <f>VLOOKUP($A164,'Data shares'!$C:$FB,7)</f>
        <v>67096.149999999994</v>
      </c>
      <c r="C164" s="140">
        <f>VLOOKUP($A164,'Data shares'!$C:$FB,3)</f>
        <v>67228.2</v>
      </c>
      <c r="D164" s="140">
        <f>VLOOKUP($A164,'Data shares'!$C:$FB,4)</f>
        <v>67632.2</v>
      </c>
      <c r="E164" s="50">
        <f t="shared" si="6"/>
        <v>-0.59734860022297076</v>
      </c>
      <c r="F164" s="49">
        <f>VLOOKUP($A164,'Data shares'!$C:$FB,98)</f>
        <v>20425</v>
      </c>
      <c r="G164" s="49">
        <f>VLOOKUP($A164,'Data shares'!$C:$FB,99)</f>
        <v>62175</v>
      </c>
      <c r="H164" s="50">
        <f t="shared" si="7"/>
        <v>-67.149175713711301</v>
      </c>
      <c r="I164" s="49">
        <f>VLOOKUP($A164,'Data shares'!$C:$FB,66)</f>
        <v>493175</v>
      </c>
      <c r="J164" s="49">
        <f>VLOOKUP($A164,'Data shares'!$C:$FB,67)</f>
        <v>105075</v>
      </c>
      <c r="K164" s="50">
        <f t="shared" si="8"/>
        <v>78.694175495513761</v>
      </c>
      <c r="L164" s="50">
        <f>VLOOKUP($A164,'Data shares'!$C:$FB,118)</f>
        <v>0</v>
      </c>
      <c r="M164" s="50">
        <f>VLOOKUP($A164,'Data shares'!$C:$FB,119)</f>
        <v>0.54</v>
      </c>
      <c r="N164" s="50">
        <f>VLOOKUP($A164,'Data shares'!$C:$FB,121)*100</f>
        <v>-100</v>
      </c>
      <c r="O164" s="50">
        <f>VLOOKUP($A164,'Data shares'!$C:$FB,124)</f>
        <v>0.75</v>
      </c>
      <c r="P164" s="50">
        <f>VLOOKUP($A164,'Data shares'!$C:$FB,125)</f>
        <v>0.31</v>
      </c>
      <c r="Q164" s="50">
        <f>VLOOKUP($A164,'Data shares'!$C:$FB,127)*100</f>
        <v>141.94</v>
      </c>
    </row>
    <row r="165" spans="1:17" x14ac:dyDescent="0.25">
      <c r="A165" s="97" t="str">
        <f>'Data Vlaue (Cr)'!C160</f>
        <v>NMDC</v>
      </c>
      <c r="B165" s="140">
        <f>VLOOKUP($A165,'Data shares'!$C:$FB,7)</f>
        <v>70.790000000000006</v>
      </c>
      <c r="C165" s="140">
        <f>VLOOKUP($A165,'Data shares'!$C:$FB,3)</f>
        <v>70.040000000000006</v>
      </c>
      <c r="D165" s="140">
        <f>VLOOKUP($A165,'Data shares'!$C:$FB,4)</f>
        <v>71.760000000000005</v>
      </c>
      <c r="E165" s="50">
        <f t="shared" si="6"/>
        <v>-2.3968784838350037</v>
      </c>
      <c r="F165" s="49">
        <f>VLOOKUP($A165,'Data shares'!$C:$FB,98)</f>
        <v>370804500</v>
      </c>
      <c r="G165" s="49">
        <f>VLOOKUP($A165,'Data shares'!$C:$FB,99)</f>
        <v>560763000</v>
      </c>
      <c r="H165" s="50">
        <f t="shared" si="7"/>
        <v>-33.875006018585388</v>
      </c>
      <c r="I165" s="49">
        <f>VLOOKUP($A165,'Data shares'!$C:$FB,66)</f>
        <v>377635500</v>
      </c>
      <c r="J165" s="49">
        <f>VLOOKUP($A165,'Data shares'!$C:$FB,67)</f>
        <v>207643500</v>
      </c>
      <c r="K165" s="50">
        <f t="shared" si="8"/>
        <v>45.014835734458224</v>
      </c>
      <c r="L165" s="50">
        <f>VLOOKUP($A165,'Data shares'!$C:$FB,118)</f>
        <v>0.88</v>
      </c>
      <c r="M165" s="50">
        <f>VLOOKUP($A165,'Data shares'!$C:$FB,119)</f>
        <v>0.86</v>
      </c>
      <c r="N165" s="50">
        <f>VLOOKUP($A165,'Data shares'!$C:$FB,121)*100</f>
        <v>2.33</v>
      </c>
      <c r="O165" s="50">
        <f>VLOOKUP($A165,'Data shares'!$C:$FB,124)</f>
        <v>0.8</v>
      </c>
      <c r="P165" s="50">
        <f>VLOOKUP($A165,'Data shares'!$C:$FB,125)</f>
        <v>0.65</v>
      </c>
      <c r="Q165" s="50">
        <f>VLOOKUP($A165,'Data shares'!$C:$FB,127)*100</f>
        <v>23.080000000000002</v>
      </c>
    </row>
    <row r="166" spans="1:17" x14ac:dyDescent="0.25">
      <c r="A166" s="97" t="str">
        <f>'Data Vlaue (Cr)'!C161</f>
        <v>NTPC</v>
      </c>
      <c r="B166" s="140">
        <f>VLOOKUP($A166,'Data shares'!$C:$FB,7)</f>
        <v>334.25</v>
      </c>
      <c r="C166" s="140">
        <f>VLOOKUP($A166,'Data shares'!$C:$FB,3)</f>
        <v>335.8</v>
      </c>
      <c r="D166" s="140">
        <f>VLOOKUP($A166,'Data shares'!$C:$FB,4)</f>
        <v>340.8</v>
      </c>
      <c r="E166" s="50">
        <f t="shared" si="6"/>
        <v>-1.4671361502347418</v>
      </c>
      <c r="F166" s="49">
        <f>VLOOKUP($A166,'Data shares'!$C:$FB,98)</f>
        <v>124138500</v>
      </c>
      <c r="G166" s="49">
        <f>VLOOKUP($A166,'Data shares'!$C:$FB,99)</f>
        <v>210288000</v>
      </c>
      <c r="H166" s="50">
        <f t="shared" si="7"/>
        <v>-40.967387582743662</v>
      </c>
      <c r="I166" s="49">
        <f>VLOOKUP($A166,'Data shares'!$C:$FB,66)</f>
        <v>70819500</v>
      </c>
      <c r="J166" s="49">
        <f>VLOOKUP($A166,'Data shares'!$C:$FB,67)</f>
        <v>223734000</v>
      </c>
      <c r="K166" s="50">
        <f t="shared" si="8"/>
        <v>-215.92146230910978</v>
      </c>
      <c r="L166" s="50">
        <f>VLOOKUP($A166,'Data shares'!$C:$FB,118)</f>
        <v>0.88</v>
      </c>
      <c r="M166" s="50">
        <f>VLOOKUP($A166,'Data shares'!$C:$FB,119)</f>
        <v>0.31</v>
      </c>
      <c r="N166" s="50">
        <f>VLOOKUP($A166,'Data shares'!$C:$FB,121)*100</f>
        <v>183.87</v>
      </c>
      <c r="O166" s="50">
        <f>VLOOKUP($A166,'Data shares'!$C:$FB,124)</f>
        <v>0.84</v>
      </c>
      <c r="P166" s="50">
        <f>VLOOKUP($A166,'Data shares'!$C:$FB,125)</f>
        <v>0.41</v>
      </c>
      <c r="Q166" s="50">
        <f>VLOOKUP($A166,'Data shares'!$C:$FB,127)*100</f>
        <v>104.88</v>
      </c>
    </row>
    <row r="167" spans="1:17" x14ac:dyDescent="0.25">
      <c r="A167" s="97" t="str">
        <f>'Data Vlaue (Cr)'!C162</f>
        <v>NYKAA</v>
      </c>
      <c r="B167" s="140">
        <f>VLOOKUP($A167,'Data shares'!$C:$FB,7)</f>
        <v>209.62</v>
      </c>
      <c r="C167" s="140">
        <f>VLOOKUP($A167,'Data shares'!$C:$FB,3)</f>
        <v>210.38</v>
      </c>
      <c r="D167" s="140">
        <f>VLOOKUP($A167,'Data shares'!$C:$FB,4)</f>
        <v>212.01</v>
      </c>
      <c r="E167" s="50">
        <f t="shared" si="6"/>
        <v>-0.76883165888401284</v>
      </c>
      <c r="F167" s="49">
        <f>VLOOKUP($A167,'Data shares'!$C:$FB,98)</f>
        <v>52553125</v>
      </c>
      <c r="G167" s="49">
        <f>VLOOKUP($A167,'Data shares'!$C:$FB,99)</f>
        <v>80968750</v>
      </c>
      <c r="H167" s="50">
        <f t="shared" si="7"/>
        <v>-35.094558085681207</v>
      </c>
      <c r="I167" s="49">
        <f>VLOOKUP($A167,'Data shares'!$C:$FB,66)</f>
        <v>42975000</v>
      </c>
      <c r="J167" s="49">
        <f>VLOOKUP($A167,'Data shares'!$C:$FB,67)</f>
        <v>49978125</v>
      </c>
      <c r="K167" s="50">
        <f t="shared" si="8"/>
        <v>-16.295811518324609</v>
      </c>
      <c r="L167" s="50">
        <f>VLOOKUP($A167,'Data shares'!$C:$FB,118)</f>
        <v>0.52</v>
      </c>
      <c r="M167" s="50">
        <f>VLOOKUP($A167,'Data shares'!$C:$FB,119)</f>
        <v>0.59</v>
      </c>
      <c r="N167" s="50">
        <f>VLOOKUP($A167,'Data shares'!$C:$FB,121)*100</f>
        <v>-11.86</v>
      </c>
      <c r="O167" s="50">
        <f>VLOOKUP($A167,'Data shares'!$C:$FB,124)</f>
        <v>0.43</v>
      </c>
      <c r="P167" s="50">
        <f>VLOOKUP($A167,'Data shares'!$C:$FB,125)</f>
        <v>0.35</v>
      </c>
      <c r="Q167" s="50">
        <f>VLOOKUP($A167,'Data shares'!$C:$FB,127)*100</f>
        <v>22.86</v>
      </c>
    </row>
    <row r="168" spans="1:17" x14ac:dyDescent="0.25">
      <c r="A168" s="97" t="str">
        <f>'Data Vlaue (Cr)'!C163</f>
        <v>OBEROIRLTY</v>
      </c>
      <c r="B168" s="140">
        <f>VLOOKUP($A168,'Data shares'!$C:$FB,7)</f>
        <v>1630.1</v>
      </c>
      <c r="C168" s="140">
        <f>VLOOKUP($A168,'Data shares'!$C:$FB,3)</f>
        <v>1639.4</v>
      </c>
      <c r="D168" s="140">
        <f>VLOOKUP($A168,'Data shares'!$C:$FB,4)</f>
        <v>1654.5</v>
      </c>
      <c r="E168" s="50">
        <f t="shared" si="6"/>
        <v>-0.91266243578119721</v>
      </c>
      <c r="F168" s="49">
        <f>VLOOKUP($A168,'Data shares'!$C:$FB,98)</f>
        <v>6419350</v>
      </c>
      <c r="G168" s="49">
        <f>VLOOKUP($A168,'Data shares'!$C:$FB,99)</f>
        <v>10207050</v>
      </c>
      <c r="H168" s="50">
        <f t="shared" si="7"/>
        <v>-37.108665089325513</v>
      </c>
      <c r="I168" s="49">
        <f>VLOOKUP($A168,'Data shares'!$C:$FB,66)</f>
        <v>7773850</v>
      </c>
      <c r="J168" s="49">
        <f>VLOOKUP($A168,'Data shares'!$C:$FB,67)</f>
        <v>6053600</v>
      </c>
      <c r="K168" s="50">
        <f t="shared" si="8"/>
        <v>22.128674980865338</v>
      </c>
      <c r="L168" s="50">
        <f>VLOOKUP($A168,'Data shares'!$C:$FB,118)</f>
        <v>1.01</v>
      </c>
      <c r="M168" s="50">
        <f>VLOOKUP($A168,'Data shares'!$C:$FB,119)</f>
        <v>0.51</v>
      </c>
      <c r="N168" s="50">
        <f>VLOOKUP($A168,'Data shares'!$C:$FB,121)*100</f>
        <v>98.04</v>
      </c>
      <c r="O168" s="50">
        <f>VLOOKUP($A168,'Data shares'!$C:$FB,124)</f>
        <v>0.56000000000000005</v>
      </c>
      <c r="P168" s="50">
        <f>VLOOKUP($A168,'Data shares'!$C:$FB,125)</f>
        <v>0.49</v>
      </c>
      <c r="Q168" s="50">
        <f>VLOOKUP($A168,'Data shares'!$C:$FB,127)*100</f>
        <v>14.29</v>
      </c>
    </row>
    <row r="169" spans="1:17" x14ac:dyDescent="0.25">
      <c r="A169" s="97" t="str">
        <f>'Data Vlaue (Cr)'!C164</f>
        <v>OFSS</v>
      </c>
      <c r="B169" s="140">
        <f>VLOOKUP($A169,'Data shares'!$C:$FB,7)</f>
        <v>8475</v>
      </c>
      <c r="C169" s="140">
        <f>VLOOKUP($A169,'Data shares'!$C:$FB,3)</f>
        <v>8507.5</v>
      </c>
      <c r="D169" s="140">
        <f>VLOOKUP($A169,'Data shares'!$C:$FB,4)</f>
        <v>8579.5</v>
      </c>
      <c r="E169" s="50">
        <f t="shared" si="6"/>
        <v>-0.83920974415758498</v>
      </c>
      <c r="F169" s="49">
        <f>VLOOKUP($A169,'Data shares'!$C:$FB,98)</f>
        <v>1341525</v>
      </c>
      <c r="G169" s="49">
        <f>VLOOKUP($A169,'Data shares'!$C:$FB,99)</f>
        <v>2186850</v>
      </c>
      <c r="H169" s="50">
        <f t="shared" si="7"/>
        <v>-38.654914603196374</v>
      </c>
      <c r="I169" s="49">
        <f>VLOOKUP($A169,'Data shares'!$C:$FB,66)</f>
        <v>1901025</v>
      </c>
      <c r="J169" s="49">
        <f>VLOOKUP($A169,'Data shares'!$C:$FB,67)</f>
        <v>1681500</v>
      </c>
      <c r="K169" s="50">
        <f t="shared" si="8"/>
        <v>11.547717678620744</v>
      </c>
      <c r="L169" s="50">
        <f>VLOOKUP($A169,'Data shares'!$C:$FB,118)</f>
        <v>0.61</v>
      </c>
      <c r="M169" s="50">
        <f>VLOOKUP($A169,'Data shares'!$C:$FB,119)</f>
        <v>0.56999999999999995</v>
      </c>
      <c r="N169" s="50">
        <f>VLOOKUP($A169,'Data shares'!$C:$FB,121)*100</f>
        <v>7.02</v>
      </c>
      <c r="O169" s="50">
        <f>VLOOKUP($A169,'Data shares'!$C:$FB,124)</f>
        <v>0.57999999999999996</v>
      </c>
      <c r="P169" s="50">
        <f>VLOOKUP($A169,'Data shares'!$C:$FB,125)</f>
        <v>0.3</v>
      </c>
      <c r="Q169" s="50">
        <f>VLOOKUP($A169,'Data shares'!$C:$FB,127)*100</f>
        <v>93.33</v>
      </c>
    </row>
    <row r="170" spans="1:17" x14ac:dyDescent="0.25">
      <c r="A170" s="97" t="str">
        <f>'Data Vlaue (Cr)'!C165</f>
        <v>OIL</v>
      </c>
      <c r="B170" s="140">
        <f>VLOOKUP($A170,'Data shares'!$C:$FB,7)</f>
        <v>440</v>
      </c>
      <c r="C170" s="140">
        <f>VLOOKUP($A170,'Data shares'!$C:$FB,3)</f>
        <v>440.8</v>
      </c>
      <c r="D170" s="140">
        <f>VLOOKUP($A170,'Data shares'!$C:$FB,4)</f>
        <v>446.7</v>
      </c>
      <c r="E170" s="50">
        <f t="shared" si="6"/>
        <v>-1.3207969554510808</v>
      </c>
      <c r="F170" s="49">
        <f>VLOOKUP($A170,'Data shares'!$C:$FB,98)</f>
        <v>12538400</v>
      </c>
      <c r="G170" s="49">
        <f>VLOOKUP($A170,'Data shares'!$C:$FB,99)</f>
        <v>23606800</v>
      </c>
      <c r="H170" s="50">
        <f t="shared" si="7"/>
        <v>-46.886490333293793</v>
      </c>
      <c r="I170" s="49">
        <f>VLOOKUP($A170,'Data shares'!$C:$FB,66)</f>
        <v>12307400</v>
      </c>
      <c r="J170" s="49">
        <f>VLOOKUP($A170,'Data shares'!$C:$FB,67)</f>
        <v>22010800</v>
      </c>
      <c r="K170" s="50">
        <f t="shared" si="8"/>
        <v>-78.841997497440559</v>
      </c>
      <c r="L170" s="50">
        <f>VLOOKUP($A170,'Data shares'!$C:$FB,118)</f>
        <v>0.67</v>
      </c>
      <c r="M170" s="50">
        <f>VLOOKUP($A170,'Data shares'!$C:$FB,119)</f>
        <v>0.62</v>
      </c>
      <c r="N170" s="50">
        <f>VLOOKUP($A170,'Data shares'!$C:$FB,121)*100</f>
        <v>8.06</v>
      </c>
      <c r="O170" s="50">
        <f>VLOOKUP($A170,'Data shares'!$C:$FB,124)</f>
        <v>0.45</v>
      </c>
      <c r="P170" s="50">
        <f>VLOOKUP($A170,'Data shares'!$C:$FB,125)</f>
        <v>0.42</v>
      </c>
      <c r="Q170" s="50">
        <f>VLOOKUP($A170,'Data shares'!$C:$FB,127)*100</f>
        <v>7.1400000000000006</v>
      </c>
    </row>
    <row r="171" spans="1:17" x14ac:dyDescent="0.25">
      <c r="A171" s="97" t="str">
        <f>'Data Vlaue (Cr)'!C166</f>
        <v>ONGC</v>
      </c>
      <c r="B171" s="140">
        <f>VLOOKUP($A171,'Data shares'!$C:$FB,7)</f>
        <v>241</v>
      </c>
      <c r="C171" s="140">
        <f>VLOOKUP($A171,'Data shares'!$C:$FB,3)</f>
        <v>240.99</v>
      </c>
      <c r="D171" s="140">
        <f>VLOOKUP($A171,'Data shares'!$C:$FB,4)</f>
        <v>242.65</v>
      </c>
      <c r="E171" s="50">
        <f t="shared" si="6"/>
        <v>-0.6841129198433944</v>
      </c>
      <c r="F171" s="49">
        <f>VLOOKUP($A171,'Data shares'!$C:$FB,98)</f>
        <v>110857500</v>
      </c>
      <c r="G171" s="49">
        <f>VLOOKUP($A171,'Data shares'!$C:$FB,99)</f>
        <v>192267000</v>
      </c>
      <c r="H171" s="50">
        <f t="shared" si="7"/>
        <v>-42.341899545943924</v>
      </c>
      <c r="I171" s="49">
        <f>VLOOKUP($A171,'Data shares'!$C:$FB,66)</f>
        <v>85828500</v>
      </c>
      <c r="J171" s="49">
        <f>VLOOKUP($A171,'Data shares'!$C:$FB,67)</f>
        <v>116064000</v>
      </c>
      <c r="K171" s="50">
        <f t="shared" si="8"/>
        <v>-35.227808944581348</v>
      </c>
      <c r="L171" s="50">
        <f>VLOOKUP($A171,'Data shares'!$C:$FB,118)</f>
        <v>0.9</v>
      </c>
      <c r="M171" s="50">
        <f>VLOOKUP($A171,'Data shares'!$C:$FB,119)</f>
        <v>0.3</v>
      </c>
      <c r="N171" s="50">
        <f>VLOOKUP($A171,'Data shares'!$C:$FB,121)*100</f>
        <v>200</v>
      </c>
      <c r="O171" s="50">
        <f>VLOOKUP($A171,'Data shares'!$C:$FB,124)</f>
        <v>0.63</v>
      </c>
      <c r="P171" s="50">
        <f>VLOOKUP($A171,'Data shares'!$C:$FB,125)</f>
        <v>0.42</v>
      </c>
      <c r="Q171" s="50">
        <f>VLOOKUP($A171,'Data shares'!$C:$FB,127)*100</f>
        <v>50</v>
      </c>
    </row>
    <row r="172" spans="1:17" x14ac:dyDescent="0.25">
      <c r="A172" s="97" t="str">
        <f>'Data Vlaue (Cr)'!C167</f>
        <v>PAGEIND</v>
      </c>
      <c r="B172" s="140">
        <f>VLOOKUP($A172,'Data shares'!$C:$FB,7)</f>
        <v>48805</v>
      </c>
      <c r="C172" s="140">
        <f>VLOOKUP($A172,'Data shares'!$C:$FB,3)</f>
        <v>46140</v>
      </c>
      <c r="D172" s="140">
        <f>VLOOKUP($A172,'Data shares'!$C:$FB,4)</f>
        <v>46875</v>
      </c>
      <c r="E172" s="50">
        <f t="shared" si="6"/>
        <v>-1.5680000000000001</v>
      </c>
      <c r="F172" s="49">
        <f>VLOOKUP($A172,'Data shares'!$C:$FB,98)</f>
        <v>293760</v>
      </c>
      <c r="G172" s="49">
        <f>VLOOKUP($A172,'Data shares'!$C:$FB,99)</f>
        <v>395415</v>
      </c>
      <c r="H172" s="50">
        <f t="shared" si="7"/>
        <v>-25.708432912256747</v>
      </c>
      <c r="I172" s="49">
        <f>VLOOKUP($A172,'Data shares'!$C:$FB,66)</f>
        <v>288750</v>
      </c>
      <c r="J172" s="49">
        <f>VLOOKUP($A172,'Data shares'!$C:$FB,67)</f>
        <v>768945</v>
      </c>
      <c r="K172" s="50">
        <f t="shared" si="8"/>
        <v>-166.30129870129872</v>
      </c>
      <c r="L172" s="50">
        <f>VLOOKUP($A172,'Data shares'!$C:$FB,118)</f>
        <v>0.28999999999999998</v>
      </c>
      <c r="M172" s="50">
        <f>VLOOKUP($A172,'Data shares'!$C:$FB,119)</f>
        <v>0.42</v>
      </c>
      <c r="N172" s="50">
        <f>VLOOKUP($A172,'Data shares'!$C:$FB,121)*100</f>
        <v>-30.95</v>
      </c>
      <c r="O172" s="50">
        <f>VLOOKUP($A172,'Data shares'!$C:$FB,124)</f>
        <v>0.26</v>
      </c>
      <c r="P172" s="50">
        <f>VLOOKUP($A172,'Data shares'!$C:$FB,125)</f>
        <v>0.2</v>
      </c>
      <c r="Q172" s="50">
        <f>VLOOKUP($A172,'Data shares'!$C:$FB,127)*100</f>
        <v>30</v>
      </c>
    </row>
    <row r="173" spans="1:17" x14ac:dyDescent="0.25">
      <c r="A173" s="97" t="str">
        <f>'Data Vlaue (Cr)'!C168</f>
        <v>PATANJALI</v>
      </c>
      <c r="B173" s="140">
        <f>VLOOKUP($A173,'Data shares'!$C:$FB,7)</f>
        <v>1873.7</v>
      </c>
      <c r="C173" s="140">
        <f>VLOOKUP($A173,'Data shares'!$C:$FB,3)</f>
        <v>1881.1</v>
      </c>
      <c r="D173" s="140">
        <f>VLOOKUP($A173,'Data shares'!$C:$FB,4)</f>
        <v>1907.6</v>
      </c>
      <c r="E173" s="50">
        <f t="shared" ref="E173:E182" si="9">(C173-D173)/D173*100</f>
        <v>-1.389180121618788</v>
      </c>
      <c r="F173" s="49">
        <f>VLOOKUP($A173,'Data shares'!$C:$FB,98)</f>
        <v>10991700</v>
      </c>
      <c r="G173" s="49">
        <f>VLOOKUP($A173,'Data shares'!$C:$FB,99)</f>
        <v>16554900</v>
      </c>
      <c r="H173" s="50">
        <f t="shared" ref="H173:H182" si="10">(F173-G173)/G173*100</f>
        <v>-33.604552126560719</v>
      </c>
      <c r="I173" s="49">
        <f>VLOOKUP($A173,'Data shares'!$C:$FB,66)</f>
        <v>12201600</v>
      </c>
      <c r="J173" s="49">
        <f>VLOOKUP($A173,'Data shares'!$C:$FB,67)</f>
        <v>11770800</v>
      </c>
      <c r="K173" s="50">
        <f t="shared" ref="K173:K182" si="11">(I173-J173)/I173*100</f>
        <v>3.5306845003933911</v>
      </c>
      <c r="L173" s="50">
        <f>VLOOKUP($A173,'Data shares'!$C:$FB,118)</f>
        <v>0.56999999999999995</v>
      </c>
      <c r="M173" s="50">
        <f>VLOOKUP($A173,'Data shares'!$C:$FB,119)</f>
        <v>0.57999999999999996</v>
      </c>
      <c r="N173" s="50">
        <f>VLOOKUP($A173,'Data shares'!$C:$FB,121)*100</f>
        <v>-1.72</v>
      </c>
      <c r="O173" s="50">
        <f>VLOOKUP($A173,'Data shares'!$C:$FB,124)</f>
        <v>0.52</v>
      </c>
      <c r="P173" s="50">
        <f>VLOOKUP($A173,'Data shares'!$C:$FB,125)</f>
        <v>0.37</v>
      </c>
      <c r="Q173" s="50">
        <f>VLOOKUP($A173,'Data shares'!$C:$FB,127)*100</f>
        <v>40.54</v>
      </c>
    </row>
    <row r="174" spans="1:17" x14ac:dyDescent="0.25">
      <c r="A174" s="97" t="str">
        <f>'Data Vlaue (Cr)'!C169</f>
        <v>PAYTM</v>
      </c>
      <c r="B174" s="140">
        <f>VLOOKUP($A174,'Data shares'!$C:$FB,7)</f>
        <v>1089.3499999999999</v>
      </c>
      <c r="C174" s="140">
        <f>VLOOKUP($A174,'Data shares'!$C:$FB,3)</f>
        <v>1093.0999999999999</v>
      </c>
      <c r="D174" s="140">
        <f>VLOOKUP($A174,'Data shares'!$C:$FB,4)</f>
        <v>1073.4000000000001</v>
      </c>
      <c r="E174" s="50">
        <f t="shared" si="9"/>
        <v>1.8352897335569047</v>
      </c>
      <c r="F174" s="49">
        <f>VLOOKUP($A174,'Data shares'!$C:$FB,98)</f>
        <v>29793150</v>
      </c>
      <c r="G174" s="49">
        <f>VLOOKUP($A174,'Data shares'!$C:$FB,99)</f>
        <v>44646950</v>
      </c>
      <c r="H174" s="50">
        <f t="shared" si="10"/>
        <v>-33.269461855737063</v>
      </c>
      <c r="I174" s="49">
        <f>VLOOKUP($A174,'Data shares'!$C:$FB,66)</f>
        <v>47114850</v>
      </c>
      <c r="J174" s="49">
        <f>VLOOKUP($A174,'Data shares'!$C:$FB,67)</f>
        <v>41475075</v>
      </c>
      <c r="K174" s="50">
        <f t="shared" si="11"/>
        <v>11.970270519804266</v>
      </c>
      <c r="L174" s="50">
        <f>VLOOKUP($A174,'Data shares'!$C:$FB,118)</f>
        <v>0.7</v>
      </c>
      <c r="M174" s="50">
        <f>VLOOKUP($A174,'Data shares'!$C:$FB,119)</f>
        <v>0.72</v>
      </c>
      <c r="N174" s="50">
        <f>VLOOKUP($A174,'Data shares'!$C:$FB,121)*100</f>
        <v>-2.78</v>
      </c>
      <c r="O174" s="50">
        <f>VLOOKUP($A174,'Data shares'!$C:$FB,124)</f>
        <v>0.43</v>
      </c>
      <c r="P174" s="50">
        <f>VLOOKUP($A174,'Data shares'!$C:$FB,125)</f>
        <v>0.54</v>
      </c>
      <c r="Q174" s="50">
        <f>VLOOKUP($A174,'Data shares'!$C:$FB,127)*100</f>
        <v>-20.369999999999997</v>
      </c>
    </row>
    <row r="175" spans="1:17" x14ac:dyDescent="0.25">
      <c r="A175" s="97" t="str">
        <f>'Data Vlaue (Cr)'!C170</f>
        <v>PEL</v>
      </c>
      <c r="B175" s="140">
        <f>VLOOKUP($A175,'Data shares'!$C:$FB,7)</f>
        <v>1251.8</v>
      </c>
      <c r="C175" s="140">
        <f>VLOOKUP($A175,'Data shares'!$C:$FB,3)</f>
        <v>0</v>
      </c>
      <c r="D175" s="140">
        <f>VLOOKUP($A175,'Data shares'!$C:$FB,4)</f>
        <v>0</v>
      </c>
      <c r="E175" s="50" t="e">
        <f t="shared" si="9"/>
        <v>#DIV/0!</v>
      </c>
      <c r="F175" s="49">
        <f>VLOOKUP($A175,'Data shares'!$C:$FB,98)</f>
        <v>4395000</v>
      </c>
      <c r="G175" s="49">
        <f>VLOOKUP($A175,'Data shares'!$C:$FB,99)</f>
        <v>9282000</v>
      </c>
      <c r="H175" s="50">
        <f t="shared" si="10"/>
        <v>-52.650290885585008</v>
      </c>
      <c r="I175" s="49">
        <f>VLOOKUP($A175,'Data shares'!$C:$FB,66)</f>
        <v>12205500</v>
      </c>
      <c r="J175" s="49">
        <f>VLOOKUP($A175,'Data shares'!$C:$FB,67)</f>
        <v>51736500</v>
      </c>
      <c r="K175" s="50">
        <f t="shared" si="11"/>
        <v>-323.87857932899101</v>
      </c>
      <c r="L175" s="50">
        <f>VLOOKUP($A175,'Data shares'!$C:$FB,118)</f>
        <v>0.59</v>
      </c>
      <c r="M175" s="50">
        <f>VLOOKUP($A175,'Data shares'!$C:$FB,119)</f>
        <v>0.52</v>
      </c>
      <c r="N175" s="50">
        <f>VLOOKUP($A175,'Data shares'!$C:$FB,121)*100</f>
        <v>13.459999999999999</v>
      </c>
      <c r="O175" s="50">
        <f>VLOOKUP($A175,'Data shares'!$C:$FB,124)</f>
        <v>0.33</v>
      </c>
      <c r="P175" s="50">
        <f>VLOOKUP($A175,'Data shares'!$C:$FB,125)</f>
        <v>0.38</v>
      </c>
      <c r="Q175" s="50">
        <f>VLOOKUP($A175,'Data shares'!$C:$FB,127)*100</f>
        <v>-13.16</v>
      </c>
    </row>
    <row r="176" spans="1:17" x14ac:dyDescent="0.25">
      <c r="A176" s="97" t="str">
        <f>'Data Vlaue (Cr)'!C171</f>
        <v>PERSISTENT</v>
      </c>
      <c r="B176" s="140">
        <f>VLOOKUP($A176,'Data shares'!$C:$FB,7)</f>
        <v>5160.5</v>
      </c>
      <c r="C176" s="140">
        <f>VLOOKUP($A176,'Data shares'!$C:$FB,3)</f>
        <v>5177.5</v>
      </c>
      <c r="D176" s="140">
        <f>VLOOKUP($A176,'Data shares'!$C:$FB,4)</f>
        <v>5188</v>
      </c>
      <c r="E176" s="50">
        <f t="shared" si="9"/>
        <v>-0.20239013107170392</v>
      </c>
      <c r="F176" s="49">
        <f>VLOOKUP($A176,'Data shares'!$C:$FB,98)</f>
        <v>4862500</v>
      </c>
      <c r="G176" s="49">
        <f>VLOOKUP($A176,'Data shares'!$C:$FB,99)</f>
        <v>7453400</v>
      </c>
      <c r="H176" s="50">
        <f t="shared" si="10"/>
        <v>-34.761316982853465</v>
      </c>
      <c r="I176" s="49">
        <f>VLOOKUP($A176,'Data shares'!$C:$FB,66)</f>
        <v>5994400</v>
      </c>
      <c r="J176" s="49">
        <f>VLOOKUP($A176,'Data shares'!$C:$FB,67)</f>
        <v>6903900</v>
      </c>
      <c r="K176" s="50">
        <f t="shared" si="11"/>
        <v>-15.172494328039503</v>
      </c>
      <c r="L176" s="50">
        <f>VLOOKUP($A176,'Data shares'!$C:$FB,118)</f>
        <v>0.51</v>
      </c>
      <c r="M176" s="50">
        <f>VLOOKUP($A176,'Data shares'!$C:$FB,119)</f>
        <v>0.47</v>
      </c>
      <c r="N176" s="50">
        <f>VLOOKUP($A176,'Data shares'!$C:$FB,121)*100</f>
        <v>8.51</v>
      </c>
      <c r="O176" s="50">
        <f>VLOOKUP($A176,'Data shares'!$C:$FB,124)</f>
        <v>0.49</v>
      </c>
      <c r="P176" s="50">
        <f>VLOOKUP($A176,'Data shares'!$C:$FB,125)</f>
        <v>0.35</v>
      </c>
      <c r="Q176" s="50">
        <f>VLOOKUP($A176,'Data shares'!$C:$FB,127)*100</f>
        <v>40</v>
      </c>
    </row>
    <row r="177" spans="1:17" x14ac:dyDescent="0.25">
      <c r="A177" s="97" t="str">
        <f>'Data Vlaue (Cr)'!C172</f>
        <v>PETRONET</v>
      </c>
      <c r="B177" s="140">
        <f>VLOOKUP($A177,'Data shares'!$C:$FB,7)</f>
        <v>288.2</v>
      </c>
      <c r="C177" s="140">
        <f>VLOOKUP($A177,'Data shares'!$C:$FB,3)</f>
        <v>289.8</v>
      </c>
      <c r="D177" s="140">
        <f>VLOOKUP($A177,'Data shares'!$C:$FB,4)</f>
        <v>293.89999999999998</v>
      </c>
      <c r="E177" s="50">
        <f t="shared" si="9"/>
        <v>-1.3950323239196891</v>
      </c>
      <c r="F177" s="49">
        <f>VLOOKUP($A177,'Data shares'!$C:$FB,98)</f>
        <v>53964000</v>
      </c>
      <c r="G177" s="49">
        <f>VLOOKUP($A177,'Data shares'!$C:$FB,99)</f>
        <v>64247400</v>
      </c>
      <c r="H177" s="50">
        <f t="shared" si="10"/>
        <v>-16.005939539965819</v>
      </c>
      <c r="I177" s="49">
        <f>VLOOKUP($A177,'Data shares'!$C:$FB,66)</f>
        <v>47451600</v>
      </c>
      <c r="J177" s="49">
        <f>VLOOKUP($A177,'Data shares'!$C:$FB,67)</f>
        <v>36727200</v>
      </c>
      <c r="K177" s="50">
        <f t="shared" si="11"/>
        <v>22.600713147712618</v>
      </c>
      <c r="L177" s="50">
        <f>VLOOKUP($A177,'Data shares'!$C:$FB,118)</f>
        <v>0.8</v>
      </c>
      <c r="M177" s="50">
        <f>VLOOKUP($A177,'Data shares'!$C:$FB,119)</f>
        <v>0.68</v>
      </c>
      <c r="N177" s="50">
        <f>VLOOKUP($A177,'Data shares'!$C:$FB,121)*100</f>
        <v>17.649999999999999</v>
      </c>
      <c r="O177" s="50">
        <f>VLOOKUP($A177,'Data shares'!$C:$FB,124)</f>
        <v>0.75</v>
      </c>
      <c r="P177" s="50">
        <f>VLOOKUP($A177,'Data shares'!$C:$FB,125)</f>
        <v>0.82</v>
      </c>
      <c r="Q177" s="50">
        <f>VLOOKUP($A177,'Data shares'!$C:$FB,127)*100</f>
        <v>-8.5400000000000009</v>
      </c>
    </row>
    <row r="178" spans="1:17" x14ac:dyDescent="0.25">
      <c r="A178" s="97" t="str">
        <f>'Data Vlaue (Cr)'!C173</f>
        <v>PFC</v>
      </c>
      <c r="B178" s="140">
        <f>VLOOKUP($A178,'Data shares'!$C:$FB,7)</f>
        <v>409.95</v>
      </c>
      <c r="C178" s="140">
        <f>VLOOKUP($A178,'Data shares'!$C:$FB,3)</f>
        <v>408.95</v>
      </c>
      <c r="D178" s="140">
        <f>VLOOKUP($A178,'Data shares'!$C:$FB,4)</f>
        <v>410.95</v>
      </c>
      <c r="E178" s="50">
        <f t="shared" si="9"/>
        <v>-0.48667721133957903</v>
      </c>
      <c r="F178" s="49">
        <f>VLOOKUP($A178,'Data shares'!$C:$FB,98)</f>
        <v>73557900</v>
      </c>
      <c r="G178" s="49">
        <f>VLOOKUP($A178,'Data shares'!$C:$FB,99)</f>
        <v>95650100</v>
      </c>
      <c r="H178" s="50">
        <f t="shared" si="10"/>
        <v>-23.096891691697135</v>
      </c>
      <c r="I178" s="49">
        <f>VLOOKUP($A178,'Data shares'!$C:$FB,66)</f>
        <v>67711800</v>
      </c>
      <c r="J178" s="49">
        <f>VLOOKUP($A178,'Data shares'!$C:$FB,67)</f>
        <v>71282900</v>
      </c>
      <c r="K178" s="50">
        <f t="shared" si="11"/>
        <v>-5.2739699727373957</v>
      </c>
      <c r="L178" s="50">
        <f>VLOOKUP($A178,'Data shares'!$C:$FB,118)</f>
        <v>1.04</v>
      </c>
      <c r="M178" s="50">
        <f>VLOOKUP($A178,'Data shares'!$C:$FB,119)</f>
        <v>0.77</v>
      </c>
      <c r="N178" s="50">
        <f>VLOOKUP($A178,'Data shares'!$C:$FB,121)*100</f>
        <v>35.06</v>
      </c>
      <c r="O178" s="50">
        <f>VLOOKUP($A178,'Data shares'!$C:$FB,124)</f>
        <v>0.77</v>
      </c>
      <c r="P178" s="50">
        <f>VLOOKUP($A178,'Data shares'!$C:$FB,125)</f>
        <v>0.76</v>
      </c>
      <c r="Q178" s="50">
        <f>VLOOKUP($A178,'Data shares'!$C:$FB,127)*100</f>
        <v>1.32</v>
      </c>
    </row>
    <row r="179" spans="1:17" x14ac:dyDescent="0.25">
      <c r="A179" s="97" t="str">
        <f>'Data Vlaue (Cr)'!C174</f>
        <v>PGEL</v>
      </c>
      <c r="B179" s="140">
        <f>VLOOKUP($A179,'Data shares'!$C:$FB,7)</f>
        <v>811.65</v>
      </c>
      <c r="C179" s="140">
        <f>VLOOKUP($A179,'Data shares'!$C:$FB,3)</f>
        <v>817.6</v>
      </c>
      <c r="D179" s="140">
        <f>VLOOKUP($A179,'Data shares'!$C:$FB,4)</f>
        <v>810.5</v>
      </c>
      <c r="E179" s="50">
        <f t="shared" si="9"/>
        <v>0.8760024676125876</v>
      </c>
      <c r="F179" s="49">
        <f>VLOOKUP($A179,'Data shares'!$C:$FB,98)</f>
        <v>8029000</v>
      </c>
      <c r="G179" s="49">
        <f>VLOOKUP($A179,'Data shares'!$C:$FB,99)</f>
        <v>9311400</v>
      </c>
      <c r="H179" s="50">
        <f t="shared" si="10"/>
        <v>-13.772365057886033</v>
      </c>
      <c r="I179" s="49">
        <f>VLOOKUP($A179,'Data shares'!$C:$FB,66)</f>
        <v>9907100</v>
      </c>
      <c r="J179" s="49">
        <f>VLOOKUP($A179,'Data shares'!$C:$FB,67)</f>
        <v>7695100</v>
      </c>
      <c r="K179" s="50">
        <f t="shared" si="11"/>
        <v>22.327421748039285</v>
      </c>
      <c r="L179" s="50">
        <f>VLOOKUP($A179,'Data shares'!$C:$FB,118)</f>
        <v>0.42</v>
      </c>
      <c r="M179" s="50">
        <f>VLOOKUP($A179,'Data shares'!$C:$FB,119)</f>
        <v>0.56000000000000005</v>
      </c>
      <c r="N179" s="50">
        <f>VLOOKUP($A179,'Data shares'!$C:$FB,121)*100</f>
        <v>-25</v>
      </c>
      <c r="O179" s="50">
        <f>VLOOKUP($A179,'Data shares'!$C:$FB,124)</f>
        <v>0.25</v>
      </c>
      <c r="P179" s="50">
        <f>VLOOKUP($A179,'Data shares'!$C:$FB,125)</f>
        <v>0.32</v>
      </c>
      <c r="Q179" s="50">
        <f>VLOOKUP($A179,'Data shares'!$C:$FB,127)*100</f>
        <v>-21.88</v>
      </c>
    </row>
    <row r="180" spans="1:17" x14ac:dyDescent="0.25">
      <c r="A180" s="97" t="str">
        <f>'Data Vlaue (Cr)'!C175</f>
        <v>PHOENIXLTD</v>
      </c>
      <c r="B180" s="140">
        <f>VLOOKUP($A180,'Data shares'!$C:$FB,7)</f>
        <v>1484</v>
      </c>
      <c r="C180" s="140">
        <f>VLOOKUP($A180,'Data shares'!$C:$FB,3)</f>
        <v>1490.9</v>
      </c>
      <c r="D180" s="140">
        <f>VLOOKUP($A180,'Data shares'!$C:$FB,4)</f>
        <v>1509.2</v>
      </c>
      <c r="E180" s="50">
        <f t="shared" si="9"/>
        <v>-1.2125629472568218</v>
      </c>
      <c r="F180" s="49">
        <f>VLOOKUP($A180,'Data shares'!$C:$FB,98)</f>
        <v>4481400</v>
      </c>
      <c r="G180" s="49">
        <f>VLOOKUP($A180,'Data shares'!$C:$FB,99)</f>
        <v>6344100</v>
      </c>
      <c r="H180" s="50">
        <f t="shared" si="10"/>
        <v>-29.361138695796097</v>
      </c>
      <c r="I180" s="49">
        <f>VLOOKUP($A180,'Data shares'!$C:$FB,66)</f>
        <v>3197950</v>
      </c>
      <c r="J180" s="49">
        <f>VLOOKUP($A180,'Data shares'!$C:$FB,67)</f>
        <v>3884650</v>
      </c>
      <c r="K180" s="50">
        <f t="shared" si="11"/>
        <v>-21.473131224690817</v>
      </c>
      <c r="L180" s="50">
        <f>VLOOKUP($A180,'Data shares'!$C:$FB,118)</f>
        <v>0.57999999999999996</v>
      </c>
      <c r="M180" s="50">
        <f>VLOOKUP($A180,'Data shares'!$C:$FB,119)</f>
        <v>0.53</v>
      </c>
      <c r="N180" s="50">
        <f>VLOOKUP($A180,'Data shares'!$C:$FB,121)*100</f>
        <v>9.43</v>
      </c>
      <c r="O180" s="50">
        <f>VLOOKUP($A180,'Data shares'!$C:$FB,124)</f>
        <v>0.42</v>
      </c>
      <c r="P180" s="50">
        <f>VLOOKUP($A180,'Data shares'!$C:$FB,125)</f>
        <v>0.24</v>
      </c>
      <c r="Q180" s="50">
        <f>VLOOKUP($A180,'Data shares'!$C:$FB,127)*100</f>
        <v>75</v>
      </c>
    </row>
    <row r="181" spans="1:17" x14ac:dyDescent="0.25">
      <c r="A181" s="97" t="str">
        <f>'Data Vlaue (Cr)'!C176</f>
        <v>PIDILITIND</v>
      </c>
      <c r="B181" s="140">
        <f>VLOOKUP($A181,'Data shares'!$C:$FB,7)</f>
        <v>2869.8</v>
      </c>
      <c r="C181" s="140">
        <f>VLOOKUP($A181,'Data shares'!$C:$FB,3)</f>
        <v>2885.6</v>
      </c>
      <c r="D181" s="140">
        <f>VLOOKUP($A181,'Data shares'!$C:$FB,4)</f>
        <v>2886.7</v>
      </c>
      <c r="E181" s="50">
        <f t="shared" si="9"/>
        <v>-3.8105795545082935E-2</v>
      </c>
      <c r="F181" s="49">
        <f>VLOOKUP($A181,'Data shares'!$C:$FB,98)</f>
        <v>3892250</v>
      </c>
      <c r="G181" s="49">
        <f>VLOOKUP($A181,'Data shares'!$C:$FB,99)</f>
        <v>5103750</v>
      </c>
      <c r="H181" s="50">
        <f t="shared" si="10"/>
        <v>-23.737447954935099</v>
      </c>
      <c r="I181" s="49">
        <f>VLOOKUP($A181,'Data shares'!$C:$FB,66)</f>
        <v>2745750</v>
      </c>
      <c r="J181" s="49">
        <f>VLOOKUP($A181,'Data shares'!$C:$FB,67)</f>
        <v>3145000</v>
      </c>
      <c r="K181" s="50">
        <f t="shared" si="11"/>
        <v>-14.540653737594464</v>
      </c>
      <c r="L181" s="50">
        <f>VLOOKUP($A181,'Data shares'!$C:$FB,118)</f>
        <v>0.77</v>
      </c>
      <c r="M181" s="50">
        <f>VLOOKUP($A181,'Data shares'!$C:$FB,119)</f>
        <v>0.53</v>
      </c>
      <c r="N181" s="50">
        <f>VLOOKUP($A181,'Data shares'!$C:$FB,121)*100</f>
        <v>45.28</v>
      </c>
      <c r="O181" s="50">
        <f>VLOOKUP($A181,'Data shares'!$C:$FB,124)</f>
        <v>0.53</v>
      </c>
      <c r="P181" s="50">
        <f>VLOOKUP($A181,'Data shares'!$C:$FB,125)</f>
        <v>0.31</v>
      </c>
      <c r="Q181" s="50">
        <f>VLOOKUP($A181,'Data shares'!$C:$FB,127)*100</f>
        <v>70.97</v>
      </c>
    </row>
    <row r="182" spans="1:17" x14ac:dyDescent="0.25">
      <c r="A182" s="97" t="str">
        <f>'Data Vlaue (Cr)'!C177</f>
        <v>PIIND</v>
      </c>
      <c r="B182" s="140">
        <f>VLOOKUP($A182,'Data shares'!$C:$FB,7)</f>
        <v>4250.8999999999996</v>
      </c>
      <c r="C182" s="140">
        <f>VLOOKUP($A182,'Data shares'!$C:$FB,3)</f>
        <v>4255</v>
      </c>
      <c r="D182" s="140">
        <f>VLOOKUP($A182,'Data shares'!$C:$FB,4)</f>
        <v>4329.8</v>
      </c>
      <c r="E182" s="50">
        <f t="shared" si="9"/>
        <v>-1.7275624740172797</v>
      </c>
      <c r="F182" s="49">
        <f>VLOOKUP($A182,'Data shares'!$C:$FB,98)</f>
        <v>1926225</v>
      </c>
      <c r="G182" s="49">
        <f>VLOOKUP($A182,'Data shares'!$C:$FB,99)</f>
        <v>2345525</v>
      </c>
      <c r="H182" s="50">
        <f t="shared" si="10"/>
        <v>-17.8765947922107</v>
      </c>
      <c r="I182" s="49">
        <f>VLOOKUP($A182,'Data shares'!$C:$FB,66)</f>
        <v>1969275</v>
      </c>
      <c r="J182" s="49">
        <f>VLOOKUP($A182,'Data shares'!$C:$FB,67)</f>
        <v>4219075</v>
      </c>
      <c r="K182" s="50">
        <f t="shared" si="11"/>
        <v>-114.24509019816938</v>
      </c>
      <c r="L182" s="50">
        <f>VLOOKUP($A182,'Data shares'!$C:$FB,118)</f>
        <v>0.56999999999999995</v>
      </c>
      <c r="M182" s="50">
        <f>VLOOKUP($A182,'Data shares'!$C:$FB,119)</f>
        <v>0.64</v>
      </c>
      <c r="N182" s="50">
        <f>VLOOKUP($A182,'Data shares'!$C:$FB,121)*100</f>
        <v>-10.94</v>
      </c>
      <c r="O182" s="50">
        <f>VLOOKUP($A182,'Data shares'!$C:$FB,124)</f>
        <v>0.28999999999999998</v>
      </c>
      <c r="P182" s="50">
        <f>VLOOKUP($A182,'Data shares'!$C:$FB,125)</f>
        <v>0.17</v>
      </c>
      <c r="Q182" s="50">
        <f>VLOOKUP($A182,'Data shares'!$C:$FB,127)*100</f>
        <v>70.59</v>
      </c>
    </row>
    <row r="183" spans="1:17" x14ac:dyDescent="0.25">
      <c r="A183" s="97" t="str">
        <f>'Data Vlaue (Cr)'!C178</f>
        <v>PNB</v>
      </c>
      <c r="B183" s="140">
        <f>VLOOKUP($A183,'Data shares'!$C:$FB,7)</f>
        <v>105.38</v>
      </c>
      <c r="C183" s="140">
        <f>VLOOKUP($A183,'Data shares'!$C:$FB,3)</f>
        <v>105.72</v>
      </c>
      <c r="D183" s="140">
        <f>VLOOKUP($A183,'Data shares'!$C:$FB,4)</f>
        <v>108.8</v>
      </c>
      <c r="E183" s="50">
        <f>(C183-D183)/D183*100</f>
        <v>-2.8308823529411753</v>
      </c>
      <c r="F183" s="49">
        <f>VLOOKUP($A183,'Data shares'!$C:$FB,98)</f>
        <v>411280000</v>
      </c>
      <c r="G183" s="49">
        <f>VLOOKUP($A183,'Data shares'!$C:$FB,99)</f>
        <v>541984000</v>
      </c>
      <c r="H183" s="50">
        <f>(F183-G183)/G183*100</f>
        <v>-24.115841058038615</v>
      </c>
      <c r="I183" s="49">
        <f>VLOOKUP($A183,'Data shares'!$C:$FB,66)</f>
        <v>805216000</v>
      </c>
      <c r="J183" s="49">
        <f>VLOOKUP($A183,'Data shares'!$C:$FB,67)</f>
        <v>1371376000</v>
      </c>
      <c r="K183" s="50">
        <f>(I183-J183)/I183*100</f>
        <v>-70.311568572904662</v>
      </c>
      <c r="L183" s="50">
        <f>VLOOKUP($A183,'Data shares'!$C:$FB,118)</f>
        <v>0.67</v>
      </c>
      <c r="M183" s="50">
        <f>VLOOKUP($A183,'Data shares'!$C:$FB,119)</f>
        <v>0.66</v>
      </c>
      <c r="N183" s="50">
        <f>VLOOKUP($A183,'Data shares'!$C:$FB,121)*100</f>
        <v>1.52</v>
      </c>
      <c r="O183" s="50">
        <f>VLOOKUP($A183,'Data shares'!$C:$FB,124)</f>
        <v>0.65</v>
      </c>
      <c r="P183" s="50">
        <f>VLOOKUP($A183,'Data shares'!$C:$FB,125)</f>
        <v>0.54</v>
      </c>
      <c r="Q183" s="50">
        <f>VLOOKUP($A183,'Data shares'!$C:$FB,127)*100</f>
        <v>20.369999999999997</v>
      </c>
    </row>
    <row r="184" spans="1:17" x14ac:dyDescent="0.25">
      <c r="A184" s="97" t="str">
        <f>'Data Vlaue (Cr)'!C179</f>
        <v>PNBHOUSING</v>
      </c>
      <c r="B184" s="140">
        <f>VLOOKUP($A184,'Data shares'!$C:$FB,7)</f>
        <v>986.2</v>
      </c>
      <c r="C184" s="140">
        <f>VLOOKUP($A184,'Data shares'!$C:$FB,3)</f>
        <v>986.2</v>
      </c>
      <c r="D184" s="140">
        <f>VLOOKUP($A184,'Data shares'!$C:$FB,4)</f>
        <v>987.1</v>
      </c>
      <c r="E184" s="50">
        <f t="shared" ref="E184:E189" si="12">(C184-D184)/D184*100</f>
        <v>-9.1176172626884544E-2</v>
      </c>
      <c r="F184" s="49">
        <f>VLOOKUP($A184,'Data shares'!$C:$FB,98)</f>
        <v>11120850</v>
      </c>
      <c r="G184" s="49">
        <f>VLOOKUP($A184,'Data shares'!$C:$FB,99)</f>
        <v>16035500</v>
      </c>
      <c r="H184" s="50">
        <f t="shared" ref="H184:H189" si="13">(F184-G184)/G184*100</f>
        <v>-30.64856100526956</v>
      </c>
      <c r="I184" s="49">
        <f>VLOOKUP($A184,'Data shares'!$C:$FB,66)</f>
        <v>7819500</v>
      </c>
      <c r="J184" s="49">
        <f>VLOOKUP($A184,'Data shares'!$C:$FB,67)</f>
        <v>8724300</v>
      </c>
      <c r="K184" s="50">
        <f t="shared" ref="K184:K189" si="14">(I184-J184)/I184*100</f>
        <v>-11.571072319201996</v>
      </c>
      <c r="L184" s="50">
        <f>VLOOKUP($A184,'Data shares'!$C:$FB,118)</f>
        <v>0.88</v>
      </c>
      <c r="M184" s="50">
        <f>VLOOKUP($A184,'Data shares'!$C:$FB,119)</f>
        <v>0.55000000000000004</v>
      </c>
      <c r="N184" s="50">
        <f>VLOOKUP($A184,'Data shares'!$C:$FB,121)*100</f>
        <v>60</v>
      </c>
      <c r="O184" s="50">
        <f>VLOOKUP($A184,'Data shares'!$C:$FB,124)</f>
        <v>0.54</v>
      </c>
      <c r="P184" s="50">
        <f>VLOOKUP($A184,'Data shares'!$C:$FB,125)</f>
        <v>0.41</v>
      </c>
      <c r="Q184" s="50">
        <f>VLOOKUP($A184,'Data shares'!$C:$FB,127)*100</f>
        <v>31.71</v>
      </c>
    </row>
    <row r="185" spans="1:17" x14ac:dyDescent="0.25">
      <c r="A185" s="97" t="str">
        <f>'Data Vlaue (Cr)'!C180</f>
        <v>POLICYBZR</v>
      </c>
      <c r="B185" s="140">
        <f>VLOOKUP($A185,'Data shares'!$C:$FB,7)</f>
        <v>1812.1</v>
      </c>
      <c r="C185" s="140">
        <f>VLOOKUP($A185,'Data shares'!$C:$FB,3)</f>
        <v>1820</v>
      </c>
      <c r="D185" s="140">
        <f>VLOOKUP($A185,'Data shares'!$C:$FB,4)</f>
        <v>1829.2</v>
      </c>
      <c r="E185" s="50">
        <f t="shared" si="12"/>
        <v>-0.50295211021211705</v>
      </c>
      <c r="F185" s="49">
        <f>VLOOKUP($A185,'Data shares'!$C:$FB,98)</f>
        <v>8509200</v>
      </c>
      <c r="G185" s="49">
        <f>VLOOKUP($A185,'Data shares'!$C:$FB,99)</f>
        <v>10936800</v>
      </c>
      <c r="H185" s="50">
        <f t="shared" si="13"/>
        <v>-22.196620583717358</v>
      </c>
      <c r="I185" s="49">
        <f>VLOOKUP($A185,'Data shares'!$C:$FB,66)</f>
        <v>7403900</v>
      </c>
      <c r="J185" s="49">
        <f>VLOOKUP($A185,'Data shares'!$C:$FB,67)</f>
        <v>9013900</v>
      </c>
      <c r="K185" s="50">
        <f t="shared" si="14"/>
        <v>-21.745296397844381</v>
      </c>
      <c r="L185" s="50">
        <f>VLOOKUP($A185,'Data shares'!$C:$FB,118)</f>
        <v>1.27</v>
      </c>
      <c r="M185" s="50">
        <f>VLOOKUP($A185,'Data shares'!$C:$FB,119)</f>
        <v>0.68</v>
      </c>
      <c r="N185" s="50">
        <f>VLOOKUP($A185,'Data shares'!$C:$FB,121)*100</f>
        <v>86.76</v>
      </c>
      <c r="O185" s="50">
        <f>VLOOKUP($A185,'Data shares'!$C:$FB,124)</f>
        <v>0.37</v>
      </c>
      <c r="P185" s="50">
        <f>VLOOKUP($A185,'Data shares'!$C:$FB,125)</f>
        <v>0.25</v>
      </c>
      <c r="Q185" s="50">
        <f>VLOOKUP($A185,'Data shares'!$C:$FB,127)*100</f>
        <v>48</v>
      </c>
    </row>
    <row r="186" spans="1:17" x14ac:dyDescent="0.25">
      <c r="A186" s="97" t="str">
        <f>'Data Vlaue (Cr)'!C181</f>
        <v>POLYCAB</v>
      </c>
      <c r="B186" s="140">
        <f>VLOOKUP($A186,'Data shares'!$C:$FB,7)</f>
        <v>6821</v>
      </c>
      <c r="C186" s="140">
        <f>VLOOKUP($A186,'Data shares'!$C:$FB,3)</f>
        <v>6837</v>
      </c>
      <c r="D186" s="140">
        <f>VLOOKUP($A186,'Data shares'!$C:$FB,4)</f>
        <v>6964.5</v>
      </c>
      <c r="E186" s="50">
        <f t="shared" si="12"/>
        <v>-1.8307129011415033</v>
      </c>
      <c r="F186" s="49">
        <f>VLOOKUP($A186,'Data shares'!$C:$FB,98)</f>
        <v>2675375</v>
      </c>
      <c r="G186" s="49">
        <f>VLOOKUP($A186,'Data shares'!$C:$FB,99)</f>
        <v>4257000</v>
      </c>
      <c r="H186" s="50">
        <f t="shared" si="13"/>
        <v>-37.153511862814184</v>
      </c>
      <c r="I186" s="49">
        <f>VLOOKUP($A186,'Data shares'!$C:$FB,66)</f>
        <v>5136375</v>
      </c>
      <c r="J186" s="49">
        <f>VLOOKUP($A186,'Data shares'!$C:$FB,67)</f>
        <v>3417125</v>
      </c>
      <c r="K186" s="50">
        <f t="shared" si="14"/>
        <v>33.472049840597698</v>
      </c>
      <c r="L186" s="50">
        <f>VLOOKUP($A186,'Data shares'!$C:$FB,118)</f>
        <v>0.57999999999999996</v>
      </c>
      <c r="M186" s="50">
        <f>VLOOKUP($A186,'Data shares'!$C:$FB,119)</f>
        <v>0.77</v>
      </c>
      <c r="N186" s="50">
        <f>VLOOKUP($A186,'Data shares'!$C:$FB,121)*100</f>
        <v>-24.68</v>
      </c>
      <c r="O186" s="50">
        <f>VLOOKUP($A186,'Data shares'!$C:$FB,124)</f>
        <v>0.56999999999999995</v>
      </c>
      <c r="P186" s="50">
        <f>VLOOKUP($A186,'Data shares'!$C:$FB,125)</f>
        <v>0.71</v>
      </c>
      <c r="Q186" s="50">
        <f>VLOOKUP($A186,'Data shares'!$C:$FB,127)*100</f>
        <v>-19.72</v>
      </c>
    </row>
    <row r="187" spans="1:17" x14ac:dyDescent="0.25">
      <c r="A187" s="97" t="str">
        <f>'Data Vlaue (Cr)'!C182</f>
        <v>POONAWALLA</v>
      </c>
      <c r="B187" s="140">
        <f>VLOOKUP($A187,'Data shares'!$C:$FB,7)</f>
        <v>422.25</v>
      </c>
      <c r="C187" s="140">
        <f>VLOOKUP($A187,'Data shares'!$C:$FB,3)</f>
        <v>423.95</v>
      </c>
      <c r="D187" s="140">
        <f>VLOOKUP($A187,'Data shares'!$C:$FB,4)</f>
        <v>416.6</v>
      </c>
      <c r="E187" s="50">
        <f t="shared" si="12"/>
        <v>1.7642822851656181</v>
      </c>
      <c r="F187" s="49">
        <f>VLOOKUP($A187,'Data shares'!$C:$FB,98)</f>
        <v>15558400</v>
      </c>
      <c r="G187" s="49">
        <f>VLOOKUP($A187,'Data shares'!$C:$FB,99)</f>
        <v>28201300</v>
      </c>
      <c r="H187" s="50">
        <f t="shared" si="13"/>
        <v>-44.830912050153714</v>
      </c>
      <c r="I187" s="49">
        <f>VLOOKUP($A187,'Data shares'!$C:$FB,66)</f>
        <v>21226200</v>
      </c>
      <c r="J187" s="49">
        <f>VLOOKUP($A187,'Data shares'!$C:$FB,67)</f>
        <v>30030500</v>
      </c>
      <c r="K187" s="50">
        <f t="shared" si="14"/>
        <v>-41.47845587057504</v>
      </c>
      <c r="L187" s="50">
        <f>VLOOKUP($A187,'Data shares'!$C:$FB,118)</f>
        <v>0.66</v>
      </c>
      <c r="M187" s="50">
        <f>VLOOKUP($A187,'Data shares'!$C:$FB,119)</f>
        <v>0.53</v>
      </c>
      <c r="N187" s="50">
        <f>VLOOKUP($A187,'Data shares'!$C:$FB,121)*100</f>
        <v>24.529999999999998</v>
      </c>
      <c r="O187" s="50">
        <f>VLOOKUP($A187,'Data shares'!$C:$FB,124)</f>
        <v>0.46</v>
      </c>
      <c r="P187" s="50">
        <f>VLOOKUP($A187,'Data shares'!$C:$FB,125)</f>
        <v>0.49</v>
      </c>
      <c r="Q187" s="50">
        <f>VLOOKUP($A187,'Data shares'!$C:$FB,127)*100</f>
        <v>-6.12</v>
      </c>
    </row>
    <row r="188" spans="1:17" x14ac:dyDescent="0.25">
      <c r="A188" s="97" t="str">
        <f>'Data Vlaue (Cr)'!C183</f>
        <v>POWERGRID</v>
      </c>
      <c r="B188" s="140">
        <f>VLOOKUP($A188,'Data shares'!$C:$FB,7)</f>
        <v>291</v>
      </c>
      <c r="C188" s="140">
        <f>VLOOKUP($A188,'Data shares'!$C:$FB,3)</f>
        <v>291.89999999999998</v>
      </c>
      <c r="D188" s="140">
        <f>VLOOKUP($A188,'Data shares'!$C:$FB,4)</f>
        <v>289.45</v>
      </c>
      <c r="E188" s="50">
        <f t="shared" si="12"/>
        <v>0.84643288996372035</v>
      </c>
      <c r="F188" s="49">
        <f>VLOOKUP($A188,'Data shares'!$C:$FB,98)</f>
        <v>88403200</v>
      </c>
      <c r="G188" s="49">
        <f>VLOOKUP($A188,'Data shares'!$C:$FB,99)</f>
        <v>123904700</v>
      </c>
      <c r="H188" s="50">
        <f t="shared" si="13"/>
        <v>-28.65226258568077</v>
      </c>
      <c r="I188" s="49">
        <f>VLOOKUP($A188,'Data shares'!$C:$FB,66)</f>
        <v>77428800</v>
      </c>
      <c r="J188" s="49">
        <f>VLOOKUP($A188,'Data shares'!$C:$FB,67)</f>
        <v>123885700</v>
      </c>
      <c r="K188" s="50">
        <f t="shared" si="14"/>
        <v>-59.999509226541022</v>
      </c>
      <c r="L188" s="50">
        <f>VLOOKUP($A188,'Data shares'!$C:$FB,118)</f>
        <v>1.1100000000000001</v>
      </c>
      <c r="M188" s="50">
        <f>VLOOKUP($A188,'Data shares'!$C:$FB,119)</f>
        <v>0.65</v>
      </c>
      <c r="N188" s="50">
        <f>VLOOKUP($A188,'Data shares'!$C:$FB,121)*100</f>
        <v>70.77</v>
      </c>
      <c r="O188" s="50">
        <f>VLOOKUP($A188,'Data shares'!$C:$FB,124)</f>
        <v>0.72</v>
      </c>
      <c r="P188" s="50">
        <f>VLOOKUP($A188,'Data shares'!$C:$FB,125)</f>
        <v>0.88</v>
      </c>
      <c r="Q188" s="50">
        <f>VLOOKUP($A188,'Data shares'!$C:$FB,127)*100</f>
        <v>-18.18</v>
      </c>
    </row>
    <row r="189" spans="1:17" x14ac:dyDescent="0.25">
      <c r="A189" s="97" t="str">
        <f>'Data Vlaue (Cr)'!C231</f>
        <v>ZYDUSLIFE</v>
      </c>
      <c r="B189" s="140">
        <f>VLOOKUP($A189,'Data shares'!$C:$FB,7)</f>
        <v>969.8</v>
      </c>
      <c r="C189" s="140">
        <f>VLOOKUP($A189,'Data shares'!$C:$FB,3)</f>
        <v>972.8</v>
      </c>
      <c r="D189" s="140">
        <f>VLOOKUP($A189,'Data shares'!$C:$FB,4)</f>
        <v>999.85</v>
      </c>
      <c r="E189" s="50">
        <f t="shared" si="12"/>
        <v>-2.7054058108716377</v>
      </c>
      <c r="F189" s="49">
        <f>VLOOKUP($A189,'Data shares'!$C:$FB,98)</f>
        <v>10848600</v>
      </c>
      <c r="G189" s="49">
        <f>VLOOKUP($A189,'Data shares'!$C:$FB,99)</f>
        <v>15177600</v>
      </c>
      <c r="H189" s="50">
        <f t="shared" si="13"/>
        <v>-28.522296015180267</v>
      </c>
      <c r="I189" s="49">
        <f>VLOOKUP($A189,'Data shares'!$C:$FB,66)</f>
        <v>12847500</v>
      </c>
      <c r="J189" s="49">
        <f>VLOOKUP($A189,'Data shares'!$C:$FB,67)</f>
        <v>8752500</v>
      </c>
      <c r="K189" s="50">
        <f t="shared" si="14"/>
        <v>31.873905429071804</v>
      </c>
      <c r="L189" s="50">
        <f>VLOOKUP($A189,'Data shares'!$C:$FB,118)</f>
        <v>0.78</v>
      </c>
      <c r="M189" s="50">
        <f>VLOOKUP($A189,'Data shares'!$C:$FB,119)</f>
        <v>0.77</v>
      </c>
      <c r="N189" s="50">
        <f>VLOOKUP($A189,'Data shares'!$C:$FB,121)*100</f>
        <v>1.3</v>
      </c>
      <c r="O189" s="50">
        <f>VLOOKUP($A189,'Data shares'!$C:$FB,124)</f>
        <v>1.24</v>
      </c>
      <c r="P189" s="50">
        <f>VLOOKUP($A189,'Data shares'!$C:$FB,125)</f>
        <v>0.44</v>
      </c>
      <c r="Q189" s="50">
        <f>VLOOKUP($A189,'Data shares'!$C:$FB,127)*100</f>
        <v>181.82</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57" t="s">
        <v>391</v>
      </c>
      <c r="B231" s="257"/>
      <c r="C231" s="257"/>
      <c r="D231" s="257"/>
      <c r="E231" s="257"/>
      <c r="F231" s="113">
        <f>SUM(F7:F172)</f>
        <v>13928017802</v>
      </c>
      <c r="G231" s="113">
        <f>SUM(G7:G172)</f>
        <v>18848153582</v>
      </c>
      <c r="H231" s="114">
        <f>(F231-G231)/G231*100</f>
        <v>-26.104073052008303</v>
      </c>
      <c r="I231" s="113">
        <f>SUM(I7:I172)</f>
        <v>37298345586</v>
      </c>
      <c r="J231" s="113">
        <f>SUM(J7:J172)</f>
        <v>19680969344</v>
      </c>
      <c r="K231" s="114">
        <f>(I231-J231)/J231*100</f>
        <v>89.514779145626207</v>
      </c>
      <c r="L231" s="113"/>
      <c r="M231" s="113"/>
      <c r="N231" s="113"/>
      <c r="O231" s="113"/>
      <c r="P231" s="257"/>
      <c r="Q231" s="257"/>
    </row>
    <row r="232" spans="1:17" s="64" customFormat="1" x14ac:dyDescent="0.25">
      <c r="A232" s="257" t="s">
        <v>398</v>
      </c>
      <c r="B232" s="257"/>
      <c r="C232" s="257"/>
      <c r="D232" s="257"/>
      <c r="E232" s="257"/>
      <c r="F232" s="113">
        <f>F231/10000000</f>
        <v>1392.8017801999999</v>
      </c>
      <c r="G232" s="113">
        <f>G231/10000000</f>
        <v>1884.8153582</v>
      </c>
      <c r="H232" s="114">
        <f>(F232-G232)/G232*100</f>
        <v>-26.10407305200831</v>
      </c>
      <c r="I232" s="113">
        <f>I231/10000000</f>
        <v>3729.8345586</v>
      </c>
      <c r="J232" s="113">
        <f>J231/10000000</f>
        <v>1968.0969344</v>
      </c>
      <c r="K232" s="114">
        <f>(I232-J232)/J232*100</f>
        <v>89.514779145626207</v>
      </c>
      <c r="L232" s="113"/>
      <c r="M232" s="113"/>
      <c r="N232" s="113"/>
      <c r="O232" s="113"/>
      <c r="P232" s="257"/>
      <c r="Q232" s="257"/>
    </row>
  </sheetData>
  <mergeCells count="15">
    <mergeCell ref="A3:Q3"/>
    <mergeCell ref="A4:A5"/>
    <mergeCell ref="B4:E4"/>
    <mergeCell ref="F4:H4"/>
    <mergeCell ref="I4:K4"/>
    <mergeCell ref="L4:Q4"/>
    <mergeCell ref="A232:E232"/>
    <mergeCell ref="P231:Q231"/>
    <mergeCell ref="P232:Q232"/>
    <mergeCell ref="A231:E231"/>
    <mergeCell ref="O5:Q5"/>
    <mergeCell ref="C5:E5"/>
    <mergeCell ref="F5:H5"/>
    <mergeCell ref="I5:K5"/>
    <mergeCell ref="L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L3" sqref="L3:L4"/>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(Value)'!H167</f>
        <v>651679</v>
      </c>
      <c r="C3" s="159">
        <f>'OI(Volume)'!G163</f>
        <v>-0.1918</v>
      </c>
      <c r="D3" s="153">
        <f>'Snapshot (Value)'!P167</f>
        <v>1.04</v>
      </c>
      <c r="E3" s="153">
        <f>'Snapshot (Value)'!R167</f>
        <v>0.93</v>
      </c>
      <c r="F3" s="153">
        <f>IV!E163</f>
        <v>16.23</v>
      </c>
      <c r="G3" s="153">
        <f>IV!B163</f>
        <v>12.44</v>
      </c>
      <c r="H3" s="153">
        <f>'Snapshot (Value)'!C167</f>
        <v>24768.35</v>
      </c>
      <c r="I3" s="153">
        <f>'Snapshot (Value)'!D167</f>
        <v>24871.599999999999</v>
      </c>
      <c r="J3" s="153">
        <f>'Snapshot (Value)'!E167</f>
        <v>24959.1</v>
      </c>
      <c r="K3" s="153">
        <f>(I3-H3)</f>
        <v>103.25</v>
      </c>
      <c r="L3" s="232">
        <f>'Data Vlaue (Cr)'!R158</f>
        <v>24871.599999999999</v>
      </c>
    </row>
    <row r="4" spans="1:12" x14ac:dyDescent="0.25">
      <c r="A4" t="s">
        <v>464</v>
      </c>
      <c r="B4" s="154">
        <f>'Snapshot (Value)'!H41</f>
        <v>117089</v>
      </c>
      <c r="C4" s="159">
        <f>'OI(Volume)'!G37</f>
        <v>-0.25240000000000001</v>
      </c>
      <c r="D4" s="153">
        <f>'Snapshot (Value)'!P41</f>
        <v>0.97</v>
      </c>
      <c r="E4" s="153">
        <f>'Snapshot (Value)'!R39</f>
        <v>0.8</v>
      </c>
      <c r="F4" s="153">
        <f>IV!E37</f>
        <v>18.63</v>
      </c>
      <c r="G4" s="153">
        <f>IV!B37</f>
        <v>11.72</v>
      </c>
      <c r="H4" s="153">
        <f>'Snapshot (Value)'!C41</f>
        <v>55961.95</v>
      </c>
      <c r="I4" s="153">
        <f>'Snapshot (Value)'!D41</f>
        <v>56194</v>
      </c>
      <c r="J4" s="153">
        <f>'Snapshot (Value)'!E41</f>
        <v>56359.8</v>
      </c>
      <c r="K4" s="153">
        <f>(I4-H4)</f>
        <v>232.05000000000291</v>
      </c>
      <c r="L4" s="232">
        <f>'Data Vlaue (Cr)'!R32</f>
        <v>56194</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Q8" sqref="Q8"/>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39" t="s">
        <v>393</v>
      </c>
      <c r="B1" s="336" t="s">
        <v>633</v>
      </c>
      <c r="C1" s="337"/>
      <c r="D1" s="338"/>
      <c r="E1" s="333" t="s">
        <v>634</v>
      </c>
      <c r="F1" s="334"/>
      <c r="G1" s="335"/>
      <c r="H1" s="330" t="s">
        <v>635</v>
      </c>
      <c r="I1" s="331"/>
      <c r="J1" s="332"/>
      <c r="K1" s="327" t="s">
        <v>636</v>
      </c>
      <c r="L1" s="328"/>
      <c r="M1" s="329"/>
    </row>
    <row r="2" spans="1:13" ht="26.25" thickBot="1" x14ac:dyDescent="0.25">
      <c r="A2" s="340"/>
      <c r="B2" s="201" t="s">
        <v>637</v>
      </c>
      <c r="C2" s="201" t="s">
        <v>638</v>
      </c>
      <c r="D2" s="201" t="s">
        <v>369</v>
      </c>
      <c r="E2" s="202" t="s">
        <v>637</v>
      </c>
      <c r="F2" s="202" t="s">
        <v>638</v>
      </c>
      <c r="G2" s="202" t="s">
        <v>369</v>
      </c>
      <c r="H2" s="203" t="s">
        <v>637</v>
      </c>
      <c r="I2" s="203" t="s">
        <v>638</v>
      </c>
      <c r="J2" s="203" t="s">
        <v>369</v>
      </c>
      <c r="K2" s="204" t="s">
        <v>637</v>
      </c>
      <c r="L2" s="204" t="s">
        <v>638</v>
      </c>
      <c r="M2" s="204" t="s">
        <v>369</v>
      </c>
    </row>
    <row r="3" spans="1:13" x14ac:dyDescent="0.2">
      <c r="A3" s="205" t="s">
        <v>639</v>
      </c>
      <c r="B3" s="206">
        <v>219278</v>
      </c>
      <c r="C3" s="206">
        <v>184815</v>
      </c>
      <c r="D3" s="207">
        <v>-34463</v>
      </c>
      <c r="E3" s="206">
        <v>60374</v>
      </c>
      <c r="F3" s="206">
        <v>62595</v>
      </c>
      <c r="G3" s="207">
        <v>2221</v>
      </c>
      <c r="H3" s="206">
        <v>33838</v>
      </c>
      <c r="I3" s="206">
        <v>16338</v>
      </c>
      <c r="J3" s="207">
        <v>-17500</v>
      </c>
      <c r="K3" s="206">
        <v>53561</v>
      </c>
      <c r="L3" s="206">
        <v>29278</v>
      </c>
      <c r="M3" s="207">
        <v>-24283</v>
      </c>
    </row>
    <row r="4" spans="1:13" x14ac:dyDescent="0.2">
      <c r="A4" s="208" t="s">
        <v>640</v>
      </c>
      <c r="B4" s="206">
        <v>86237</v>
      </c>
      <c r="C4" s="206">
        <v>80838</v>
      </c>
      <c r="D4" s="207">
        <v>-5399</v>
      </c>
      <c r="E4" s="206">
        <v>34515</v>
      </c>
      <c r="F4" s="206">
        <v>32404</v>
      </c>
      <c r="G4" s="207">
        <v>-2111</v>
      </c>
      <c r="H4" s="206">
        <v>206851</v>
      </c>
      <c r="I4" s="206">
        <v>153998</v>
      </c>
      <c r="J4" s="207">
        <v>-52853</v>
      </c>
      <c r="K4" s="206">
        <v>39448</v>
      </c>
      <c r="L4" s="206">
        <v>25786</v>
      </c>
      <c r="M4" s="207">
        <v>-13662</v>
      </c>
    </row>
    <row r="5" spans="1:13" ht="13.5" thickBot="1" x14ac:dyDescent="0.25">
      <c r="A5" s="205" t="s">
        <v>641</v>
      </c>
      <c r="B5" s="206">
        <v>133041</v>
      </c>
      <c r="C5" s="206">
        <v>103977</v>
      </c>
      <c r="D5" s="209">
        <v>-29064</v>
      </c>
      <c r="E5" s="206">
        <v>25859</v>
      </c>
      <c r="F5" s="206">
        <v>30191</v>
      </c>
      <c r="G5" s="209">
        <v>4332</v>
      </c>
      <c r="H5" s="210">
        <v>-173013</v>
      </c>
      <c r="I5" s="210">
        <v>-137660</v>
      </c>
      <c r="J5" s="209">
        <v>35353</v>
      </c>
      <c r="K5" s="210">
        <v>14113</v>
      </c>
      <c r="L5" s="210">
        <v>3492</v>
      </c>
      <c r="M5" s="209">
        <v>-10621</v>
      </c>
    </row>
    <row r="6" spans="1:13" ht="13.5" customHeight="1" thickBot="1" x14ac:dyDescent="0.25">
      <c r="A6" s="339" t="s">
        <v>642</v>
      </c>
      <c r="B6" s="336" t="s">
        <v>633</v>
      </c>
      <c r="C6" s="337"/>
      <c r="D6" s="338"/>
      <c r="E6" s="333" t="s">
        <v>634</v>
      </c>
      <c r="F6" s="334"/>
      <c r="G6" s="335"/>
      <c r="H6" s="330" t="s">
        <v>635</v>
      </c>
      <c r="I6" s="331"/>
      <c r="J6" s="332"/>
      <c r="K6" s="327" t="s">
        <v>636</v>
      </c>
      <c r="L6" s="328"/>
      <c r="M6" s="329"/>
    </row>
    <row r="7" spans="1:13" ht="26.25" thickBot="1" x14ac:dyDescent="0.25">
      <c r="A7" s="340"/>
      <c r="B7" s="201" t="s">
        <v>637</v>
      </c>
      <c r="C7" s="201" t="s">
        <v>638</v>
      </c>
      <c r="D7" s="201" t="s">
        <v>369</v>
      </c>
      <c r="E7" s="202" t="s">
        <v>637</v>
      </c>
      <c r="F7" s="202" t="s">
        <v>638</v>
      </c>
      <c r="G7" s="202" t="s">
        <v>369</v>
      </c>
      <c r="H7" s="203" t="s">
        <v>637</v>
      </c>
      <c r="I7" s="203" t="s">
        <v>638</v>
      </c>
      <c r="J7" s="203" t="s">
        <v>369</v>
      </c>
      <c r="K7" s="204" t="s">
        <v>637</v>
      </c>
      <c r="L7" s="204" t="s">
        <v>638</v>
      </c>
      <c r="M7" s="204" t="s">
        <v>369</v>
      </c>
    </row>
    <row r="8" spans="1:13" x14ac:dyDescent="0.2">
      <c r="A8" s="205" t="s">
        <v>639</v>
      </c>
      <c r="B8" s="206">
        <v>3005821</v>
      </c>
      <c r="C8" s="206">
        <v>1235920</v>
      </c>
      <c r="D8" s="207">
        <v>-1769901</v>
      </c>
      <c r="E8" s="206">
        <v>1570</v>
      </c>
      <c r="F8" s="206">
        <v>70</v>
      </c>
      <c r="G8" s="207">
        <v>-1500</v>
      </c>
      <c r="H8" s="206">
        <v>455868</v>
      </c>
      <c r="I8" s="206">
        <v>187052</v>
      </c>
      <c r="J8" s="207">
        <v>-268816</v>
      </c>
      <c r="K8" s="206">
        <v>1285030</v>
      </c>
      <c r="L8" s="206">
        <v>466286</v>
      </c>
      <c r="M8" s="207">
        <v>-818744</v>
      </c>
    </row>
    <row r="9" spans="1:13" x14ac:dyDescent="0.2">
      <c r="A9" s="208" t="s">
        <v>640</v>
      </c>
      <c r="B9" s="206">
        <v>3011218</v>
      </c>
      <c r="C9" s="206">
        <v>1243657</v>
      </c>
      <c r="D9" s="207">
        <v>-1767561</v>
      </c>
      <c r="E9" s="206">
        <v>0</v>
      </c>
      <c r="F9" s="206">
        <v>0</v>
      </c>
      <c r="G9" s="207">
        <v>0</v>
      </c>
      <c r="H9" s="206">
        <v>506257</v>
      </c>
      <c r="I9" s="206">
        <v>224542</v>
      </c>
      <c r="J9" s="207">
        <v>-281715</v>
      </c>
      <c r="K9" s="206">
        <v>1230814</v>
      </c>
      <c r="L9" s="206">
        <v>421130</v>
      </c>
      <c r="M9" s="207">
        <v>-809684</v>
      </c>
    </row>
    <row r="10" spans="1:13" ht="13.5" thickBot="1" x14ac:dyDescent="0.25">
      <c r="A10" s="205" t="s">
        <v>641</v>
      </c>
      <c r="B10" s="206">
        <v>-5397</v>
      </c>
      <c r="C10" s="206">
        <v>-7737</v>
      </c>
      <c r="D10" s="209">
        <v>-2340</v>
      </c>
      <c r="E10" s="206">
        <v>1570</v>
      </c>
      <c r="F10" s="206">
        <v>70</v>
      </c>
      <c r="G10" s="209">
        <v>-1500</v>
      </c>
      <c r="H10" s="206">
        <v>-50389</v>
      </c>
      <c r="I10" s="206">
        <v>-37490</v>
      </c>
      <c r="J10" s="209">
        <v>12899</v>
      </c>
      <c r="K10" s="210">
        <v>54216</v>
      </c>
      <c r="L10" s="210">
        <v>45156</v>
      </c>
      <c r="M10" s="209">
        <v>-9060</v>
      </c>
    </row>
    <row r="11" spans="1:13" ht="13.5" customHeight="1" thickBot="1" x14ac:dyDescent="0.25">
      <c r="A11" s="339" t="s">
        <v>643</v>
      </c>
      <c r="B11" s="336" t="s">
        <v>633</v>
      </c>
      <c r="C11" s="337"/>
      <c r="D11" s="338"/>
      <c r="E11" s="333" t="s">
        <v>634</v>
      </c>
      <c r="F11" s="334"/>
      <c r="G11" s="335"/>
      <c r="H11" s="330" t="s">
        <v>635</v>
      </c>
      <c r="I11" s="331"/>
      <c r="J11" s="332"/>
      <c r="K11" s="327" t="s">
        <v>636</v>
      </c>
      <c r="L11" s="328"/>
      <c r="M11" s="329"/>
    </row>
    <row r="12" spans="1:13" ht="26.25" thickBot="1" x14ac:dyDescent="0.25">
      <c r="A12" s="340"/>
      <c r="B12" s="201" t="s">
        <v>637</v>
      </c>
      <c r="C12" s="201" t="s">
        <v>638</v>
      </c>
      <c r="D12" s="201" t="s">
        <v>369</v>
      </c>
      <c r="E12" s="202" t="s">
        <v>637</v>
      </c>
      <c r="F12" s="202" t="s">
        <v>638</v>
      </c>
      <c r="G12" s="202" t="s">
        <v>369</v>
      </c>
      <c r="H12" s="203" t="s">
        <v>637</v>
      </c>
      <c r="I12" s="203" t="s">
        <v>638</v>
      </c>
      <c r="J12" s="203" t="s">
        <v>369</v>
      </c>
      <c r="K12" s="204" t="s">
        <v>637</v>
      </c>
      <c r="L12" s="204" t="s">
        <v>638</v>
      </c>
      <c r="M12" s="204" t="s">
        <v>369</v>
      </c>
    </row>
    <row r="13" spans="1:13" x14ac:dyDescent="0.2">
      <c r="A13" s="205" t="s">
        <v>639</v>
      </c>
      <c r="B13" s="206">
        <v>2179155</v>
      </c>
      <c r="C13" s="206">
        <v>1026045</v>
      </c>
      <c r="D13" s="207">
        <v>-1153110</v>
      </c>
      <c r="E13" s="206">
        <v>27796</v>
      </c>
      <c r="F13" s="206">
        <v>24774</v>
      </c>
      <c r="G13" s="207">
        <v>-3022</v>
      </c>
      <c r="H13" s="206">
        <v>568923</v>
      </c>
      <c r="I13" s="206">
        <v>327252</v>
      </c>
      <c r="J13" s="207">
        <v>-241671</v>
      </c>
      <c r="K13" s="206">
        <v>1153499</v>
      </c>
      <c r="L13" s="206">
        <v>571447</v>
      </c>
      <c r="M13" s="207">
        <v>-582052</v>
      </c>
    </row>
    <row r="14" spans="1:13" x14ac:dyDescent="0.2">
      <c r="A14" s="208" t="s">
        <v>640</v>
      </c>
      <c r="B14" s="206">
        <v>2557330</v>
      </c>
      <c r="C14" s="206">
        <v>1368577</v>
      </c>
      <c r="D14" s="207">
        <v>-1188753</v>
      </c>
      <c r="E14" s="206">
        <v>0</v>
      </c>
      <c r="F14" s="206">
        <v>0</v>
      </c>
      <c r="G14" s="207">
        <v>0</v>
      </c>
      <c r="H14" s="206">
        <v>418936</v>
      </c>
      <c r="I14" s="206">
        <v>143520</v>
      </c>
      <c r="J14" s="207">
        <v>-275416</v>
      </c>
      <c r="K14" s="206">
        <v>953107</v>
      </c>
      <c r="L14" s="206">
        <v>437421</v>
      </c>
      <c r="M14" s="207">
        <v>-515686</v>
      </c>
    </row>
    <row r="15" spans="1:13" ht="13.5" thickBot="1" x14ac:dyDescent="0.25">
      <c r="A15" s="205" t="s">
        <v>641</v>
      </c>
      <c r="B15" s="210">
        <v>-378175</v>
      </c>
      <c r="C15" s="210">
        <v>-342532</v>
      </c>
      <c r="D15" s="209">
        <v>35643</v>
      </c>
      <c r="E15" s="206">
        <v>27796</v>
      </c>
      <c r="F15" s="206">
        <v>24774</v>
      </c>
      <c r="G15" s="209">
        <v>-3022</v>
      </c>
      <c r="H15" s="206">
        <v>149987</v>
      </c>
      <c r="I15" s="206">
        <v>183732</v>
      </c>
      <c r="J15" s="209">
        <v>33745</v>
      </c>
      <c r="K15" s="210">
        <v>200392</v>
      </c>
      <c r="L15" s="210">
        <v>134026</v>
      </c>
      <c r="M15" s="209">
        <v>-66366</v>
      </c>
    </row>
    <row r="16" spans="1:13" ht="13.5" thickBot="1" x14ac:dyDescent="0.25">
      <c r="A16" s="339" t="s">
        <v>395</v>
      </c>
      <c r="B16" s="336" t="s">
        <v>633</v>
      </c>
      <c r="C16" s="337"/>
      <c r="D16" s="338"/>
      <c r="E16" s="333" t="s">
        <v>634</v>
      </c>
      <c r="F16" s="334"/>
      <c r="G16" s="335"/>
      <c r="H16" s="330" t="s">
        <v>635</v>
      </c>
      <c r="I16" s="331"/>
      <c r="J16" s="332"/>
      <c r="K16" s="327" t="s">
        <v>636</v>
      </c>
      <c r="L16" s="328"/>
      <c r="M16" s="329"/>
    </row>
    <row r="17" spans="1:13" ht="26.25" thickBot="1" x14ac:dyDescent="0.25">
      <c r="A17" s="340"/>
      <c r="B17" s="201" t="s">
        <v>637</v>
      </c>
      <c r="C17" s="201" t="s">
        <v>638</v>
      </c>
      <c r="D17" s="201" t="s">
        <v>369</v>
      </c>
      <c r="E17" s="202" t="s">
        <v>637</v>
      </c>
      <c r="F17" s="202" t="s">
        <v>638</v>
      </c>
      <c r="G17" s="202" t="s">
        <v>369</v>
      </c>
      <c r="H17" s="203" t="s">
        <v>637</v>
      </c>
      <c r="I17" s="203" t="s">
        <v>638</v>
      </c>
      <c r="J17" s="203" t="s">
        <v>369</v>
      </c>
      <c r="K17" s="204" t="s">
        <v>637</v>
      </c>
      <c r="L17" s="204" t="s">
        <v>638</v>
      </c>
      <c r="M17" s="204" t="s">
        <v>369</v>
      </c>
    </row>
    <row r="18" spans="1:13" x14ac:dyDescent="0.2">
      <c r="A18" s="205" t="s">
        <v>639</v>
      </c>
      <c r="B18" s="206">
        <v>2545291</v>
      </c>
      <c r="C18" s="206">
        <v>2436244</v>
      </c>
      <c r="D18" s="207">
        <v>-109047</v>
      </c>
      <c r="E18" s="206">
        <v>247139</v>
      </c>
      <c r="F18" s="206">
        <v>127294</v>
      </c>
      <c r="G18" s="207">
        <v>-119845</v>
      </c>
      <c r="H18" s="206">
        <v>3480187</v>
      </c>
      <c r="I18" s="206">
        <v>3346518</v>
      </c>
      <c r="J18" s="207">
        <v>-133669</v>
      </c>
      <c r="K18" s="206">
        <v>826102</v>
      </c>
      <c r="L18" s="206">
        <v>652962</v>
      </c>
      <c r="M18" s="207">
        <v>-173140</v>
      </c>
    </row>
    <row r="19" spans="1:13" x14ac:dyDescent="0.2">
      <c r="A19" s="208" t="s">
        <v>640</v>
      </c>
      <c r="B19" s="206">
        <v>322981</v>
      </c>
      <c r="C19" s="206">
        <v>257028</v>
      </c>
      <c r="D19" s="207">
        <v>-65953</v>
      </c>
      <c r="E19" s="206">
        <v>4235742</v>
      </c>
      <c r="F19" s="206">
        <v>4088400</v>
      </c>
      <c r="G19" s="207">
        <v>-147342</v>
      </c>
      <c r="H19" s="206">
        <v>2118922</v>
      </c>
      <c r="I19" s="206">
        <v>2007967</v>
      </c>
      <c r="J19" s="207">
        <v>-110955</v>
      </c>
      <c r="K19" s="206">
        <v>421074</v>
      </c>
      <c r="L19" s="206">
        <v>209623</v>
      </c>
      <c r="M19" s="207">
        <v>-211451</v>
      </c>
    </row>
    <row r="20" spans="1:13" ht="13.5" thickBot="1" x14ac:dyDescent="0.25">
      <c r="A20" s="205" t="s">
        <v>641</v>
      </c>
      <c r="B20" s="206">
        <v>2222310</v>
      </c>
      <c r="C20" s="206">
        <v>2179216</v>
      </c>
      <c r="D20" s="209">
        <v>-43094</v>
      </c>
      <c r="E20" s="210">
        <v>-3988603</v>
      </c>
      <c r="F20" s="210">
        <v>-3961106</v>
      </c>
      <c r="G20" s="209">
        <v>27497</v>
      </c>
      <c r="H20" s="206">
        <v>1361265</v>
      </c>
      <c r="I20" s="206">
        <v>1338551</v>
      </c>
      <c r="J20" s="209">
        <v>-22714</v>
      </c>
      <c r="K20" s="206">
        <v>405028</v>
      </c>
      <c r="L20" s="206">
        <v>443339</v>
      </c>
      <c r="M20" s="209">
        <v>38311</v>
      </c>
    </row>
    <row r="21" spans="1:13" ht="13.5" customHeight="1" thickBot="1" x14ac:dyDescent="0.25">
      <c r="A21" s="339" t="s">
        <v>644</v>
      </c>
      <c r="B21" s="336" t="s">
        <v>633</v>
      </c>
      <c r="C21" s="337"/>
      <c r="D21" s="338"/>
      <c r="E21" s="333" t="s">
        <v>634</v>
      </c>
      <c r="F21" s="334"/>
      <c r="G21" s="335"/>
      <c r="H21" s="330" t="s">
        <v>635</v>
      </c>
      <c r="I21" s="331"/>
      <c r="J21" s="332"/>
      <c r="K21" s="327" t="s">
        <v>636</v>
      </c>
      <c r="L21" s="328"/>
      <c r="M21" s="329"/>
    </row>
    <row r="22" spans="1:13" ht="26.25" thickBot="1" x14ac:dyDescent="0.25">
      <c r="A22" s="340"/>
      <c r="B22" s="201" t="s">
        <v>637</v>
      </c>
      <c r="C22" s="201" t="s">
        <v>638</v>
      </c>
      <c r="D22" s="201" t="s">
        <v>369</v>
      </c>
      <c r="E22" s="202" t="s">
        <v>637</v>
      </c>
      <c r="F22" s="202" t="s">
        <v>638</v>
      </c>
      <c r="G22" s="202" t="s">
        <v>369</v>
      </c>
      <c r="H22" s="203" t="s">
        <v>637</v>
      </c>
      <c r="I22" s="203" t="s">
        <v>638</v>
      </c>
      <c r="J22" s="203" t="s">
        <v>369</v>
      </c>
      <c r="K22" s="204" t="s">
        <v>637</v>
      </c>
      <c r="L22" s="204" t="s">
        <v>638</v>
      </c>
      <c r="M22" s="204" t="s">
        <v>369</v>
      </c>
    </row>
    <row r="23" spans="1:13" x14ac:dyDescent="0.2">
      <c r="A23" s="205" t="s">
        <v>639</v>
      </c>
      <c r="B23" s="206">
        <v>2239728</v>
      </c>
      <c r="C23" s="206">
        <v>951822</v>
      </c>
      <c r="D23" s="207">
        <v>-1287906</v>
      </c>
      <c r="E23" s="206">
        <v>2016</v>
      </c>
      <c r="F23" s="206">
        <v>965</v>
      </c>
      <c r="G23" s="207">
        <v>-1051</v>
      </c>
      <c r="H23" s="206">
        <v>172393</v>
      </c>
      <c r="I23" s="206">
        <v>8929</v>
      </c>
      <c r="J23" s="207">
        <v>-163464</v>
      </c>
      <c r="K23" s="206">
        <v>980410</v>
      </c>
      <c r="L23" s="206">
        <v>322728</v>
      </c>
      <c r="M23" s="207">
        <v>-657682</v>
      </c>
    </row>
    <row r="24" spans="1:13" x14ac:dyDescent="0.2">
      <c r="A24" s="208" t="s">
        <v>640</v>
      </c>
      <c r="B24" s="206">
        <v>1280154</v>
      </c>
      <c r="C24" s="206">
        <v>570092</v>
      </c>
      <c r="D24" s="207">
        <v>-710062</v>
      </c>
      <c r="E24" s="206">
        <v>409842</v>
      </c>
      <c r="F24" s="206">
        <v>616</v>
      </c>
      <c r="G24" s="207">
        <v>-409226</v>
      </c>
      <c r="H24" s="206">
        <v>247763</v>
      </c>
      <c r="I24" s="206">
        <v>30112</v>
      </c>
      <c r="J24" s="207">
        <v>-217651</v>
      </c>
      <c r="K24" s="206">
        <v>1456788</v>
      </c>
      <c r="L24" s="206">
        <v>683624</v>
      </c>
      <c r="M24" s="207">
        <v>-773164</v>
      </c>
    </row>
    <row r="25" spans="1:13" ht="13.5" thickBot="1" x14ac:dyDescent="0.25">
      <c r="A25" s="205" t="s">
        <v>641</v>
      </c>
      <c r="B25" s="206">
        <v>959574</v>
      </c>
      <c r="C25" s="206">
        <v>381730</v>
      </c>
      <c r="D25" s="209">
        <v>-577844</v>
      </c>
      <c r="E25" s="210">
        <v>-407826</v>
      </c>
      <c r="F25" s="210">
        <v>349</v>
      </c>
      <c r="G25" s="209">
        <v>408175</v>
      </c>
      <c r="H25" s="210">
        <v>-75370</v>
      </c>
      <c r="I25" s="210">
        <v>-21183</v>
      </c>
      <c r="J25" s="209">
        <v>54187</v>
      </c>
      <c r="K25" s="210">
        <v>-476378</v>
      </c>
      <c r="L25" s="210">
        <v>-360896</v>
      </c>
      <c r="M25" s="209">
        <v>115482</v>
      </c>
    </row>
    <row r="26" spans="1:13" ht="13.5" thickBot="1" x14ac:dyDescent="0.25">
      <c r="A26" s="339" t="s">
        <v>645</v>
      </c>
      <c r="B26" s="336" t="s">
        <v>633</v>
      </c>
      <c r="C26" s="337"/>
      <c r="D26" s="338"/>
      <c r="E26" s="333" t="s">
        <v>634</v>
      </c>
      <c r="F26" s="334"/>
      <c r="G26" s="335"/>
      <c r="H26" s="330" t="s">
        <v>635</v>
      </c>
      <c r="I26" s="331"/>
      <c r="J26" s="332"/>
      <c r="K26" s="327" t="s">
        <v>636</v>
      </c>
      <c r="L26" s="328"/>
      <c r="M26" s="329"/>
    </row>
    <row r="27" spans="1:13" ht="26.25" thickBot="1" x14ac:dyDescent="0.25">
      <c r="A27" s="340"/>
      <c r="B27" s="201" t="s">
        <v>637</v>
      </c>
      <c r="C27" s="201" t="s">
        <v>638</v>
      </c>
      <c r="D27" s="201" t="s">
        <v>369</v>
      </c>
      <c r="E27" s="202" t="s">
        <v>637</v>
      </c>
      <c r="F27" s="202" t="s">
        <v>638</v>
      </c>
      <c r="G27" s="202" t="s">
        <v>369</v>
      </c>
      <c r="H27" s="203" t="s">
        <v>637</v>
      </c>
      <c r="I27" s="203" t="s">
        <v>638</v>
      </c>
      <c r="J27" s="203" t="s">
        <v>369</v>
      </c>
      <c r="K27" s="204" t="s">
        <v>637</v>
      </c>
      <c r="L27" s="204" t="s">
        <v>638</v>
      </c>
      <c r="M27" s="204" t="s">
        <v>369</v>
      </c>
    </row>
    <row r="28" spans="1:13" x14ac:dyDescent="0.2">
      <c r="A28" s="205" t="s">
        <v>639</v>
      </c>
      <c r="B28" s="206">
        <v>802441</v>
      </c>
      <c r="C28" s="206">
        <v>428931</v>
      </c>
      <c r="D28" s="207">
        <v>-373510</v>
      </c>
      <c r="E28" s="206">
        <v>415</v>
      </c>
      <c r="F28" s="206">
        <v>0</v>
      </c>
      <c r="G28" s="207">
        <v>-415</v>
      </c>
      <c r="H28" s="206">
        <v>168862</v>
      </c>
      <c r="I28" s="206">
        <v>34665</v>
      </c>
      <c r="J28" s="207">
        <v>-134197</v>
      </c>
      <c r="K28" s="206">
        <v>1056180</v>
      </c>
      <c r="L28" s="206">
        <v>517313</v>
      </c>
      <c r="M28" s="207">
        <v>-538867</v>
      </c>
    </row>
    <row r="29" spans="1:13" x14ac:dyDescent="0.2">
      <c r="A29" s="208" t="s">
        <v>640</v>
      </c>
      <c r="B29" s="206">
        <v>1044453</v>
      </c>
      <c r="C29" s="206">
        <v>627818</v>
      </c>
      <c r="D29" s="207">
        <v>-416635</v>
      </c>
      <c r="E29" s="206">
        <v>0</v>
      </c>
      <c r="F29" s="206">
        <v>0</v>
      </c>
      <c r="G29" s="207">
        <v>0</v>
      </c>
      <c r="H29" s="206">
        <v>172551</v>
      </c>
      <c r="I29" s="206">
        <v>14487</v>
      </c>
      <c r="J29" s="207">
        <v>-158064</v>
      </c>
      <c r="K29" s="206">
        <v>810894</v>
      </c>
      <c r="L29" s="206">
        <v>338604</v>
      </c>
      <c r="M29" s="207">
        <v>-472290</v>
      </c>
    </row>
    <row r="30" spans="1:13" ht="13.5" thickBot="1" x14ac:dyDescent="0.25">
      <c r="A30" s="211" t="s">
        <v>641</v>
      </c>
      <c r="B30" s="212">
        <v>-242012</v>
      </c>
      <c r="C30" s="212">
        <v>-198887</v>
      </c>
      <c r="D30" s="213">
        <v>43125</v>
      </c>
      <c r="E30" s="214">
        <v>415</v>
      </c>
      <c r="F30" s="214">
        <v>0</v>
      </c>
      <c r="G30" s="213">
        <v>-415</v>
      </c>
      <c r="H30" s="214">
        <v>-3689</v>
      </c>
      <c r="I30" s="214">
        <v>20178</v>
      </c>
      <c r="J30" s="213">
        <v>23867</v>
      </c>
      <c r="K30" s="214">
        <v>245286</v>
      </c>
      <c r="L30" s="214">
        <v>178709</v>
      </c>
      <c r="M30" s="213">
        <v>-66577</v>
      </c>
    </row>
  </sheetData>
  <mergeCells count="30">
    <mergeCell ref="A1:A2"/>
    <mergeCell ref="B1:D1"/>
    <mergeCell ref="E1:G1"/>
    <mergeCell ref="H1:J1"/>
    <mergeCell ref="K1:M1"/>
    <mergeCell ref="K26:M26"/>
    <mergeCell ref="H26:J26"/>
    <mergeCell ref="E26:G26"/>
    <mergeCell ref="B26:D26"/>
    <mergeCell ref="A26:A27"/>
    <mergeCell ref="B16:D16"/>
    <mergeCell ref="A16:A17"/>
    <mergeCell ref="K21:M21"/>
    <mergeCell ref="H21:J21"/>
    <mergeCell ref="E21:G21"/>
    <mergeCell ref="B21:D21"/>
    <mergeCell ref="A21:A22"/>
    <mergeCell ref="K16:M16"/>
    <mergeCell ref="H16:J16"/>
    <mergeCell ref="E16:G16"/>
    <mergeCell ref="K6:M6"/>
    <mergeCell ref="H6:J6"/>
    <mergeCell ref="E6:G6"/>
    <mergeCell ref="B6:D6"/>
    <mergeCell ref="A6:A7"/>
    <mergeCell ref="K11:M11"/>
    <mergeCell ref="H11:J11"/>
    <mergeCell ref="E11:G11"/>
    <mergeCell ref="B11:D11"/>
    <mergeCell ref="A11:A12"/>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648</v>
      </c>
      <c r="B1" s="216" t="s">
        <v>249</v>
      </c>
      <c r="C1" s="200"/>
      <c r="D1" s="200"/>
    </row>
    <row r="2" spans="1:4" x14ac:dyDescent="0.25">
      <c r="A2" s="217" t="s">
        <v>649</v>
      </c>
      <c r="B2" s="218">
        <f>VLOOKUP($B$1,'Snapshot (Value)'!$A:$S,2,0)</f>
        <v>175</v>
      </c>
      <c r="C2" s="200"/>
      <c r="D2" s="200"/>
    </row>
    <row r="3" spans="1:4" x14ac:dyDescent="0.25">
      <c r="A3" s="217" t="s">
        <v>312</v>
      </c>
      <c r="B3" s="219">
        <f>VLOOKUP($B$1,'Snapshot (Value)'!$A:$S,3,0)</f>
        <v>3636.5</v>
      </c>
      <c r="C3" s="200"/>
      <c r="D3" s="200"/>
    </row>
    <row r="4" spans="1:4" x14ac:dyDescent="0.25">
      <c r="A4" s="217" t="s">
        <v>320</v>
      </c>
      <c r="B4" s="220">
        <f>VLOOKUP($B$1,'Snapshot (Value)'!$A:$S,6,0)</f>
        <v>14</v>
      </c>
      <c r="C4" s="200"/>
      <c r="D4" s="200"/>
    </row>
    <row r="5" spans="1:4" x14ac:dyDescent="0.25">
      <c r="A5" s="221"/>
      <c r="B5" s="222" t="s">
        <v>650</v>
      </c>
      <c r="C5" s="222" t="s">
        <v>651</v>
      </c>
      <c r="D5" s="222" t="s">
        <v>652</v>
      </c>
    </row>
    <row r="6" spans="1:4" x14ac:dyDescent="0.25">
      <c r="A6" s="217" t="s">
        <v>653</v>
      </c>
      <c r="B6" s="219">
        <f>VLOOKUP($B$1,'Snapshot (Value)'!$A:$S,4,0)</f>
        <v>3650.5</v>
      </c>
      <c r="C6" s="219">
        <f>VLOOKUP($B$1,'Snapshot (Value)'!$A:$S,5,0)</f>
        <v>3679.2</v>
      </c>
      <c r="D6" s="219">
        <f>+(B6/C6-1)*100</f>
        <v>-0.78006088280060393</v>
      </c>
    </row>
    <row r="7" spans="1:4" x14ac:dyDescent="0.25">
      <c r="A7" s="217" t="s">
        <v>316</v>
      </c>
      <c r="B7" s="219">
        <f>VLOOKUP($B$1,'Snapshot (Volume)'!$A:$S,12,0)</f>
        <v>0.87</v>
      </c>
      <c r="C7" s="219">
        <f>VLOOKUP($B$1,'Snapshot (Volume)'!$A:$S,13,0)</f>
        <v>0.59</v>
      </c>
      <c r="D7" s="219">
        <f>+(B7/C7-1)*100</f>
        <v>47.457627118644076</v>
      </c>
    </row>
    <row r="8" spans="1:4" x14ac:dyDescent="0.25">
      <c r="A8" s="217" t="s">
        <v>654</v>
      </c>
      <c r="B8" s="219">
        <f>VLOOKUP($B$1,'Snapshot (Volume)'!$A:$S,15,0)</f>
        <v>0.54</v>
      </c>
      <c r="C8" s="219">
        <f>VLOOKUP($B$1,'Snapshot (Volume)'!$A:$S,16,0)</f>
        <v>0.36</v>
      </c>
      <c r="D8" s="219">
        <f>+(B8/C8-1)*100</f>
        <v>50.000000000000021</v>
      </c>
    </row>
    <row r="9" spans="1:4" x14ac:dyDescent="0.25">
      <c r="A9" s="215" t="s">
        <v>655</v>
      </c>
      <c r="B9" s="222" t="s">
        <v>656</v>
      </c>
      <c r="C9" s="222" t="s">
        <v>369</v>
      </c>
      <c r="D9" s="222" t="s">
        <v>652</v>
      </c>
    </row>
    <row r="10" spans="1:4" x14ac:dyDescent="0.25">
      <c r="A10" s="217" t="s">
        <v>657</v>
      </c>
      <c r="B10" s="219">
        <f>VLOOKUP($B$1,'OI(Value)'!$A:$O,5,0)</f>
        <v>5914</v>
      </c>
      <c r="C10" s="219">
        <f>VLOOKUP($B$1,'OI(Value)'!$A:$O,6,0)</f>
        <v>-715</v>
      </c>
      <c r="D10" s="219">
        <f>VLOOKUP($B$1,'OI(Value)'!$A:$O,7,0)*100</f>
        <v>-10.780000000000001</v>
      </c>
    </row>
    <row r="11" spans="1:4" x14ac:dyDescent="0.25">
      <c r="A11" s="217" t="s">
        <v>658</v>
      </c>
      <c r="B11" s="219">
        <f>VLOOKUP($B$1,'OI(Value)'!$A:$O,8,0)</f>
        <v>896</v>
      </c>
      <c r="C11" s="219">
        <f>VLOOKUP($B$1,'OI(Value)'!$A:$O,9,0)</f>
        <v>-2620</v>
      </c>
      <c r="D11" s="219">
        <f>VLOOKUP($B$1,'OI(Value)'!$A:$O,10,0)*100</f>
        <v>-74.53</v>
      </c>
    </row>
    <row r="12" spans="1:4" x14ac:dyDescent="0.25">
      <c r="A12" s="217" t="s">
        <v>659</v>
      </c>
      <c r="B12" s="219">
        <f>VLOOKUP($B$1,'OI(Value)'!$A:$O,11,0)</f>
        <v>776</v>
      </c>
      <c r="C12" s="219">
        <f>VLOOKUP($B$1,'OI(Value)'!$A:$O,12,0)</f>
        <v>-1314</v>
      </c>
      <c r="D12" s="219">
        <f>VLOOKUP($B$1,'OI(Value)'!$A:$O,13,0)*100</f>
        <v>-62.849999999999994</v>
      </c>
    </row>
    <row r="13" spans="1:4" x14ac:dyDescent="0.25">
      <c r="A13" s="215" t="s">
        <v>660</v>
      </c>
      <c r="B13" s="223">
        <f>VLOOKUP($B$1,'OI(Value)'!$A:$O,2,0)</f>
        <v>7586</v>
      </c>
      <c r="C13" s="223">
        <f>VLOOKUP($B$1,'OI(Value)'!$A:$O,3,0)</f>
        <v>-4649</v>
      </c>
      <c r="D13" s="223">
        <f>VLOOKUP($B$1,'OI(Value)'!$A:$O,4,0)*100</f>
        <v>-37.99</v>
      </c>
    </row>
    <row r="14" spans="1:4" x14ac:dyDescent="0.25">
      <c r="A14" s="215" t="s">
        <v>661</v>
      </c>
      <c r="B14" s="222" t="s">
        <v>662</v>
      </c>
      <c r="C14" s="222" t="s">
        <v>369</v>
      </c>
      <c r="D14" s="222" t="s">
        <v>652</v>
      </c>
    </row>
    <row r="15" spans="1:4" x14ac:dyDescent="0.25">
      <c r="A15" s="217" t="s">
        <v>657</v>
      </c>
      <c r="B15" s="219">
        <f>VLOOKUP($B$1,'OI(Volume)'!$A:$O,5,0)/10^5</f>
        <v>162.01675</v>
      </c>
      <c r="C15" s="219">
        <f>VLOOKUP($B$1,'OI(Volume)'!$A:$O,6,0)/10^5</f>
        <v>-19.580749999999998</v>
      </c>
      <c r="D15" s="219">
        <f>(VLOOKUP($B$1,'OI(Volume)'!$A:$O,7,0))*100</f>
        <v>-10.780000000000001</v>
      </c>
    </row>
    <row r="16" spans="1:4" x14ac:dyDescent="0.25">
      <c r="A16" s="217" t="s">
        <v>658</v>
      </c>
      <c r="B16" s="219">
        <f>VLOOKUP($B$1,'OI(Volume)'!$A:$O,8,0)/10^5</f>
        <v>24.533249999999999</v>
      </c>
      <c r="C16" s="219">
        <f>VLOOKUP($B$1,'OI(Volume)'!$A:$O,9,0)/10^5</f>
        <v>-71.774500000000003</v>
      </c>
      <c r="D16" s="219">
        <f>(VLOOKUP($B$1,'OI(Volume)'!$A:$O,10,0))*100</f>
        <v>-74.53</v>
      </c>
    </row>
    <row r="17" spans="1:4" x14ac:dyDescent="0.25">
      <c r="A17" s="217" t="s">
        <v>659</v>
      </c>
      <c r="B17" s="219">
        <f>VLOOKUP($B$1,'OI(Volume)'!$A:$O,11,0)/10^5</f>
        <v>21.269500000000001</v>
      </c>
      <c r="C17" s="219">
        <f>VLOOKUP($B$1,'OI(Volume)'!$A:$O,12,0)/10^5</f>
        <v>-35.990499999999997</v>
      </c>
      <c r="D17" s="219">
        <f>(VLOOKUP($B$1,'OI(Volume)'!$A:$O,13,0))*100</f>
        <v>-62.849999999999994</v>
      </c>
    </row>
    <row r="18" spans="1:4" x14ac:dyDescent="0.25">
      <c r="A18" s="215" t="s">
        <v>663</v>
      </c>
      <c r="B18" s="223">
        <f>VLOOKUP($B$1,'OI(Volume)'!$A:$O,2,0)/10^5</f>
        <v>207.81950000000001</v>
      </c>
      <c r="C18" s="223">
        <f>VLOOKUP($B$1,'OI(Volume)'!$A:$O,3,0)/10^5</f>
        <v>-127.34575</v>
      </c>
      <c r="D18" s="223">
        <f>(VLOOKUP($B$1,'OI(Volume)'!$A:$O,4,0))*100</f>
        <v>-37.99</v>
      </c>
    </row>
    <row r="20" spans="1:4" x14ac:dyDescent="0.25">
      <c r="A20" s="17" t="s">
        <v>417</v>
      </c>
      <c r="B20" s="224">
        <f>VLOOKUP($B$1,'Open Interest Position'!$A:$F,2,0)/10^5</f>
        <v>2719.0955199999999</v>
      </c>
    </row>
    <row r="21" spans="1:4" x14ac:dyDescent="0.25">
      <c r="A21" s="17" t="s">
        <v>412</v>
      </c>
      <c r="B21" s="224">
        <f>VLOOKUP($B$1,'Open Interest Position'!$A:$F,3,0)/10^5</f>
        <v>205.65299999999999</v>
      </c>
    </row>
    <row r="22" spans="1:4" x14ac:dyDescent="0.25">
      <c r="A22" s="17" t="s">
        <v>418</v>
      </c>
      <c r="B22" s="224">
        <f>VLOOKUP($B$1,'Open Interest Position'!$A:$F,4,0)/10^5</f>
        <v>4863.1640900000002</v>
      </c>
    </row>
    <row r="23" spans="1:4" x14ac:dyDescent="0.25">
      <c r="A23" s="17" t="s">
        <v>419</v>
      </c>
      <c r="B23" s="225">
        <f>VLOOKUP($B$1,'Open Interest Position'!$A:$F,6,0)</f>
        <v>7.5632870742253291E-2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45869</v>
      </c>
      <c r="E6" s="66" t="s">
        <v>368</v>
      </c>
      <c r="F6" s="71" t="s">
        <v>333</v>
      </c>
      <c r="G6" s="71" t="s">
        <v>328</v>
      </c>
      <c r="H6" s="66">
        <f>D6</f>
        <v>45869</v>
      </c>
      <c r="I6" s="71" t="s">
        <v>322</v>
      </c>
      <c r="J6" s="71" t="s">
        <v>328</v>
      </c>
      <c r="K6" s="66">
        <f>D6</f>
        <v>45869</v>
      </c>
      <c r="L6" s="78" t="s">
        <v>333</v>
      </c>
      <c r="M6" s="78" t="s">
        <v>328</v>
      </c>
      <c r="N6" s="66">
        <f>D6</f>
        <v>45869</v>
      </c>
      <c r="O6" s="78" t="s">
        <v>322</v>
      </c>
      <c r="P6" s="78" t="s">
        <v>328</v>
      </c>
    </row>
    <row r="7" spans="1:36" x14ac:dyDescent="0.25">
      <c r="A7" s="79" t="str">
        <f>'Data shares'!B2</f>
        <v>Finance</v>
      </c>
      <c r="B7" s="79" t="str">
        <f>'Data shares'!C2</f>
        <v>360ONE</v>
      </c>
      <c r="C7" s="79">
        <f>VLOOKUP($B7,'Data shares'!$C:$FB,7)</f>
        <v>1052.7</v>
      </c>
      <c r="D7" s="165">
        <f>VLOOKUP($B7,'Data shares'!$C:$FB,98)</f>
        <v>6214000</v>
      </c>
      <c r="E7" s="165">
        <f>VLOOKUP(B7,'Snapshot (Volume)'!$A$7:$G$168,7,0)</f>
        <v>9780000</v>
      </c>
      <c r="F7" s="165">
        <f>D7-E7</f>
        <v>-3566000</v>
      </c>
      <c r="G7" s="166">
        <f>F7/E7</f>
        <v>-0.36462167689161556</v>
      </c>
      <c r="H7" s="165">
        <f>VLOOKUP($B7,'Data shares'!$C:$FB,66)</f>
        <v>6015000</v>
      </c>
      <c r="I7" s="165">
        <f>VLOOKUP($B7,'Data shares'!$C:$FB,67)</f>
        <v>5044000</v>
      </c>
      <c r="J7" s="81">
        <f>(H7-I7)/I7*100</f>
        <v>19.250594766058686</v>
      </c>
      <c r="K7" s="81">
        <f>VLOOKUP($B7,'Data Vlaue (Cr)'!$C:$FB,99)</f>
        <v>657</v>
      </c>
      <c r="L7" s="81">
        <f>VLOOKUP(B7,'OI(Value)'!$A$7:$C$209,3,0)</f>
        <v>-377</v>
      </c>
      <c r="M7" s="81">
        <f t="shared" ref="M7:M36" si="0">L7/K7*100</f>
        <v>-57.3820395738204</v>
      </c>
      <c r="N7" s="81">
        <f>VLOOKUP($B7,'Data Vlaue (Cr)'!$C:$FB,67)</f>
        <v>636</v>
      </c>
      <c r="O7" s="81">
        <f>VLOOKUP($B7,'Data Vlaue (Cr)'!$C:$FB,68)</f>
        <v>533</v>
      </c>
      <c r="P7" s="81">
        <f t="shared" ref="P7:P23" si="1">(N7-O7)/N7*100</f>
        <v>16.19496855345912</v>
      </c>
      <c r="Q7" s="1"/>
      <c r="R7" s="1"/>
      <c r="S7" s="1"/>
      <c r="T7" s="1"/>
      <c r="U7" s="1"/>
      <c r="V7" s="1"/>
      <c r="W7" s="1"/>
      <c r="X7" s="1"/>
      <c r="Y7" s="1"/>
      <c r="Z7" s="1"/>
      <c r="AA7" s="1"/>
      <c r="AB7" s="1"/>
      <c r="AC7" s="1"/>
      <c r="AD7" s="1"/>
      <c r="AE7" s="1"/>
      <c r="AF7" s="1"/>
      <c r="AG7" s="1"/>
      <c r="AH7" s="1"/>
      <c r="AI7" s="1"/>
      <c r="AJ7" s="1"/>
    </row>
    <row r="8" spans="1:36" x14ac:dyDescent="0.25">
      <c r="A8" s="79" t="str">
        <f>'Data shares'!B3</f>
        <v>Chemicals</v>
      </c>
      <c r="B8" s="79" t="str">
        <f>'Data shares'!C3</f>
        <v>AARTIIND</v>
      </c>
      <c r="C8" s="79">
        <f>VLOOKUP($B8,'Data shares'!$C:$FB,7)</f>
        <v>420.05</v>
      </c>
      <c r="D8" s="165">
        <f>VLOOKUP($B8,'Data shares'!$C:$FB,98)</f>
        <v>8407125</v>
      </c>
      <c r="E8" s="165">
        <f>VLOOKUP(B8,'Snapshot (Volume)'!$A$7:$G$168,7,0)</f>
        <v>15784725</v>
      </c>
      <c r="F8" s="165">
        <f t="shared" ref="F8:F23" si="2">D8-E8</f>
        <v>-7377600</v>
      </c>
      <c r="G8" s="166">
        <f t="shared" ref="G8:G23" si="3">F8/E8</f>
        <v>-0.46738856711155879</v>
      </c>
      <c r="H8" s="165">
        <f>VLOOKUP($B8,'Data shares'!$C:$FB,66)</f>
        <v>15111625</v>
      </c>
      <c r="I8" s="165">
        <f>VLOOKUP($B8,'Data shares'!$C:$FB,67)</f>
        <v>11198900</v>
      </c>
      <c r="J8" s="81">
        <f t="shared" ref="J8:J22" si="4">(H8-I8)/I8*100</f>
        <v>34.938476100331286</v>
      </c>
      <c r="K8" s="81">
        <f>VLOOKUP($B8,'Data Vlaue (Cr)'!$C:$FB,99)</f>
        <v>0</v>
      </c>
      <c r="L8" s="81">
        <f>VLOOKUP(B8,'OI(Value)'!$A$7:$C$209,3,0)</f>
        <v>0</v>
      </c>
      <c r="M8" s="81" t="e">
        <f t="shared" si="0"/>
        <v>#DIV/0!</v>
      </c>
      <c r="N8" s="81">
        <f>VLOOKUP($B8,'Data Vlaue (Cr)'!$C:$FB,67)</f>
        <v>0</v>
      </c>
      <c r="O8" s="81">
        <f>VLOOKUP($B8,'Data Vlaue (Cr)'!$C:$FB,68)</f>
        <v>0</v>
      </c>
      <c r="P8" s="81" t="e">
        <f t="shared" si="1"/>
        <v>#DIV/0!</v>
      </c>
      <c r="Q8" s="1"/>
      <c r="R8" s="1"/>
      <c r="S8" s="1"/>
      <c r="T8" s="1"/>
      <c r="U8" s="1"/>
      <c r="V8" s="1"/>
      <c r="W8" s="1"/>
      <c r="X8" s="1"/>
      <c r="Y8" s="1"/>
      <c r="Z8" s="1"/>
      <c r="AA8" s="1"/>
      <c r="AB8" s="1"/>
      <c r="AC8" s="1"/>
      <c r="AD8" s="1"/>
      <c r="AE8" s="1"/>
      <c r="AF8" s="1"/>
      <c r="AG8" s="1"/>
      <c r="AH8" s="1"/>
      <c r="AI8" s="1"/>
      <c r="AJ8" s="1"/>
    </row>
    <row r="9" spans="1:36" x14ac:dyDescent="0.25">
      <c r="A9" s="79" t="str">
        <f>'Data shares'!B4</f>
        <v>Capital_Goods</v>
      </c>
      <c r="B9" s="79" t="str">
        <f>'Data shares'!C4</f>
        <v>ABB</v>
      </c>
      <c r="C9" s="79">
        <f>VLOOKUP($B9,'Data shares'!$C:$FB,7)</f>
        <v>5510</v>
      </c>
      <c r="D9" s="165">
        <f>VLOOKUP($B9,'Data shares'!$C:$FB,98)</f>
        <v>3622625</v>
      </c>
      <c r="E9" s="165">
        <f>VLOOKUP(B9,'Snapshot (Volume)'!$A$7:$G$168,7,0)</f>
        <v>5172000</v>
      </c>
      <c r="F9" s="165">
        <f t="shared" si="2"/>
        <v>-1549375</v>
      </c>
      <c r="G9" s="166">
        <f t="shared" si="3"/>
        <v>-0.29956979891724672</v>
      </c>
      <c r="H9" s="165">
        <f>VLOOKUP($B9,'Data shares'!$C:$FB,66)</f>
        <v>3105250</v>
      </c>
      <c r="I9" s="165">
        <f>VLOOKUP($B9,'Data shares'!$C:$FB,67)</f>
        <v>6190500</v>
      </c>
      <c r="J9" s="81">
        <f t="shared" si="4"/>
        <v>-49.83846215976093</v>
      </c>
      <c r="K9" s="81">
        <f>VLOOKUP($B9,'Data Vlaue (Cr)'!$C:$FB,99)</f>
        <v>2002</v>
      </c>
      <c r="L9" s="81">
        <f>VLOOKUP(B9,'OI(Value)'!$A$7:$C$209,3,0)</f>
        <v>-856</v>
      </c>
      <c r="M9" s="81">
        <f t="shared" si="0"/>
        <v>-42.757242757242757</v>
      </c>
      <c r="N9" s="81">
        <f>VLOOKUP($B9,'Data Vlaue (Cr)'!$C:$FB,67)</f>
        <v>1716</v>
      </c>
      <c r="O9" s="81">
        <f>VLOOKUP($B9,'Data Vlaue (Cr)'!$C:$FB,68)</f>
        <v>3420</v>
      </c>
      <c r="P9" s="81">
        <f t="shared" si="1"/>
        <v>-99.300699300699307</v>
      </c>
      <c r="Q9" s="1"/>
      <c r="R9" s="1"/>
      <c r="S9" s="1"/>
      <c r="T9" s="1"/>
      <c r="U9" s="1"/>
      <c r="V9" s="1"/>
      <c r="W9" s="1"/>
      <c r="X9" s="1"/>
      <c r="Y9" s="1"/>
      <c r="Z9" s="1"/>
      <c r="AA9" s="1"/>
      <c r="AB9" s="1"/>
      <c r="AC9" s="1"/>
      <c r="AD9" s="1"/>
      <c r="AE9" s="1"/>
      <c r="AF9" s="1"/>
      <c r="AG9" s="1"/>
      <c r="AH9" s="1"/>
      <c r="AI9" s="1"/>
      <c r="AJ9" s="1"/>
    </row>
    <row r="10" spans="1:36" x14ac:dyDescent="0.25">
      <c r="A10" s="79" t="str">
        <f>'Data shares'!B5</f>
        <v>Finance</v>
      </c>
      <c r="B10" s="79" t="str">
        <f>'Data shares'!C5</f>
        <v>ABCAPITAL</v>
      </c>
      <c r="C10" s="4">
        <f>VLOOKUP($B10,'Data shares'!$C:$FB,7)</f>
        <v>256.64999999999998</v>
      </c>
      <c r="D10" s="82">
        <f>VLOOKUP($B10,'Data shares'!$C:$FB,98)</f>
        <v>68317800</v>
      </c>
      <c r="E10" s="165">
        <f>VLOOKUP(B10,'Snapshot (Volume)'!$A$7:$G$168,7,0)</f>
        <v>91580200</v>
      </c>
      <c r="F10" s="165">
        <f t="shared" si="2"/>
        <v>-23262400</v>
      </c>
      <c r="G10" s="166">
        <f t="shared" si="3"/>
        <v>-0.25401123823708616</v>
      </c>
      <c r="H10" s="165">
        <f>VLOOKUP($B10,'Data shares'!$C:$FB,66)</f>
        <v>71954100</v>
      </c>
      <c r="I10" s="165">
        <f>VLOOKUP($B10,'Data shares'!$C:$FB,67)</f>
        <v>53047200</v>
      </c>
      <c r="J10" s="81">
        <f t="shared" si="4"/>
        <v>35.641654978962137</v>
      </c>
      <c r="K10" s="5">
        <f>VLOOKUP($B10,'Data Vlaue (Cr)'!$C:$FB,99)</f>
        <v>1758</v>
      </c>
      <c r="L10" s="81">
        <f>VLOOKUP(B10,'OI(Value)'!$A$7:$C$209,3,0)</f>
        <v>-599</v>
      </c>
      <c r="M10" s="33">
        <f t="shared" si="0"/>
        <v>-34.072810011376561</v>
      </c>
      <c r="N10" s="5">
        <f>VLOOKUP($B10,'Data Vlaue (Cr)'!$C:$FB,67)</f>
        <v>1851</v>
      </c>
      <c r="O10" s="5">
        <f>VLOOKUP($B10,'Data Vlaue (Cr)'!$C:$FB,68)</f>
        <v>1365</v>
      </c>
      <c r="P10" s="5">
        <f t="shared" si="1"/>
        <v>26.256077795786059</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Textile</v>
      </c>
      <c r="B11" s="79" t="str">
        <f>'Data shares'!C6</f>
        <v>ABFRL</v>
      </c>
      <c r="C11" s="4">
        <f>VLOOKUP($B11,'Data shares'!$C:$FB,7)</f>
        <v>72.87</v>
      </c>
      <c r="D11" s="82">
        <f>VLOOKUP($B11,'Data shares'!$C:$FB,98)</f>
        <v>64079600</v>
      </c>
      <c r="E11" s="165">
        <f>VLOOKUP(B11,'Snapshot (Volume)'!$A$7:$G$168,7,0)</f>
        <v>92960400</v>
      </c>
      <c r="F11" s="165">
        <f t="shared" si="2"/>
        <v>-28880800</v>
      </c>
      <c r="G11" s="166">
        <f t="shared" si="3"/>
        <v>-0.31067852547966662</v>
      </c>
      <c r="H11" s="165">
        <f>VLOOKUP($B11,'Data shares'!$C:$FB,66)</f>
        <v>55598400</v>
      </c>
      <c r="I11" s="165">
        <f>VLOOKUP($B11,'Data shares'!$C:$FB,67)</f>
        <v>42000400</v>
      </c>
      <c r="J11" s="81">
        <f t="shared" si="4"/>
        <v>32.375882134455864</v>
      </c>
      <c r="K11" s="5">
        <f>VLOOKUP($B11,'Data Vlaue (Cr)'!$C:$FB,99)</f>
        <v>469</v>
      </c>
      <c r="L11" s="81">
        <f>VLOOKUP(B11,'OI(Value)'!$A$7:$C$209,3,0)</f>
        <v>-211</v>
      </c>
      <c r="M11" s="33">
        <f t="shared" si="0"/>
        <v>-44.989339019189764</v>
      </c>
      <c r="N11" s="5">
        <f>VLOOKUP($B11,'Data Vlaue (Cr)'!$C:$FB,67)</f>
        <v>407</v>
      </c>
      <c r="O11" s="5">
        <f>VLOOKUP($B11,'Data Vlaue (Cr)'!$C:$FB,68)</f>
        <v>308</v>
      </c>
      <c r="P11" s="5">
        <f t="shared" si="1"/>
        <v>24.324324324324326</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Cement</v>
      </c>
      <c r="B12" s="79" t="str">
        <f>'Data shares'!C7</f>
        <v>ACC</v>
      </c>
      <c r="C12" s="4">
        <f>VLOOKUP($B12,'Data shares'!$C:$FB,7)</f>
        <v>1788.4</v>
      </c>
      <c r="D12" s="82">
        <f>VLOOKUP($B12,'Data shares'!$C:$FB,98)</f>
        <v>1812000</v>
      </c>
      <c r="E12" s="165">
        <f>VLOOKUP(B12,'Snapshot (Volume)'!$A$7:$G$168,7,0)</f>
        <v>4494000</v>
      </c>
      <c r="F12" s="165">
        <f t="shared" si="2"/>
        <v>-2682000</v>
      </c>
      <c r="G12" s="166">
        <f t="shared" si="3"/>
        <v>-0.59679572763684918</v>
      </c>
      <c r="H12" s="165">
        <f>VLOOKUP($B12,'Data shares'!$C:$FB,66)</f>
        <v>3452100</v>
      </c>
      <c r="I12" s="165">
        <f>VLOOKUP($B12,'Data shares'!$C:$FB,67)</f>
        <v>2478900</v>
      </c>
      <c r="J12" s="81">
        <f t="shared" si="4"/>
        <v>39.259348904756145</v>
      </c>
      <c r="K12" s="5">
        <f>VLOOKUP($B12,'Data Vlaue (Cr)'!$C:$FB,99)</f>
        <v>0</v>
      </c>
      <c r="L12" s="81">
        <f>VLOOKUP(B12,'OI(Value)'!$A$7:$C$209,3,0)</f>
        <v>0</v>
      </c>
      <c r="M12" s="33" t="e">
        <f t="shared" si="0"/>
        <v>#DIV/0!</v>
      </c>
      <c r="N12" s="5">
        <f>VLOOKUP($B12,'Data Vlaue (Cr)'!$C:$FB,67)</f>
        <v>0</v>
      </c>
      <c r="O12" s="5">
        <f>VLOOKUP($B12,'Data Vlaue (Cr)'!$C:$FB,68)</f>
        <v>0</v>
      </c>
      <c r="P12" s="5" t="e">
        <f t="shared" si="1"/>
        <v>#DIV/0!</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Power</v>
      </c>
      <c r="B13" s="79" t="str">
        <f>'Data shares'!C8</f>
        <v>ADANIENSOL</v>
      </c>
      <c r="C13" s="4">
        <f>VLOOKUP($B13,'Data shares'!$C:$FB,7)</f>
        <v>808.4</v>
      </c>
      <c r="D13" s="82">
        <f>VLOOKUP($B13,'Data shares'!$C:$FB,98)</f>
        <v>22324950</v>
      </c>
      <c r="E13" s="165">
        <f>VLOOKUP(B13,'Snapshot (Volume)'!$A$7:$G$168,7,0)</f>
        <v>26634825</v>
      </c>
      <c r="F13" s="165">
        <f t="shared" si="2"/>
        <v>-4309875</v>
      </c>
      <c r="G13" s="166">
        <f t="shared" si="3"/>
        <v>-0.16181352796573659</v>
      </c>
      <c r="H13" s="165">
        <f>VLOOKUP($B13,'Data shares'!$C:$FB,66)</f>
        <v>10876275</v>
      </c>
      <c r="I13" s="165">
        <f>VLOOKUP($B13,'Data shares'!$C:$FB,67)</f>
        <v>11847600</v>
      </c>
      <c r="J13" s="81">
        <f t="shared" si="4"/>
        <v>-8.1984958979033724</v>
      </c>
      <c r="K13" s="5">
        <f>VLOOKUP($B13,'Data Vlaue (Cr)'!$C:$FB,99)</f>
        <v>1811</v>
      </c>
      <c r="L13" s="81">
        <f>VLOOKUP(B13,'OI(Value)'!$A$7:$C$209,3,0)</f>
        <v>-350</v>
      </c>
      <c r="M13" s="33">
        <f t="shared" si="0"/>
        <v>-19.326339039204861</v>
      </c>
      <c r="N13" s="5">
        <f>VLOOKUP($B13,'Data Vlaue (Cr)'!$C:$FB,67)</f>
        <v>883</v>
      </c>
      <c r="O13" s="5">
        <f>VLOOKUP($B13,'Data Vlaue (Cr)'!$C:$FB,68)</f>
        <v>961</v>
      </c>
      <c r="P13" s="5">
        <f t="shared" si="1"/>
        <v>-8.8335220838052084</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Infrastructure</v>
      </c>
      <c r="B14" s="79" t="str">
        <f>'Data shares'!C9</f>
        <v>ADANIENT</v>
      </c>
      <c r="C14" s="4">
        <f>VLOOKUP($B14,'Data shares'!$C:$FB,7)</f>
        <v>2430.6999999999998</v>
      </c>
      <c r="D14" s="82">
        <f>VLOOKUP($B14,'Data shares'!$C:$FB,98)</f>
        <v>27541800</v>
      </c>
      <c r="E14" s="165">
        <f>VLOOKUP(B14,'Snapshot (Volume)'!$A$7:$G$168,7,0)</f>
        <v>33294600</v>
      </c>
      <c r="F14" s="165">
        <f t="shared" si="2"/>
        <v>-5752800</v>
      </c>
      <c r="G14" s="166">
        <f t="shared" si="3"/>
        <v>-0.17278477590960697</v>
      </c>
      <c r="H14" s="165">
        <f>VLOOKUP($B14,'Data shares'!$C:$FB,66)</f>
        <v>39693900</v>
      </c>
      <c r="I14" s="165">
        <f>VLOOKUP($B14,'Data shares'!$C:$FB,67)</f>
        <v>17179800</v>
      </c>
      <c r="J14" s="81">
        <f t="shared" si="4"/>
        <v>131.04983759997205</v>
      </c>
      <c r="K14" s="5">
        <f>VLOOKUP($B14,'Data Vlaue (Cr)'!$C:$FB,99)</f>
        <v>6720</v>
      </c>
      <c r="L14" s="81">
        <f>VLOOKUP(B14,'OI(Value)'!$A$7:$C$209,3,0)</f>
        <v>-1404</v>
      </c>
      <c r="M14" s="33">
        <f t="shared" si="0"/>
        <v>-20.892857142857142</v>
      </c>
      <c r="N14" s="5">
        <f>VLOOKUP($B14,'Data Vlaue (Cr)'!$C:$FB,67)</f>
        <v>9686</v>
      </c>
      <c r="O14" s="5">
        <f>VLOOKUP($B14,'Data Vlaue (Cr)'!$C:$FB,68)</f>
        <v>4192</v>
      </c>
      <c r="P14" s="5">
        <f t="shared" si="1"/>
        <v>56.721040677266153</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Power</v>
      </c>
      <c r="B15" s="79" t="str">
        <f>'Data shares'!C10</f>
        <v>ADANIGREEN</v>
      </c>
      <c r="C15" s="4">
        <f>VLOOKUP($B15,'Data shares'!$C:$FB,7)</f>
        <v>984.7</v>
      </c>
      <c r="D15" s="82">
        <f>VLOOKUP($B15,'Data shares'!$C:$FB,98)</f>
        <v>25468800</v>
      </c>
      <c r="E15" s="165">
        <f>VLOOKUP(B15,'Snapshot (Volume)'!$A$7:$G$168,7,0)</f>
        <v>32786400</v>
      </c>
      <c r="F15" s="165">
        <f t="shared" si="2"/>
        <v>-7317600</v>
      </c>
      <c r="G15" s="166">
        <f t="shared" si="3"/>
        <v>-0.22319010321352756</v>
      </c>
      <c r="H15" s="165">
        <f>VLOOKUP($B15,'Data shares'!$C:$FB,66)</f>
        <v>29225400</v>
      </c>
      <c r="I15" s="165">
        <f>VLOOKUP($B15,'Data shares'!$C:$FB,67)</f>
        <v>26680200</v>
      </c>
      <c r="J15" s="81">
        <f t="shared" si="4"/>
        <v>9.5396586232487</v>
      </c>
      <c r="K15" s="5">
        <f>VLOOKUP($B15,'Data Vlaue (Cr)'!$C:$FB,99)</f>
        <v>2517</v>
      </c>
      <c r="L15" s="81">
        <f>VLOOKUP(B15,'OI(Value)'!$A$7:$C$209,3,0)</f>
        <v>-723</v>
      </c>
      <c r="M15" s="33">
        <f t="shared" si="0"/>
        <v>-28.724672228843861</v>
      </c>
      <c r="N15" s="5">
        <f>VLOOKUP($B15,'Data Vlaue (Cr)'!$C:$FB,67)</f>
        <v>2888</v>
      </c>
      <c r="O15" s="5">
        <f>VLOOKUP($B15,'Data Vlaue (Cr)'!$C:$FB,68)</f>
        <v>2637</v>
      </c>
      <c r="P15" s="5">
        <f t="shared" si="1"/>
        <v>8.6911357340720219</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Infrastructure</v>
      </c>
      <c r="B16" s="79" t="str">
        <f>'Data shares'!C11</f>
        <v>ADANIPORTS</v>
      </c>
      <c r="C16" s="4">
        <f>VLOOKUP($B16,'Data shares'!$C:$FB,7)</f>
        <v>1373.1</v>
      </c>
      <c r="D16" s="82">
        <f>VLOOKUP($B16,'Data shares'!$C:$FB,98)</f>
        <v>27558075</v>
      </c>
      <c r="E16" s="165">
        <f>VLOOKUP(B16,'Snapshot (Volume)'!$A$7:$G$168,7,0)</f>
        <v>35695300</v>
      </c>
      <c r="F16" s="165">
        <f t="shared" si="2"/>
        <v>-8137225</v>
      </c>
      <c r="G16" s="166">
        <f t="shared" si="3"/>
        <v>-0.22796348538883271</v>
      </c>
      <c r="H16" s="165">
        <f>VLOOKUP($B16,'Data shares'!$C:$FB,66)</f>
        <v>23902950</v>
      </c>
      <c r="I16" s="165">
        <f>VLOOKUP($B16,'Data shares'!$C:$FB,67)</f>
        <v>22559650</v>
      </c>
      <c r="J16" s="81">
        <f t="shared" si="4"/>
        <v>5.9544363498547188</v>
      </c>
      <c r="K16" s="5">
        <f>VLOOKUP($B16,'Data Vlaue (Cr)'!$C:$FB,99)</f>
        <v>3805</v>
      </c>
      <c r="L16" s="81">
        <f>VLOOKUP(B16,'OI(Value)'!$A$7:$C$209,3,0)</f>
        <v>-1124</v>
      </c>
      <c r="M16" s="33">
        <f t="shared" si="0"/>
        <v>-29.540078843626805</v>
      </c>
      <c r="N16" s="5">
        <f>VLOOKUP($B16,'Data Vlaue (Cr)'!$C:$FB,67)</f>
        <v>3301</v>
      </c>
      <c r="O16" s="5">
        <f>VLOOKUP($B16,'Data Vlaue (Cr)'!$C:$FB,68)</f>
        <v>3115</v>
      </c>
      <c r="P16" s="5">
        <f t="shared" si="1"/>
        <v>5.634656164798546</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Pharma</v>
      </c>
      <c r="B17" s="79" t="str">
        <f>'Data shares'!C12</f>
        <v>ALKEM</v>
      </c>
      <c r="C17" s="4">
        <f>VLOOKUP($B17,'Data shares'!$C:$FB,7)</f>
        <v>5031.1000000000004</v>
      </c>
      <c r="D17" s="82">
        <f>VLOOKUP($B17,'Data shares'!$C:$FB,98)</f>
        <v>1297250</v>
      </c>
      <c r="E17" s="165">
        <f>VLOOKUP(B17,'Snapshot (Volume)'!$A$7:$G$168,7,0)</f>
        <v>1722125</v>
      </c>
      <c r="F17" s="165">
        <f t="shared" si="2"/>
        <v>-424875</v>
      </c>
      <c r="G17" s="166">
        <f t="shared" si="3"/>
        <v>-0.24671554039340932</v>
      </c>
      <c r="H17" s="165">
        <f>VLOOKUP($B17,'Data shares'!$C:$FB,66)</f>
        <v>1039250</v>
      </c>
      <c r="I17" s="165">
        <f>VLOOKUP($B17,'Data shares'!$C:$FB,67)</f>
        <v>1466500</v>
      </c>
      <c r="J17" s="81">
        <f t="shared" si="4"/>
        <v>-29.133992499147631</v>
      </c>
      <c r="K17" s="5">
        <f>VLOOKUP($B17,'Data Vlaue (Cr)'!$C:$FB,99)</f>
        <v>654</v>
      </c>
      <c r="L17" s="81">
        <f>VLOOKUP(B17,'OI(Value)'!$A$7:$C$209,3,0)</f>
        <v>-214</v>
      </c>
      <c r="M17" s="33">
        <f t="shared" si="0"/>
        <v>-32.721712538226299</v>
      </c>
      <c r="N17" s="5">
        <f>VLOOKUP($B17,'Data Vlaue (Cr)'!$C:$FB,67)</f>
        <v>524</v>
      </c>
      <c r="O17" s="5">
        <f>VLOOKUP($B17,'Data Vlaue (Cr)'!$C:$FB,68)</f>
        <v>739</v>
      </c>
      <c r="P17" s="5">
        <f t="shared" si="1"/>
        <v>-41.030534351145036</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Capital_Goods</v>
      </c>
      <c r="B18" s="79" t="str">
        <f>'Data shares'!C13</f>
        <v>AMBER</v>
      </c>
      <c r="C18" s="4">
        <f>VLOOKUP($B18,'Data shares'!$C:$FB,7)</f>
        <v>7963.5</v>
      </c>
      <c r="D18" s="82">
        <f>VLOOKUP($B18,'Data shares'!$C:$FB,98)</f>
        <v>856500</v>
      </c>
      <c r="E18" s="165">
        <f>VLOOKUP(B18,'Snapshot (Volume)'!$A$7:$G$168,7,0)</f>
        <v>1399500</v>
      </c>
      <c r="F18" s="165">
        <f t="shared" si="2"/>
        <v>-543000</v>
      </c>
      <c r="G18" s="166">
        <f t="shared" si="3"/>
        <v>-0.38799571275455519</v>
      </c>
      <c r="H18" s="165">
        <f>VLOOKUP($B18,'Data shares'!$C:$FB,66)</f>
        <v>2100100</v>
      </c>
      <c r="I18" s="165">
        <f>VLOOKUP($B18,'Data shares'!$C:$FB,67)</f>
        <v>6424200</v>
      </c>
      <c r="J18" s="81">
        <f t="shared" si="4"/>
        <v>-67.30954827060178</v>
      </c>
      <c r="K18" s="5">
        <f>VLOOKUP($B18,'Data Vlaue (Cr)'!$C:$FB,99)</f>
        <v>685</v>
      </c>
      <c r="L18" s="81">
        <f>VLOOKUP(B18,'OI(Value)'!$A$7:$C$209,3,0)</f>
        <v>-434</v>
      </c>
      <c r="M18" s="33">
        <f t="shared" si="0"/>
        <v>-63.357664233576635</v>
      </c>
      <c r="N18" s="5">
        <f>VLOOKUP($B18,'Data Vlaue (Cr)'!$C:$FB,67)</f>
        <v>1679</v>
      </c>
      <c r="O18" s="5">
        <f>VLOOKUP($B18,'Data Vlaue (Cr)'!$C:$FB,68)</f>
        <v>5136</v>
      </c>
      <c r="P18" s="5">
        <f t="shared" si="1"/>
        <v>-205.89636688505064</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Cement</v>
      </c>
      <c r="B19" s="79" t="str">
        <f>'Data shares'!C14</f>
        <v>AMBUJACEM</v>
      </c>
      <c r="C19" s="4">
        <f>VLOOKUP($B19,'Data shares'!$C:$FB,7)</f>
        <v>592.70000000000005</v>
      </c>
      <c r="D19" s="82">
        <f>VLOOKUP($B19,'Data shares'!$C:$FB,98)</f>
        <v>41697600</v>
      </c>
      <c r="E19" s="165">
        <f>VLOOKUP(B19,'Snapshot (Volume)'!$A$7:$G$168,7,0)</f>
        <v>41111700</v>
      </c>
      <c r="F19" s="165">
        <f t="shared" si="2"/>
        <v>585900</v>
      </c>
      <c r="G19" s="166">
        <f t="shared" si="3"/>
        <v>1.4251417479695562E-2</v>
      </c>
      <c r="H19" s="165">
        <f>VLOOKUP($B19,'Data shares'!$C:$FB,66)</f>
        <v>83608350</v>
      </c>
      <c r="I19" s="165">
        <f>VLOOKUP($B19,'Data shares'!$C:$FB,67)</f>
        <v>31023300</v>
      </c>
      <c r="J19" s="81">
        <f t="shared" si="4"/>
        <v>169.5017938130373</v>
      </c>
      <c r="K19" s="5">
        <f>VLOOKUP($B19,'Data Vlaue (Cr)'!$C:$FB,99)</f>
        <v>2480</v>
      </c>
      <c r="L19" s="81">
        <f>VLOOKUP(B19,'OI(Value)'!$A$7:$C$209,3,0)</f>
        <v>35</v>
      </c>
      <c r="M19" s="33">
        <f t="shared" si="0"/>
        <v>1.411290322580645</v>
      </c>
      <c r="N19" s="5">
        <f>VLOOKUP($B19,'Data Vlaue (Cr)'!$C:$FB,67)</f>
        <v>4972</v>
      </c>
      <c r="O19" s="5">
        <f>VLOOKUP($B19,'Data Vlaue (Cr)'!$C:$FB,68)</f>
        <v>1845</v>
      </c>
      <c r="P19" s="5">
        <f t="shared" si="1"/>
        <v>62.892196299275952</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Finance</v>
      </c>
      <c r="B20" s="79" t="str">
        <f>'Data shares'!C15</f>
        <v>ANGELONE</v>
      </c>
      <c r="C20" s="4">
        <f>VLOOKUP($B20,'Data shares'!$C:$FB,7)</f>
        <v>2600.9</v>
      </c>
      <c r="D20" s="82">
        <f>VLOOKUP($B20,'Data shares'!$C:$FB,98)</f>
        <v>3337250</v>
      </c>
      <c r="E20" s="165">
        <f>VLOOKUP(B20,'Snapshot (Volume)'!$A$7:$G$168,7,0)</f>
        <v>7177250</v>
      </c>
      <c r="F20" s="165">
        <f t="shared" si="2"/>
        <v>-3840000</v>
      </c>
      <c r="G20" s="166">
        <f t="shared" si="3"/>
        <v>-0.5350238601135533</v>
      </c>
      <c r="H20" s="165">
        <f>VLOOKUP($B20,'Data shares'!$C:$FB,66)</f>
        <v>5107250</v>
      </c>
      <c r="I20" s="165">
        <f>VLOOKUP($B20,'Data shares'!$C:$FB,67)</f>
        <v>6639250</v>
      </c>
      <c r="J20" s="81">
        <f t="shared" si="4"/>
        <v>-23.074895507775729</v>
      </c>
      <c r="K20" s="5">
        <f>VLOOKUP($B20,'Data Vlaue (Cr)'!$C:$FB,99)</f>
        <v>872</v>
      </c>
      <c r="L20" s="81">
        <f>VLOOKUP(B20,'OI(Value)'!$A$7:$C$209,3,0)</f>
        <v>-1003</v>
      </c>
      <c r="M20" s="33">
        <f t="shared" si="0"/>
        <v>-115.02293577981651</v>
      </c>
      <c r="N20" s="5">
        <f>VLOOKUP($B20,'Data Vlaue (Cr)'!$C:$FB,67)</f>
        <v>1334</v>
      </c>
      <c r="O20" s="5">
        <f>VLOOKUP($B20,'Data Vlaue (Cr)'!$C:$FB,68)</f>
        <v>1734</v>
      </c>
      <c r="P20" s="5">
        <f t="shared" si="1"/>
        <v>-29.985007496251875</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Metals</v>
      </c>
      <c r="B21" s="79" t="str">
        <f>'Data shares'!C16</f>
        <v>APLAPOLLO</v>
      </c>
      <c r="C21" s="4">
        <f>VLOOKUP($B21,'Data shares'!$C:$FB,7)</f>
        <v>1601.2</v>
      </c>
      <c r="D21" s="82">
        <f>VLOOKUP($B21,'Data shares'!$C:$FB,98)</f>
        <v>7509950</v>
      </c>
      <c r="E21" s="165">
        <f>VLOOKUP(B21,'Snapshot (Volume)'!$A$7:$G$168,7,0)</f>
        <v>11606350</v>
      </c>
      <c r="F21" s="165">
        <f t="shared" si="2"/>
        <v>-4096400</v>
      </c>
      <c r="G21" s="166">
        <f t="shared" si="3"/>
        <v>-0.35294472422423934</v>
      </c>
      <c r="H21" s="165">
        <f>VLOOKUP($B21,'Data shares'!$C:$FB,66)</f>
        <v>9677850</v>
      </c>
      <c r="I21" s="165">
        <f>VLOOKUP($B21,'Data shares'!$C:$FB,67)</f>
        <v>21934850</v>
      </c>
      <c r="J21" s="81">
        <f t="shared" si="4"/>
        <v>-55.879114742065703</v>
      </c>
      <c r="K21" s="5">
        <f>VLOOKUP($B21,'Data Vlaue (Cr)'!$C:$FB,99)</f>
        <v>1202</v>
      </c>
      <c r="L21" s="81">
        <f>VLOOKUP(B21,'OI(Value)'!$A$7:$C$209,3,0)</f>
        <v>-656</v>
      </c>
      <c r="M21" s="33">
        <f t="shared" si="0"/>
        <v>-54.575707154742091</v>
      </c>
      <c r="N21" s="5">
        <f>VLOOKUP($B21,'Data Vlaue (Cr)'!$C:$FB,67)</f>
        <v>1549</v>
      </c>
      <c r="O21" s="5">
        <f>VLOOKUP($B21,'Data Vlaue (Cr)'!$C:$FB,68)</f>
        <v>3511</v>
      </c>
      <c r="P21" s="5">
        <f t="shared" si="1"/>
        <v>-126.66236281471916</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Pharma</v>
      </c>
      <c r="B22" s="79" t="str">
        <f>'Data shares'!C17</f>
        <v>APOLLOHOSP</v>
      </c>
      <c r="C22" s="4">
        <f>VLOOKUP($B22,'Data shares'!$C:$FB,7)</f>
        <v>7498</v>
      </c>
      <c r="D22" s="82">
        <f>VLOOKUP($B22,'Data shares'!$C:$FB,98)</f>
        <v>2810125</v>
      </c>
      <c r="E22" s="165">
        <f>VLOOKUP(B22,'Snapshot (Volume)'!$A$7:$G$168,7,0)</f>
        <v>5084875</v>
      </c>
      <c r="F22" s="165">
        <f t="shared" si="2"/>
        <v>-2274750</v>
      </c>
      <c r="G22" s="166">
        <f t="shared" si="3"/>
        <v>-0.44735612969837019</v>
      </c>
      <c r="H22" s="165">
        <f>VLOOKUP($B22,'Data shares'!$C:$FB,66)</f>
        <v>2873875</v>
      </c>
      <c r="I22" s="165">
        <f>VLOOKUP($B22,'Data shares'!$C:$FB,67)</f>
        <v>3228500</v>
      </c>
      <c r="J22" s="81">
        <f t="shared" si="4"/>
        <v>-10.98420319033607</v>
      </c>
      <c r="K22" s="5">
        <f>VLOOKUP($B22,'Data Vlaue (Cr)'!$C:$FB,99)</f>
        <v>2113</v>
      </c>
      <c r="L22" s="81">
        <f>VLOOKUP(B22,'OI(Value)'!$A$7:$C$209,3,0)</f>
        <v>-1710</v>
      </c>
      <c r="M22" s="33">
        <f t="shared" si="0"/>
        <v>-80.927591102697576</v>
      </c>
      <c r="N22" s="5">
        <f>VLOOKUP($B22,'Data Vlaue (Cr)'!$C:$FB,67)</f>
        <v>2160</v>
      </c>
      <c r="O22" s="5">
        <f>VLOOKUP($B22,'Data Vlaue (Cr)'!$C:$FB,68)</f>
        <v>2427</v>
      </c>
      <c r="P22" s="5">
        <f t="shared" si="1"/>
        <v>-12.361111111111111</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Automobile</v>
      </c>
      <c r="B23" s="79" t="str">
        <f>'Data shares'!C18</f>
        <v>ASHOKLEY</v>
      </c>
      <c r="C23" s="4">
        <f>VLOOKUP($B23,'Data shares'!$C:$FB,7)</f>
        <v>121.05</v>
      </c>
      <c r="D23" s="82">
        <f>VLOOKUP($B23,'Data shares'!$C:$FB,98)</f>
        <v>103720000</v>
      </c>
      <c r="E23" s="165">
        <f>VLOOKUP(B23,'Snapshot (Volume)'!$A$7:$G$168,7,0)</f>
        <v>141750000</v>
      </c>
      <c r="F23" s="165">
        <f t="shared" si="2"/>
        <v>-38030000</v>
      </c>
      <c r="G23" s="166">
        <f t="shared" si="3"/>
        <v>-0.26828924162257495</v>
      </c>
      <c r="H23" s="165">
        <f>VLOOKUP($B23,'Data shares'!$C:$FB,66)</f>
        <v>89855000</v>
      </c>
      <c r="I23" s="165">
        <f>VLOOKUP($B23,'Data shares'!$C:$FB,67)</f>
        <v>82985000</v>
      </c>
      <c r="J23" s="81">
        <f>(H23-I23)/I23*100</f>
        <v>8.2786045670904382</v>
      </c>
      <c r="K23" s="5">
        <f>VLOOKUP($B23,'Data Vlaue (Cr)'!$C:$FB,99)</f>
        <v>1263</v>
      </c>
      <c r="L23" s="81">
        <f>VLOOKUP(B23,'OI(Value)'!$A$7:$C$209,3,0)</f>
        <v>-463</v>
      </c>
      <c r="M23" s="33">
        <f t="shared" si="0"/>
        <v>-36.658749010292951</v>
      </c>
      <c r="N23" s="5">
        <f>VLOOKUP($B23,'Data Vlaue (Cr)'!$C:$FB,67)</f>
        <v>1094</v>
      </c>
      <c r="O23" s="5">
        <f>VLOOKUP($B23,'Data Vlaue (Cr)'!$C:$FB,68)</f>
        <v>1010</v>
      </c>
      <c r="P23" s="5">
        <f t="shared" si="1"/>
        <v>7.6782449725776969</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FMCG</v>
      </c>
      <c r="B24" s="79" t="str">
        <f>'Data shares'!C19</f>
        <v>ASIANPAINT</v>
      </c>
      <c r="C24" s="79">
        <f>VLOOKUP($B24,'Data shares'!$C:$FB,7)</f>
        <v>2396.1</v>
      </c>
      <c r="D24" s="80">
        <f>VLOOKUP($B24,'Data shares'!$C:$FB,98)</f>
        <v>18668000</v>
      </c>
      <c r="E24" s="165">
        <f>VLOOKUP(B24,'Snapshot (Volume)'!$A$7:$G$168,7,0)</f>
        <v>28130750</v>
      </c>
      <c r="F24" s="165">
        <f t="shared" ref="F24:F36" si="5">D24-E24</f>
        <v>-9462750</v>
      </c>
      <c r="G24" s="166">
        <f t="shared" ref="G24:G36" si="6">F24/E24</f>
        <v>-0.3363845613785626</v>
      </c>
      <c r="H24" s="165">
        <f>VLOOKUP($B24,'Data shares'!$C:$FB,66)</f>
        <v>14867250</v>
      </c>
      <c r="I24" s="165">
        <f>VLOOKUP($B24,'Data shares'!$C:$FB,67)</f>
        <v>45414250</v>
      </c>
      <c r="J24" s="81">
        <f t="shared" ref="J24:J36" si="7">(H24-I24)/I24*100</f>
        <v>-67.263028674920321</v>
      </c>
      <c r="K24" s="81">
        <f>VLOOKUP($B24,'Data Vlaue (Cr)'!$C:$FB,99)</f>
        <v>4489</v>
      </c>
      <c r="L24" s="81">
        <f>VLOOKUP(B24,'OI(Value)'!$A$7:$C$209,3,0)</f>
        <v>-2275</v>
      </c>
      <c r="M24" s="81">
        <f t="shared" si="0"/>
        <v>-50.679438627756731</v>
      </c>
      <c r="N24" s="81">
        <f>VLOOKUP($B24,'Data Vlaue (Cr)'!$C:$FB,67)</f>
        <v>3575</v>
      </c>
      <c r="O24" s="81">
        <f>VLOOKUP($B24,'Data Vlaue (Cr)'!$C:$FB,68)</f>
        <v>10920</v>
      </c>
      <c r="P24" s="81">
        <f t="shared" ref="P24:P36" si="8">(N24-O24)/N24*100</f>
        <v>-205.45454545454547</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Capital_Goods</v>
      </c>
      <c r="B25" s="79" t="str">
        <f>'Data shares'!C20</f>
        <v>ASTRAL</v>
      </c>
      <c r="C25" s="4">
        <f>VLOOKUP($B25,'Data shares'!$C:$FB,7)</f>
        <v>1401.2</v>
      </c>
      <c r="D25" s="82">
        <f>VLOOKUP($B25,'Data shares'!$C:$FB,98)</f>
        <v>7451100</v>
      </c>
      <c r="E25" s="165">
        <f>VLOOKUP(B25,'Snapshot (Volume)'!$A$7:$G$168,7,0)</f>
        <v>10744425</v>
      </c>
      <c r="F25" s="165">
        <f t="shared" si="5"/>
        <v>-3293325</v>
      </c>
      <c r="G25" s="166">
        <f t="shared" si="6"/>
        <v>-0.30651477394090426</v>
      </c>
      <c r="H25" s="165">
        <f>VLOOKUP($B25,'Data shares'!$C:$FB,66)</f>
        <v>4957200</v>
      </c>
      <c r="I25" s="165">
        <f>VLOOKUP($B25,'Data shares'!$C:$FB,67)</f>
        <v>5992500</v>
      </c>
      <c r="J25" s="81">
        <f t="shared" si="7"/>
        <v>-17.276595744680851</v>
      </c>
      <c r="K25" s="5">
        <f>VLOOKUP($B25,'Data Vlaue (Cr)'!$C:$FB,99)</f>
        <v>1050</v>
      </c>
      <c r="L25" s="81">
        <f>VLOOKUP(B25,'OI(Value)'!$A$7:$C$209,3,0)</f>
        <v>-464</v>
      </c>
      <c r="M25" s="33">
        <f t="shared" si="0"/>
        <v>-44.19047619047619</v>
      </c>
      <c r="N25" s="5">
        <f>VLOOKUP($B25,'Data Vlaue (Cr)'!$C:$FB,67)</f>
        <v>698</v>
      </c>
      <c r="O25" s="5">
        <f>VLOOKUP($B25,'Data Vlaue (Cr)'!$C:$FB,68)</f>
        <v>844</v>
      </c>
      <c r="P25" s="5">
        <f t="shared" si="8"/>
        <v>-20.916905444126073</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Oil_Gas</v>
      </c>
      <c r="B26" s="79" t="str">
        <f>'Data shares'!C21</f>
        <v>ATGL</v>
      </c>
      <c r="C26" s="4">
        <f>VLOOKUP($B26,'Data shares'!$C:$FB,7)</f>
        <v>604.1</v>
      </c>
      <c r="D26" s="82">
        <f>VLOOKUP($B26,'Data shares'!$C:$FB,98)</f>
        <v>5103000</v>
      </c>
      <c r="E26" s="165">
        <f>VLOOKUP(B26,'Snapshot (Volume)'!$A$7:$G$168,7,0)</f>
        <v>9842000</v>
      </c>
      <c r="F26" s="165">
        <f t="shared" si="5"/>
        <v>-4739000</v>
      </c>
      <c r="G26" s="166">
        <f t="shared" si="6"/>
        <v>-0.48150782361308675</v>
      </c>
      <c r="H26" s="165">
        <f>VLOOKUP($B26,'Data shares'!$C:$FB,66)</f>
        <v>6101375</v>
      </c>
      <c r="I26" s="165">
        <f>VLOOKUP($B26,'Data shares'!$C:$FB,67)</f>
        <v>6082125</v>
      </c>
      <c r="J26" s="81">
        <f t="shared" si="7"/>
        <v>0.3165012228456337</v>
      </c>
      <c r="K26" s="5">
        <f>VLOOKUP($B26,'Data Vlaue (Cr)'!$C:$FB,99)</f>
        <v>309</v>
      </c>
      <c r="L26" s="81">
        <f>VLOOKUP(B26,'OI(Value)'!$A$7:$C$209,3,0)</f>
        <v>-287</v>
      </c>
      <c r="M26" s="33">
        <f t="shared" si="0"/>
        <v>-92.880258899676377</v>
      </c>
      <c r="N26" s="5">
        <f>VLOOKUP($B26,'Data Vlaue (Cr)'!$C:$FB,67)</f>
        <v>370</v>
      </c>
      <c r="O26" s="5">
        <f>VLOOKUP($B26,'Data Vlaue (Cr)'!$C:$FB,68)</f>
        <v>368</v>
      </c>
      <c r="P26" s="5">
        <f t="shared" si="8"/>
        <v>0.54054054054054057</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Banking</v>
      </c>
      <c r="B27" s="79" t="str">
        <f>'Data shares'!C22</f>
        <v>AUBANK</v>
      </c>
      <c r="C27" s="4">
        <f>VLOOKUP($B27,'Data shares'!$C:$FB,7)</f>
        <v>741.5</v>
      </c>
      <c r="D27" s="82">
        <f>VLOOKUP($B27,'Data shares'!$C:$FB,98)</f>
        <v>24544000</v>
      </c>
      <c r="E27" s="165">
        <f>VLOOKUP(B27,'Snapshot (Volume)'!$A$7:$G$168,7,0)</f>
        <v>33171000</v>
      </c>
      <c r="F27" s="165">
        <f t="shared" si="5"/>
        <v>-8627000</v>
      </c>
      <c r="G27" s="166">
        <f t="shared" si="6"/>
        <v>-0.26007657291007202</v>
      </c>
      <c r="H27" s="165">
        <f>VLOOKUP($B27,'Data shares'!$C:$FB,66)</f>
        <v>28798000</v>
      </c>
      <c r="I27" s="165">
        <f>VLOOKUP($B27,'Data shares'!$C:$FB,67)</f>
        <v>41067000</v>
      </c>
      <c r="J27" s="81">
        <f t="shared" si="7"/>
        <v>-29.875569191808509</v>
      </c>
      <c r="K27" s="5">
        <f>VLOOKUP($B27,'Data Vlaue (Cr)'!$C:$FB,99)</f>
        <v>1831</v>
      </c>
      <c r="L27" s="81">
        <f>VLOOKUP(B27,'OI(Value)'!$A$7:$C$209,3,0)</f>
        <v>-644</v>
      </c>
      <c r="M27" s="33">
        <f t="shared" si="0"/>
        <v>-35.17203713817586</v>
      </c>
      <c r="N27" s="5">
        <f>VLOOKUP($B27,'Data Vlaue (Cr)'!$C:$FB,67)</f>
        <v>2148</v>
      </c>
      <c r="O27" s="5">
        <f>VLOOKUP($B27,'Data Vlaue (Cr)'!$C:$FB,68)</f>
        <v>3064</v>
      </c>
      <c r="P27" s="5">
        <f t="shared" si="8"/>
        <v>-42.64432029795158</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Pharma</v>
      </c>
      <c r="B28" s="79" t="str">
        <f>'Data shares'!C23</f>
        <v>AUROPHARMA</v>
      </c>
      <c r="C28" s="4">
        <f>VLOOKUP($B28,'Data shares'!$C:$FB,7)</f>
        <v>1139.8</v>
      </c>
      <c r="D28" s="82">
        <f>VLOOKUP($B28,'Data shares'!$C:$FB,98)</f>
        <v>21522050</v>
      </c>
      <c r="E28" s="165">
        <f>VLOOKUP(B28,'Snapshot (Volume)'!$A$7:$G$168,7,0)</f>
        <v>26826250</v>
      </c>
      <c r="F28" s="165">
        <f t="shared" si="5"/>
        <v>-5304200</v>
      </c>
      <c r="G28" s="166">
        <f t="shared" si="6"/>
        <v>-0.19772424397744745</v>
      </c>
      <c r="H28" s="165">
        <f>VLOOKUP($B28,'Data shares'!$C:$FB,66)</f>
        <v>21924100</v>
      </c>
      <c r="I28" s="165">
        <f>VLOOKUP($B28,'Data shares'!$C:$FB,67)</f>
        <v>11286550</v>
      </c>
      <c r="J28" s="81">
        <f t="shared" si="7"/>
        <v>94.24979289508309</v>
      </c>
      <c r="K28" s="5">
        <f>VLOOKUP($B28,'Data Vlaue (Cr)'!$C:$FB,99)</f>
        <v>2466</v>
      </c>
      <c r="L28" s="81">
        <f>VLOOKUP(B28,'OI(Value)'!$A$7:$C$209,3,0)</f>
        <v>-608</v>
      </c>
      <c r="M28" s="33">
        <f t="shared" si="0"/>
        <v>-24.655312246553123</v>
      </c>
      <c r="N28" s="5">
        <f>VLOOKUP($B28,'Data Vlaue (Cr)'!$C:$FB,67)</f>
        <v>2512</v>
      </c>
      <c r="O28" s="5">
        <f>VLOOKUP($B28,'Data Vlaue (Cr)'!$C:$FB,68)</f>
        <v>1293</v>
      </c>
      <c r="P28" s="5">
        <f t="shared" si="8"/>
        <v>48.527070063694268</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Banking</v>
      </c>
      <c r="B29" s="79" t="str">
        <f>'Data shares'!C24</f>
        <v>AXISBANK</v>
      </c>
      <c r="C29" s="4">
        <f>VLOOKUP($B29,'Data shares'!$C:$FB,7)</f>
        <v>1068.4000000000001</v>
      </c>
      <c r="D29" s="82">
        <f>VLOOKUP($B29,'Data shares'!$C:$FB,98)</f>
        <v>118940625</v>
      </c>
      <c r="E29" s="165">
        <f>VLOOKUP(B29,'Snapshot (Volume)'!$A$7:$G$168,7,0)</f>
        <v>159758125</v>
      </c>
      <c r="F29" s="165">
        <f t="shared" si="5"/>
        <v>-40817500</v>
      </c>
      <c r="G29" s="166">
        <f t="shared" si="6"/>
        <v>-0.25549561250797104</v>
      </c>
      <c r="H29" s="165">
        <f>VLOOKUP($B29,'Data shares'!$C:$FB,66)</f>
        <v>67578750</v>
      </c>
      <c r="I29" s="165">
        <f>VLOOKUP($B29,'Data shares'!$C:$FB,67)</f>
        <v>88174375</v>
      </c>
      <c r="J29" s="81">
        <f t="shared" si="7"/>
        <v>-23.35783497189518</v>
      </c>
      <c r="K29" s="5">
        <f>VLOOKUP($B29,'Data Vlaue (Cr)'!$C:$FB,99)</f>
        <v>12779</v>
      </c>
      <c r="L29" s="81">
        <f>VLOOKUP(B29,'OI(Value)'!$A$7:$C$209,3,0)</f>
        <v>-4385</v>
      </c>
      <c r="M29" s="33">
        <f t="shared" si="0"/>
        <v>-34.314109085217936</v>
      </c>
      <c r="N29" s="5">
        <f>VLOOKUP($B29,'Data Vlaue (Cr)'!$C:$FB,67)</f>
        <v>7261</v>
      </c>
      <c r="O29" s="5">
        <f>VLOOKUP($B29,'Data Vlaue (Cr)'!$C:$FB,68)</f>
        <v>9473</v>
      </c>
      <c r="P29" s="5">
        <f t="shared" si="8"/>
        <v>-30.46412339898086</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Automobile</v>
      </c>
      <c r="B30" s="79" t="str">
        <f>'Data shares'!C25</f>
        <v>BAJAJ-AUTO</v>
      </c>
      <c r="C30" s="4">
        <f>VLOOKUP($B30,'Data shares'!$C:$FB,7)</f>
        <v>8008</v>
      </c>
      <c r="D30" s="82">
        <f>VLOOKUP($B30,'Data shares'!$C:$FB,98)</f>
        <v>3598575</v>
      </c>
      <c r="E30" s="165">
        <f>VLOOKUP(B30,'Snapshot (Volume)'!$A$7:$G$168,7,0)</f>
        <v>5212950</v>
      </c>
      <c r="F30" s="165">
        <f t="shared" si="5"/>
        <v>-1614375</v>
      </c>
      <c r="G30" s="166">
        <f t="shared" si="6"/>
        <v>-0.30968549477742929</v>
      </c>
      <c r="H30" s="165">
        <f>VLOOKUP($B30,'Data shares'!$C:$FB,66)</f>
        <v>4382250</v>
      </c>
      <c r="I30" s="165">
        <f>VLOOKUP($B30,'Data shares'!$C:$FB,67)</f>
        <v>4138275</v>
      </c>
      <c r="J30" s="81">
        <f t="shared" si="7"/>
        <v>5.8955724305417112</v>
      </c>
      <c r="K30" s="5">
        <f>VLOOKUP($B30,'Data Vlaue (Cr)'!$C:$FB,99)</f>
        <v>2897</v>
      </c>
      <c r="L30" s="81">
        <f>VLOOKUP(B30,'OI(Value)'!$A$7:$C$209,3,0)</f>
        <v>-1300</v>
      </c>
      <c r="M30" s="33">
        <f t="shared" si="0"/>
        <v>-44.874007594062824</v>
      </c>
      <c r="N30" s="5">
        <f>VLOOKUP($B30,'Data Vlaue (Cr)'!$C:$FB,67)</f>
        <v>3528</v>
      </c>
      <c r="O30" s="5">
        <f>VLOOKUP($B30,'Data Vlaue (Cr)'!$C:$FB,68)</f>
        <v>3332</v>
      </c>
      <c r="P30" s="5">
        <f t="shared" si="8"/>
        <v>5.5555555555555554</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Finance</v>
      </c>
      <c r="B31" s="79" t="str">
        <f>'Data shares'!C26</f>
        <v>BAJAJFINSV</v>
      </c>
      <c r="C31" s="4">
        <f>VLOOKUP($B31,'Data shares'!$C:$FB,7)</f>
        <v>1948</v>
      </c>
      <c r="D31" s="82">
        <f>VLOOKUP($B31,'Data shares'!$C:$FB,98)</f>
        <v>21587500</v>
      </c>
      <c r="E31" s="165">
        <f>VLOOKUP(B31,'Snapshot (Volume)'!$A$7:$G$168,7,0)</f>
        <v>31070000</v>
      </c>
      <c r="F31" s="165">
        <f t="shared" si="5"/>
        <v>-9482500</v>
      </c>
      <c r="G31" s="166">
        <f t="shared" si="6"/>
        <v>-0.30519794013517865</v>
      </c>
      <c r="H31" s="165">
        <f>VLOOKUP($B31,'Data shares'!$C:$FB,66)</f>
        <v>19585000</v>
      </c>
      <c r="I31" s="165">
        <f>VLOOKUP($B31,'Data shares'!$C:$FB,67)</f>
        <v>22249500</v>
      </c>
      <c r="J31" s="81">
        <f t="shared" si="7"/>
        <v>-11.975550012359829</v>
      </c>
      <c r="K31" s="5">
        <f>VLOOKUP($B31,'Data Vlaue (Cr)'!$C:$FB,99)</f>
        <v>4219</v>
      </c>
      <c r="L31" s="81">
        <f>VLOOKUP(B31,'OI(Value)'!$A$7:$C$209,3,0)</f>
        <v>-1853</v>
      </c>
      <c r="M31" s="33">
        <f t="shared" si="0"/>
        <v>-43.920360274946667</v>
      </c>
      <c r="N31" s="5">
        <f>VLOOKUP($B31,'Data Vlaue (Cr)'!$C:$FB,67)</f>
        <v>3827</v>
      </c>
      <c r="O31" s="5">
        <f>VLOOKUP($B31,'Data Vlaue (Cr)'!$C:$FB,68)</f>
        <v>4348</v>
      </c>
      <c r="P31" s="5">
        <f t="shared" si="8"/>
        <v>-13.613796707603868</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Finance</v>
      </c>
      <c r="B32" s="79" t="str">
        <f>'Data shares'!C27</f>
        <v>BAJFINANCE</v>
      </c>
      <c r="C32" s="4">
        <f>VLOOKUP($B32,'Data shares'!$C:$FB,7)</f>
        <v>881.2</v>
      </c>
      <c r="D32" s="82">
        <f>VLOOKUP($B32,'Data shares'!$C:$FB,98)</f>
        <v>120872250</v>
      </c>
      <c r="E32" s="165">
        <f>VLOOKUP(B32,'Snapshot (Volume)'!$A$7:$G$168,7,0)</f>
        <v>144811500</v>
      </c>
      <c r="F32" s="165">
        <f t="shared" si="5"/>
        <v>-23939250</v>
      </c>
      <c r="G32" s="166">
        <f t="shared" si="6"/>
        <v>-0.16531318299996892</v>
      </c>
      <c r="H32" s="165">
        <f>VLOOKUP($B32,'Data shares'!$C:$FB,66)</f>
        <v>81753000</v>
      </c>
      <c r="I32" s="165">
        <f>VLOOKUP($B32,'Data shares'!$C:$FB,67)</f>
        <v>85150500</v>
      </c>
      <c r="J32" s="81">
        <f t="shared" si="7"/>
        <v>-3.989994186763437</v>
      </c>
      <c r="K32" s="5">
        <f>VLOOKUP($B32,'Data Vlaue (Cr)'!$C:$FB,99)</f>
        <v>10685</v>
      </c>
      <c r="L32" s="81">
        <f>VLOOKUP(B32,'OI(Value)'!$A$7:$C$209,3,0)</f>
        <v>-2116</v>
      </c>
      <c r="M32" s="33">
        <f t="shared" si="0"/>
        <v>-19.803462798315397</v>
      </c>
      <c r="N32" s="5">
        <f>VLOOKUP($B32,'Data Vlaue (Cr)'!$C:$FB,67)</f>
        <v>7227</v>
      </c>
      <c r="O32" s="5">
        <f>VLOOKUP($B32,'Data Vlaue (Cr)'!$C:$FB,68)</f>
        <v>7527</v>
      </c>
      <c r="P32" s="5">
        <f t="shared" si="8"/>
        <v>-4.1511000415110004</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Automobile</v>
      </c>
      <c r="B33" s="79" t="str">
        <f>'Data shares'!C28</f>
        <v>BALKRISIND</v>
      </c>
      <c r="C33" s="4">
        <f>VLOOKUP($B33,'Data shares'!$C:$FB,7)</f>
        <v>2676.2</v>
      </c>
      <c r="D33" s="82">
        <f>VLOOKUP($B33,'Data shares'!$C:$FB,98)</f>
        <v>1370700</v>
      </c>
      <c r="E33" s="165">
        <f>VLOOKUP(B33,'Snapshot (Volume)'!$A$7:$G$168,7,0)</f>
        <v>2553600</v>
      </c>
      <c r="F33" s="165">
        <f t="shared" si="5"/>
        <v>-1182900</v>
      </c>
      <c r="G33" s="166">
        <f t="shared" si="6"/>
        <v>-0.46322838345864664</v>
      </c>
      <c r="H33" s="165">
        <f>VLOOKUP($B33,'Data shares'!$C:$FB,66)</f>
        <v>2619900</v>
      </c>
      <c r="I33" s="165">
        <f>VLOOKUP($B33,'Data shares'!$C:$FB,67)</f>
        <v>2550600</v>
      </c>
      <c r="J33" s="81">
        <f t="shared" si="7"/>
        <v>2.7170077628793226</v>
      </c>
      <c r="K33" s="5">
        <f>VLOOKUP($B33,'Data Vlaue (Cr)'!$C:$FB,99)</f>
        <v>0</v>
      </c>
      <c r="L33" s="81">
        <f>VLOOKUP(B33,'OI(Value)'!$A$7:$C$209,3,0)</f>
        <v>0</v>
      </c>
      <c r="M33" s="33" t="e">
        <f t="shared" si="0"/>
        <v>#DIV/0!</v>
      </c>
      <c r="N33" s="5">
        <f>VLOOKUP($B33,'Data Vlaue (Cr)'!$C:$FB,67)</f>
        <v>0</v>
      </c>
      <c r="O33" s="5">
        <f>VLOOKUP($B33,'Data Vlaue (Cr)'!$C:$FB,68)</f>
        <v>0</v>
      </c>
      <c r="P33" s="5" t="e">
        <f t="shared" si="8"/>
        <v>#DIV/0!</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Banking</v>
      </c>
      <c r="B34" s="79" t="str">
        <f>'Data shares'!C29</f>
        <v>BANDHANBNK</v>
      </c>
      <c r="C34" s="4">
        <f>VLOOKUP($B34,'Data shares'!$C:$FB,7)</f>
        <v>168.08</v>
      </c>
      <c r="D34" s="82">
        <f>VLOOKUP($B34,'Data shares'!$C:$FB,98)</f>
        <v>107305200</v>
      </c>
      <c r="E34" s="165">
        <f>VLOOKUP(B34,'Snapshot (Volume)'!$A$7:$G$168,7,0)</f>
        <v>145281600</v>
      </c>
      <c r="F34" s="165">
        <f t="shared" si="5"/>
        <v>-37976400</v>
      </c>
      <c r="G34" s="166">
        <f t="shared" si="6"/>
        <v>-0.26139855287937358</v>
      </c>
      <c r="H34" s="165">
        <f>VLOOKUP($B34,'Data shares'!$C:$FB,66)</f>
        <v>79027200</v>
      </c>
      <c r="I34" s="165">
        <f>VLOOKUP($B34,'Data shares'!$C:$FB,67)</f>
        <v>84711600</v>
      </c>
      <c r="J34" s="81">
        <f t="shared" si="7"/>
        <v>-6.710297054948791</v>
      </c>
      <c r="K34" s="5">
        <f>VLOOKUP($B34,'Data Vlaue (Cr)'!$C:$FB,99)</f>
        <v>1798</v>
      </c>
      <c r="L34" s="81">
        <f>VLOOKUP(B34,'OI(Value)'!$A$7:$C$209,3,0)</f>
        <v>-636</v>
      </c>
      <c r="M34" s="33">
        <f t="shared" si="0"/>
        <v>-35.372636262513907</v>
      </c>
      <c r="N34" s="5">
        <f>VLOOKUP($B34,'Data Vlaue (Cr)'!$C:$FB,67)</f>
        <v>1324</v>
      </c>
      <c r="O34" s="5">
        <f>VLOOKUP($B34,'Data Vlaue (Cr)'!$C:$FB,68)</f>
        <v>1419</v>
      </c>
      <c r="P34" s="5">
        <f t="shared" si="8"/>
        <v>-7.1752265861027187</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Banking</v>
      </c>
      <c r="B35" s="79" t="str">
        <f>'Data shares'!C30</f>
        <v>BANKBARODA</v>
      </c>
      <c r="C35" s="4">
        <f>VLOOKUP($B35,'Data shares'!$C:$FB,7)</f>
        <v>237.87</v>
      </c>
      <c r="D35" s="82">
        <f>VLOOKUP($B35,'Data shares'!$C:$FB,98)</f>
        <v>151535475</v>
      </c>
      <c r="E35" s="165">
        <f>VLOOKUP(B35,'Snapshot (Volume)'!$A$7:$G$168,7,0)</f>
        <v>193901175</v>
      </c>
      <c r="F35" s="165">
        <f t="shared" si="5"/>
        <v>-42365700</v>
      </c>
      <c r="G35" s="166">
        <f t="shared" si="6"/>
        <v>-0.21849119790016744</v>
      </c>
      <c r="H35" s="165">
        <f>VLOOKUP($B35,'Data shares'!$C:$FB,66)</f>
        <v>108450225</v>
      </c>
      <c r="I35" s="165">
        <f>VLOOKUP($B35,'Data shares'!$C:$FB,67)</f>
        <v>117684450</v>
      </c>
      <c r="J35" s="81">
        <f t="shared" si="7"/>
        <v>-7.8465974051796987</v>
      </c>
      <c r="K35" s="5">
        <f>VLOOKUP($B35,'Data Vlaue (Cr)'!$C:$FB,99)</f>
        <v>3622</v>
      </c>
      <c r="L35" s="81">
        <f>VLOOKUP(B35,'OI(Value)'!$A$7:$C$209,3,0)</f>
        <v>-1013</v>
      </c>
      <c r="M35" s="33">
        <f t="shared" si="0"/>
        <v>-27.96797349530646</v>
      </c>
      <c r="N35" s="5">
        <f>VLOOKUP($B35,'Data Vlaue (Cr)'!$C:$FB,67)</f>
        <v>2592</v>
      </c>
      <c r="O35" s="5">
        <f>VLOOKUP($B35,'Data Vlaue (Cr)'!$C:$FB,68)</f>
        <v>2813</v>
      </c>
      <c r="P35" s="5">
        <f t="shared" si="8"/>
        <v>-8.5262345679012341</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Banking</v>
      </c>
      <c r="B36" s="79" t="str">
        <f>'Data shares'!C31</f>
        <v>BANKINDIA</v>
      </c>
      <c r="C36" s="4">
        <f>VLOOKUP($B36,'Data shares'!$C:$FB,7)</f>
        <v>111.38</v>
      </c>
      <c r="D36" s="82">
        <f>VLOOKUP($B36,'Data shares'!$C:$FB,98)</f>
        <v>85607600</v>
      </c>
      <c r="E36" s="165">
        <f>VLOOKUP(B36,'Snapshot (Volume)'!$A$7:$G$168,7,0)</f>
        <v>119834000</v>
      </c>
      <c r="F36" s="165">
        <f t="shared" si="5"/>
        <v>-34226400</v>
      </c>
      <c r="G36" s="166">
        <f t="shared" si="6"/>
        <v>-0.28561510088956388</v>
      </c>
      <c r="H36" s="165">
        <f>VLOOKUP($B36,'Data shares'!$C:$FB,66)</f>
        <v>91748800</v>
      </c>
      <c r="I36" s="165">
        <f>VLOOKUP($B36,'Data shares'!$C:$FB,67)</f>
        <v>168688000</v>
      </c>
      <c r="J36" s="81">
        <f t="shared" si="7"/>
        <v>-45.610357583230581</v>
      </c>
      <c r="K36" s="5">
        <f>VLOOKUP($B36,'Data Vlaue (Cr)'!$C:$FB,99)</f>
        <v>958</v>
      </c>
      <c r="L36" s="81">
        <f>VLOOKUP(B36,'OI(Value)'!$A$7:$C$209,3,0)</f>
        <v>-383</v>
      </c>
      <c r="M36" s="33">
        <f t="shared" si="0"/>
        <v>-39.979123173277664</v>
      </c>
      <c r="N36" s="5">
        <f>VLOOKUP($B36,'Data Vlaue (Cr)'!$C:$FB,67)</f>
        <v>1027</v>
      </c>
      <c r="O36" s="5">
        <f>VLOOKUP($B36,'Data Vlaue (Cr)'!$C:$FB,68)</f>
        <v>1887</v>
      </c>
      <c r="P36" s="5">
        <f t="shared" si="8"/>
        <v>-83.739045764362217</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Index</v>
      </c>
      <c r="B37" s="79" t="str">
        <f>'Data shares'!C32</f>
        <v>BANKNIFTY</v>
      </c>
      <c r="C37" s="4">
        <f>VLOOKUP($B37,'Data shares'!$C:$FB,7)</f>
        <v>55961.95</v>
      </c>
      <c r="D37" s="82">
        <f>VLOOKUP($B37,'Data shares'!$C:$FB,98)</f>
        <v>20836550</v>
      </c>
      <c r="E37" s="165">
        <f>VLOOKUP(B37,'Snapshot (Volume)'!$A$7:$G$168,7,0)</f>
        <v>61660245</v>
      </c>
      <c r="F37" s="165">
        <f t="shared" ref="F37:F43" si="9">D37-E37</f>
        <v>-40823695</v>
      </c>
      <c r="G37" s="166">
        <f t="shared" ref="G37:G43" si="10">F37/E37</f>
        <v>-0.66207481011468572</v>
      </c>
      <c r="H37" s="165">
        <f>VLOOKUP($B37,'Data shares'!$C:$FB,66)</f>
        <v>3100447385</v>
      </c>
      <c r="I37" s="165">
        <f>VLOOKUP($B37,'Data shares'!$C:$FB,67)</f>
        <v>571305980</v>
      </c>
      <c r="J37" s="81">
        <f t="shared" ref="J37:J43" si="11">(H37-I37)/I37*100</f>
        <v>442.6947193866236</v>
      </c>
      <c r="K37" s="5">
        <f>VLOOKUP($B37,'Data Vlaue (Cr)'!$C:$FB,99)</f>
        <v>117089</v>
      </c>
      <c r="L37" s="81">
        <f>VLOOKUP(B37,'OI(Value)'!$A$7:$C$209,3,0)</f>
        <v>-229405</v>
      </c>
      <c r="M37" s="33">
        <f t="shared" ref="M37:M65" si="12">L37/K37*100</f>
        <v>-195.92361366140287</v>
      </c>
      <c r="N37" s="5">
        <f>VLOOKUP($B37,'Data Vlaue (Cr)'!$C:$FB,67)</f>
        <v>17422654</v>
      </c>
      <c r="O37" s="5">
        <f>VLOOKUP($B37,'Data Vlaue (Cr)'!$C:$FB,68)</f>
        <v>3210397</v>
      </c>
      <c r="P37" s="5">
        <f t="shared" ref="P37:P43" si="13">(N37-O37)/N37*100</f>
        <v>81.573433071677826</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Capital_Goods</v>
      </c>
      <c r="B38" s="79" t="str">
        <f>'Data shares'!C33</f>
        <v>BDL</v>
      </c>
      <c r="C38" s="4">
        <f>VLOOKUP($B38,'Data shares'!$C:$FB,7)</f>
        <v>1619</v>
      </c>
      <c r="D38" s="82">
        <f>VLOOKUP($B38,'Data shares'!$C:$FB,98)</f>
        <v>5753150</v>
      </c>
      <c r="E38" s="165">
        <f>VLOOKUP(B38,'Snapshot (Volume)'!$A$7:$G$168,7,0)</f>
        <v>9858875</v>
      </c>
      <c r="F38" s="165">
        <f t="shared" si="9"/>
        <v>-4105725</v>
      </c>
      <c r="G38" s="166">
        <f t="shared" si="10"/>
        <v>-0.41644964562386683</v>
      </c>
      <c r="H38" s="165">
        <f>VLOOKUP($B38,'Data shares'!$C:$FB,66)</f>
        <v>7176000</v>
      </c>
      <c r="I38" s="165">
        <f>VLOOKUP($B38,'Data shares'!$C:$FB,67)</f>
        <v>6029075</v>
      </c>
      <c r="J38" s="81">
        <f t="shared" si="11"/>
        <v>19.023233248881464</v>
      </c>
      <c r="K38" s="5">
        <f>VLOOKUP($B38,'Data Vlaue (Cr)'!$C:$FB,99)</f>
        <v>936</v>
      </c>
      <c r="L38" s="81">
        <f>VLOOKUP(B38,'OI(Value)'!$A$7:$C$209,3,0)</f>
        <v>-668</v>
      </c>
      <c r="M38" s="33">
        <f t="shared" si="12"/>
        <v>-71.367521367521363</v>
      </c>
      <c r="N38" s="5">
        <f>VLOOKUP($B38,'Data Vlaue (Cr)'!$C:$FB,67)</f>
        <v>1168</v>
      </c>
      <c r="O38" s="5">
        <f>VLOOKUP($B38,'Data Vlaue (Cr)'!$C:$FB,68)</f>
        <v>981</v>
      </c>
      <c r="P38" s="5">
        <f t="shared" si="13"/>
        <v>16.010273972602739</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BEL</v>
      </c>
      <c r="C39" s="4">
        <f>VLOOKUP($B39,'Data shares'!$C:$FB,7)</f>
        <v>383.1</v>
      </c>
      <c r="D39" s="82">
        <f>VLOOKUP($B39,'Data shares'!$C:$FB,98)</f>
        <v>193600500</v>
      </c>
      <c r="E39" s="165">
        <f>VLOOKUP(B39,'Snapshot (Volume)'!$A$7:$G$168,7,0)</f>
        <v>277552950</v>
      </c>
      <c r="F39" s="165">
        <f t="shared" si="9"/>
        <v>-83952450</v>
      </c>
      <c r="G39" s="166">
        <f t="shared" si="10"/>
        <v>-0.302473636111596</v>
      </c>
      <c r="H39" s="165">
        <f>VLOOKUP($B39,'Data shares'!$C:$FB,66)</f>
        <v>216953400</v>
      </c>
      <c r="I39" s="165">
        <f>VLOOKUP($B39,'Data shares'!$C:$FB,67)</f>
        <v>231690750</v>
      </c>
      <c r="J39" s="81">
        <f t="shared" si="11"/>
        <v>-6.3607847961129229</v>
      </c>
      <c r="K39" s="5">
        <f>VLOOKUP($B39,'Data Vlaue (Cr)'!$C:$FB,99)</f>
        <v>7452</v>
      </c>
      <c r="L39" s="81">
        <f>VLOOKUP(B39,'OI(Value)'!$A$7:$C$209,3,0)</f>
        <v>-3231</v>
      </c>
      <c r="M39" s="33">
        <f t="shared" si="12"/>
        <v>-43.35748792270531</v>
      </c>
      <c r="N39" s="5">
        <f>VLOOKUP($B39,'Data Vlaue (Cr)'!$C:$FB,67)</f>
        <v>8351</v>
      </c>
      <c r="O39" s="5">
        <f>VLOOKUP($B39,'Data Vlaue (Cr)'!$C:$FB,68)</f>
        <v>8918</v>
      </c>
      <c r="P39" s="5">
        <f t="shared" si="13"/>
        <v>-6.7896060352053649</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Automobile</v>
      </c>
      <c r="B40" s="79" t="str">
        <f>'Data shares'!C35</f>
        <v>BHARATFORG</v>
      </c>
      <c r="C40" s="4">
        <f>VLOOKUP($B40,'Data shares'!$C:$FB,7)</f>
        <v>1169.0999999999999</v>
      </c>
      <c r="D40" s="82">
        <f>VLOOKUP($B40,'Data shares'!$C:$FB,98)</f>
        <v>14484500</v>
      </c>
      <c r="E40" s="165">
        <f>VLOOKUP(B40,'Snapshot (Volume)'!$A$7:$G$168,7,0)</f>
        <v>18412000</v>
      </c>
      <c r="F40" s="165">
        <f t="shared" si="9"/>
        <v>-3927500</v>
      </c>
      <c r="G40" s="166">
        <f t="shared" si="10"/>
        <v>-0.2133119704540517</v>
      </c>
      <c r="H40" s="165">
        <f>VLOOKUP($B40,'Data shares'!$C:$FB,66)</f>
        <v>15767000</v>
      </c>
      <c r="I40" s="165">
        <f>VLOOKUP($B40,'Data shares'!$C:$FB,67)</f>
        <v>19119500</v>
      </c>
      <c r="J40" s="81">
        <f t="shared" si="11"/>
        <v>-17.534454352885799</v>
      </c>
      <c r="K40" s="5">
        <f>VLOOKUP($B40,'Data Vlaue (Cr)'!$C:$FB,99)</f>
        <v>1697</v>
      </c>
      <c r="L40" s="81">
        <f>VLOOKUP(B40,'OI(Value)'!$A$7:$C$209,3,0)</f>
        <v>-460</v>
      </c>
      <c r="M40" s="33">
        <f t="shared" si="12"/>
        <v>-27.106658809664115</v>
      </c>
      <c r="N40" s="5">
        <f>VLOOKUP($B40,'Data Vlaue (Cr)'!$C:$FB,67)</f>
        <v>1847</v>
      </c>
      <c r="O40" s="5">
        <f>VLOOKUP($B40,'Data Vlaue (Cr)'!$C:$FB,68)</f>
        <v>2240</v>
      </c>
      <c r="P40" s="5">
        <f t="shared" si="13"/>
        <v>-21.277747698971304</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Telecom</v>
      </c>
      <c r="B41" s="79" t="str">
        <f>'Data shares'!C36</f>
        <v>BHARTIARTL</v>
      </c>
      <c r="C41" s="4">
        <f>VLOOKUP($B41,'Data shares'!$C:$FB,7)</f>
        <v>1914.3</v>
      </c>
      <c r="D41" s="82">
        <f>VLOOKUP($B41,'Data shares'!$C:$FB,98)</f>
        <v>51979725</v>
      </c>
      <c r="E41" s="165">
        <f>VLOOKUP(B41,'Snapshot (Volume)'!$A$7:$G$168,7,0)</f>
        <v>72238000</v>
      </c>
      <c r="F41" s="165">
        <f t="shared" si="9"/>
        <v>-20258275</v>
      </c>
      <c r="G41" s="166">
        <f t="shared" si="10"/>
        <v>-0.2804379274066281</v>
      </c>
      <c r="H41" s="165">
        <f>VLOOKUP($B41,'Data shares'!$C:$FB,66)</f>
        <v>37129800</v>
      </c>
      <c r="I41" s="165">
        <f>VLOOKUP($B41,'Data shares'!$C:$FB,67)</f>
        <v>50939000</v>
      </c>
      <c r="J41" s="81">
        <f t="shared" si="11"/>
        <v>-27.109287579261469</v>
      </c>
      <c r="K41" s="5">
        <f>VLOOKUP($B41,'Data Vlaue (Cr)'!$C:$FB,99)</f>
        <v>9989</v>
      </c>
      <c r="L41" s="81">
        <f>VLOOKUP(B41,'OI(Value)'!$A$7:$C$209,3,0)</f>
        <v>-3893</v>
      </c>
      <c r="M41" s="33">
        <f t="shared" si="12"/>
        <v>-38.972870157172892</v>
      </c>
      <c r="N41" s="5">
        <f>VLOOKUP($B41,'Data Vlaue (Cr)'!$C:$FB,67)</f>
        <v>7135</v>
      </c>
      <c r="O41" s="5">
        <f>VLOOKUP($B41,'Data Vlaue (Cr)'!$C:$FB,68)</f>
        <v>9789</v>
      </c>
      <c r="P41" s="5">
        <f t="shared" si="13"/>
        <v>-37.196916608269099</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Capital_Goods</v>
      </c>
      <c r="B42" s="79" t="str">
        <f>'Data shares'!C37</f>
        <v>BHEL</v>
      </c>
      <c r="C42" s="4">
        <f>VLOOKUP($B42,'Data shares'!$C:$FB,7)</f>
        <v>238.45</v>
      </c>
      <c r="D42" s="82">
        <f>VLOOKUP($B42,'Data shares'!$C:$FB,98)</f>
        <v>76993875</v>
      </c>
      <c r="E42" s="165">
        <f>VLOOKUP(B42,'Snapshot (Volume)'!$A$7:$G$168,7,0)</f>
        <v>108864000</v>
      </c>
      <c r="F42" s="165">
        <f t="shared" si="9"/>
        <v>-31870125</v>
      </c>
      <c r="G42" s="166">
        <f t="shared" si="10"/>
        <v>-0.2927517361111111</v>
      </c>
      <c r="H42" s="165">
        <f>VLOOKUP($B42,'Data shares'!$C:$FB,66)</f>
        <v>78831375</v>
      </c>
      <c r="I42" s="165">
        <f>VLOOKUP($B42,'Data shares'!$C:$FB,67)</f>
        <v>63496125</v>
      </c>
      <c r="J42" s="81">
        <f t="shared" si="11"/>
        <v>24.151473810409691</v>
      </c>
      <c r="K42" s="5">
        <f>VLOOKUP($B42,'Data Vlaue (Cr)'!$C:$FB,99)</f>
        <v>1841</v>
      </c>
      <c r="L42" s="81">
        <f>VLOOKUP(B42,'OI(Value)'!$A$7:$C$209,3,0)</f>
        <v>-762</v>
      </c>
      <c r="M42" s="33">
        <f t="shared" si="12"/>
        <v>-41.390548614883215</v>
      </c>
      <c r="N42" s="5">
        <f>VLOOKUP($B42,'Data Vlaue (Cr)'!$C:$FB,67)</f>
        <v>1885</v>
      </c>
      <c r="O42" s="5">
        <f>VLOOKUP($B42,'Data Vlaue (Cr)'!$C:$FB,68)</f>
        <v>1518</v>
      </c>
      <c r="P42" s="5">
        <f t="shared" si="13"/>
        <v>19.469496021220159</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Pharma</v>
      </c>
      <c r="B43" s="79" t="str">
        <f>'Data shares'!C38</f>
        <v>BIOCON</v>
      </c>
      <c r="C43" s="4">
        <f>VLOOKUP($B43,'Data shares'!$C:$FB,7)</f>
        <v>391.4</v>
      </c>
      <c r="D43" s="82">
        <f>VLOOKUP($B43,'Data shares'!$C:$FB,98)</f>
        <v>50290000</v>
      </c>
      <c r="E43" s="165">
        <f>VLOOKUP(B43,'Snapshot (Volume)'!$A$7:$G$168,7,0)</f>
        <v>74765000</v>
      </c>
      <c r="F43" s="165">
        <f t="shared" si="9"/>
        <v>-24475000</v>
      </c>
      <c r="G43" s="166">
        <f t="shared" si="10"/>
        <v>-0.32735905838293317</v>
      </c>
      <c r="H43" s="165">
        <f>VLOOKUP($B43,'Data shares'!$C:$FB,66)</f>
        <v>57230000</v>
      </c>
      <c r="I43" s="165">
        <f>VLOOKUP($B43,'Data shares'!$C:$FB,67)</f>
        <v>64237500</v>
      </c>
      <c r="J43" s="81">
        <f t="shared" si="11"/>
        <v>-10.908737108386845</v>
      </c>
      <c r="K43" s="5">
        <f>VLOOKUP($B43,'Data Vlaue (Cr)'!$C:$FB,99)</f>
        <v>1979</v>
      </c>
      <c r="L43" s="81">
        <f>VLOOKUP(B43,'OI(Value)'!$A$7:$C$209,3,0)</f>
        <v>-963</v>
      </c>
      <c r="M43" s="33">
        <f t="shared" si="12"/>
        <v>-48.660939868620517</v>
      </c>
      <c r="N43" s="5">
        <f>VLOOKUP($B43,'Data Vlaue (Cr)'!$C:$FB,67)</f>
        <v>2252</v>
      </c>
      <c r="O43" s="5">
        <f>VLOOKUP($B43,'Data Vlaue (Cr)'!$C:$FB,68)</f>
        <v>2528</v>
      </c>
      <c r="P43" s="5">
        <f t="shared" si="13"/>
        <v>-12.255772646536411</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Capital_Goods</v>
      </c>
      <c r="B44" s="79" t="str">
        <f>'Data shares'!C39</f>
        <v>BLUESTARCO</v>
      </c>
      <c r="C44" s="79">
        <f>VLOOKUP($B44,'Data shares'!$C:$FB,7)</f>
        <v>1738.1</v>
      </c>
      <c r="D44" s="165">
        <f>VLOOKUP($B44,'Data shares'!$C:$FB,98)</f>
        <v>1559675</v>
      </c>
      <c r="E44" s="165">
        <f>VLOOKUP(B44,'Snapshot (Volume)'!$A$7:$G$168,7,0)</f>
        <v>3478800</v>
      </c>
      <c r="F44" s="165">
        <f t="shared" ref="F44:F49" si="14">D44-E44</f>
        <v>-1919125</v>
      </c>
      <c r="G44" s="166">
        <f t="shared" ref="G44:G49" si="15">F44/E44</f>
        <v>-0.55166292974588937</v>
      </c>
      <c r="H44" s="165">
        <f>VLOOKUP($B44,'Data shares'!$C:$FB,66)</f>
        <v>1975675</v>
      </c>
      <c r="I44" s="165">
        <f>VLOOKUP($B44,'Data shares'!$C:$FB,67)</f>
        <v>2619175</v>
      </c>
      <c r="J44" s="81">
        <f t="shared" ref="J44:J49" si="16">(H44-I44)/I44*100</f>
        <v>-24.568805062662861</v>
      </c>
      <c r="K44" s="81">
        <f>VLOOKUP($B44,'Data Vlaue (Cr)'!$C:$FB,99)</f>
        <v>272</v>
      </c>
      <c r="L44" s="81">
        <f>VLOOKUP(B44,'OI(Value)'!$A$7:$C$209,3,0)</f>
        <v>-335</v>
      </c>
      <c r="M44" s="81">
        <f t="shared" si="12"/>
        <v>-123.16176470588236</v>
      </c>
      <c r="N44" s="81">
        <f>VLOOKUP($B44,'Data Vlaue (Cr)'!$C:$FB,67)</f>
        <v>345</v>
      </c>
      <c r="O44" s="81">
        <f>VLOOKUP($B44,'Data Vlaue (Cr)'!$C:$FB,68)</f>
        <v>457</v>
      </c>
      <c r="P44" s="81">
        <f t="shared" ref="P44:P49" si="17">(N44-O44)/N44*100</f>
        <v>-32.463768115942024</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Automobile</v>
      </c>
      <c r="B45" s="79" t="str">
        <f>'Data shares'!C40</f>
        <v>BOSCHLTD</v>
      </c>
      <c r="C45" s="4">
        <f>VLOOKUP($B45,'Data shares'!$C:$FB,7)</f>
        <v>40385</v>
      </c>
      <c r="D45" s="82">
        <f>VLOOKUP($B45,'Data shares'!$C:$FB,98)</f>
        <v>423200</v>
      </c>
      <c r="E45" s="165">
        <f>VLOOKUP(B45,'Snapshot (Volume)'!$A$7:$G$168,7,0)</f>
        <v>1023475</v>
      </c>
      <c r="F45" s="165">
        <f t="shared" si="14"/>
        <v>-600275</v>
      </c>
      <c r="G45" s="166">
        <f t="shared" si="15"/>
        <v>-0.58650675395100027</v>
      </c>
      <c r="H45" s="165">
        <f>VLOOKUP($B45,'Data shares'!$C:$FB,66)</f>
        <v>1943200</v>
      </c>
      <c r="I45" s="165">
        <f>VLOOKUP($B45,'Data shares'!$C:$FB,67)</f>
        <v>5320675</v>
      </c>
      <c r="J45" s="81">
        <f t="shared" si="16"/>
        <v>-63.478318070545555</v>
      </c>
      <c r="K45" s="5">
        <f>VLOOKUP($B45,'Data Vlaue (Cr)'!$C:$FB,99)</f>
        <v>1714</v>
      </c>
      <c r="L45" s="81">
        <f>VLOOKUP(B45,'OI(Value)'!$A$7:$C$209,3,0)</f>
        <v>-2431</v>
      </c>
      <c r="M45" s="33">
        <f t="shared" si="12"/>
        <v>-141.83197199533254</v>
      </c>
      <c r="N45" s="5">
        <f>VLOOKUP($B45,'Data Vlaue (Cr)'!$C:$FB,67)</f>
        <v>7869</v>
      </c>
      <c r="O45" s="5">
        <f>VLOOKUP($B45,'Data Vlaue (Cr)'!$C:$FB,68)</f>
        <v>21546</v>
      </c>
      <c r="P45" s="5">
        <f t="shared" si="17"/>
        <v>-173.80861608844833</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Oil_Gas</v>
      </c>
      <c r="B46" s="79" t="str">
        <f>'Data shares'!C41</f>
        <v>BPCL</v>
      </c>
      <c r="C46" s="4">
        <f>VLOOKUP($B46,'Data shares'!$C:$FB,7)</f>
        <v>329.3</v>
      </c>
      <c r="D46" s="82">
        <f>VLOOKUP($B46,'Data shares'!$C:$FB,98)</f>
        <v>50350650</v>
      </c>
      <c r="E46" s="165">
        <f>VLOOKUP(B46,'Snapshot (Volume)'!$A$7:$G$168,7,0)</f>
        <v>87569525</v>
      </c>
      <c r="F46" s="165">
        <f t="shared" si="14"/>
        <v>-37218875</v>
      </c>
      <c r="G46" s="166">
        <f t="shared" si="15"/>
        <v>-0.42502086199508332</v>
      </c>
      <c r="H46" s="165">
        <f>VLOOKUP($B46,'Data shares'!$C:$FB,66)</f>
        <v>74056575</v>
      </c>
      <c r="I46" s="165">
        <f>VLOOKUP($B46,'Data shares'!$C:$FB,67)</f>
        <v>198611925</v>
      </c>
      <c r="J46" s="81">
        <f t="shared" si="16"/>
        <v>-62.712926225351275</v>
      </c>
      <c r="K46" s="5">
        <f>VLOOKUP($B46,'Data Vlaue (Cr)'!$C:$FB,99)</f>
        <v>1654</v>
      </c>
      <c r="L46" s="81">
        <f>VLOOKUP(B46,'OI(Value)'!$A$7:$C$209,3,0)</f>
        <v>-1222</v>
      </c>
      <c r="M46" s="33">
        <f t="shared" si="12"/>
        <v>-73.881499395405086</v>
      </c>
      <c r="N46" s="5">
        <f>VLOOKUP($B46,'Data Vlaue (Cr)'!$C:$FB,67)</f>
        <v>2432</v>
      </c>
      <c r="O46" s="5">
        <f>VLOOKUP($B46,'Data Vlaue (Cr)'!$C:$FB,68)</f>
        <v>6523</v>
      </c>
      <c r="P46" s="5">
        <f t="shared" si="17"/>
        <v>-168.21546052631581</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FMCG</v>
      </c>
      <c r="B47" s="79" t="str">
        <f>'Data shares'!C42</f>
        <v>BRITANNIA</v>
      </c>
      <c r="C47" s="4">
        <f>VLOOKUP($B47,'Data shares'!$C:$FB,7)</f>
        <v>5771</v>
      </c>
      <c r="D47" s="82">
        <f>VLOOKUP($B47,'Data shares'!$C:$FB,98)</f>
        <v>3374500</v>
      </c>
      <c r="E47" s="165">
        <f>VLOOKUP(B47,'Snapshot (Volume)'!$A$7:$G$168,7,0)</f>
        <v>4218750</v>
      </c>
      <c r="F47" s="165">
        <f t="shared" si="14"/>
        <v>-844250</v>
      </c>
      <c r="G47" s="166">
        <f t="shared" si="15"/>
        <v>-0.20011851851851853</v>
      </c>
      <c r="H47" s="165">
        <f>VLOOKUP($B47,'Data shares'!$C:$FB,66)</f>
        <v>3586750</v>
      </c>
      <c r="I47" s="165">
        <f>VLOOKUP($B47,'Data shares'!$C:$FB,67)</f>
        <v>3424500</v>
      </c>
      <c r="J47" s="81">
        <f t="shared" si="16"/>
        <v>4.7379179442254342</v>
      </c>
      <c r="K47" s="5">
        <f>VLOOKUP($B47,'Data Vlaue (Cr)'!$C:$FB,99)</f>
        <v>1933</v>
      </c>
      <c r="L47" s="81">
        <f>VLOOKUP(B47,'OI(Value)'!$A$7:$C$209,3,0)</f>
        <v>-484</v>
      </c>
      <c r="M47" s="33">
        <f t="shared" si="12"/>
        <v>-25.038799793067774</v>
      </c>
      <c r="N47" s="5">
        <f>VLOOKUP($B47,'Data Vlaue (Cr)'!$C:$FB,67)</f>
        <v>2054</v>
      </c>
      <c r="O47" s="5">
        <f>VLOOKUP($B47,'Data Vlaue (Cr)'!$C:$FB,68)</f>
        <v>1961</v>
      </c>
      <c r="P47" s="5">
        <f t="shared" si="17"/>
        <v>4.5277507302823761</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BSE</v>
      </c>
      <c r="C48" s="4">
        <f>VLOOKUP($B48,'Data shares'!$C:$FB,7)</f>
        <v>2427.4</v>
      </c>
      <c r="D48" s="82">
        <f>VLOOKUP($B48,'Data shares'!$C:$FB,98)</f>
        <v>17468625</v>
      </c>
      <c r="E48" s="165">
        <f>VLOOKUP(B48,'Snapshot (Volume)'!$A$7:$G$168,7,0)</f>
        <v>34536750</v>
      </c>
      <c r="F48" s="165">
        <f t="shared" si="14"/>
        <v>-17068125</v>
      </c>
      <c r="G48" s="166">
        <f t="shared" si="15"/>
        <v>-0.49420182848704641</v>
      </c>
      <c r="H48" s="165">
        <f>VLOOKUP($B48,'Data shares'!$C:$FB,66)</f>
        <v>31802625</v>
      </c>
      <c r="I48" s="165">
        <f>VLOOKUP($B48,'Data shares'!$C:$FB,67)</f>
        <v>33396750</v>
      </c>
      <c r="J48" s="81">
        <f t="shared" si="16"/>
        <v>-4.7732938085292735</v>
      </c>
      <c r="K48" s="5">
        <f>VLOOKUP($B48,'Data Vlaue (Cr)'!$C:$FB,99)</f>
        <v>4258</v>
      </c>
      <c r="L48" s="81">
        <f>VLOOKUP(B48,'OI(Value)'!$A$7:$C$209,3,0)</f>
        <v>-4161</v>
      </c>
      <c r="M48" s="33">
        <f t="shared" si="12"/>
        <v>-97.72193518083607</v>
      </c>
      <c r="N48" s="5">
        <f>VLOOKUP($B48,'Data Vlaue (Cr)'!$C:$FB,67)</f>
        <v>7752</v>
      </c>
      <c r="O48" s="5">
        <f>VLOOKUP($B48,'Data Vlaue (Cr)'!$C:$FB,68)</f>
        <v>8141</v>
      </c>
      <c r="P48" s="5">
        <f t="shared" si="17"/>
        <v>-5.0180598555211553</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Technology</v>
      </c>
      <c r="B49" s="79" t="str">
        <f>'Data shares'!C44</f>
        <v>BSOFT</v>
      </c>
      <c r="C49" s="4">
        <f>VLOOKUP($B49,'Data shares'!$C:$FB,7)</f>
        <v>391.5</v>
      </c>
      <c r="D49" s="82">
        <f>VLOOKUP($B49,'Data shares'!$C:$FB,98)</f>
        <v>7593300</v>
      </c>
      <c r="E49" s="165">
        <f>VLOOKUP(B49,'Snapshot (Volume)'!$A$7:$G$168,7,0)</f>
        <v>12473500</v>
      </c>
      <c r="F49" s="165">
        <f t="shared" si="14"/>
        <v>-4880200</v>
      </c>
      <c r="G49" s="166">
        <f t="shared" si="15"/>
        <v>-0.39124544033350706</v>
      </c>
      <c r="H49" s="165">
        <f>VLOOKUP($B49,'Data shares'!$C:$FB,66)</f>
        <v>10757500</v>
      </c>
      <c r="I49" s="165">
        <f>VLOOKUP($B49,'Data shares'!$C:$FB,67)</f>
        <v>17416100</v>
      </c>
      <c r="J49" s="81">
        <f t="shared" si="16"/>
        <v>-38.232440098529523</v>
      </c>
      <c r="K49" s="5">
        <f>VLOOKUP($B49,'Data Vlaue (Cr)'!$C:$FB,99)</f>
        <v>0</v>
      </c>
      <c r="L49" s="81">
        <f>VLOOKUP(B49,'OI(Value)'!$A$7:$C$209,3,0)</f>
        <v>0</v>
      </c>
      <c r="M49" s="33" t="e">
        <f t="shared" si="12"/>
        <v>#DIV/0!</v>
      </c>
      <c r="N49" s="5">
        <f>VLOOKUP($B49,'Data Vlaue (Cr)'!$C:$FB,67)</f>
        <v>0</v>
      </c>
      <c r="O49" s="5">
        <f>VLOOKUP($B49,'Data Vlaue (Cr)'!$C:$FB,68)</f>
        <v>0</v>
      </c>
      <c r="P49" s="5" t="e">
        <f t="shared" si="17"/>
        <v>#DIV/0!</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Finance</v>
      </c>
      <c r="B50" s="79" t="str">
        <f>'Data shares'!C45</f>
        <v>CAMS</v>
      </c>
      <c r="C50" s="4">
        <f>VLOOKUP($B50,'Data shares'!$C:$FB,7)</f>
        <v>3736.8</v>
      </c>
      <c r="D50" s="82">
        <f>VLOOKUP($B50,'Data shares'!$C:$FB,98)</f>
        <v>3247050</v>
      </c>
      <c r="E50" s="165">
        <f>VLOOKUP(B50,'Snapshot (Volume)'!$A$7:$G$168,7,0)</f>
        <v>4845450</v>
      </c>
      <c r="F50" s="165">
        <f>D50-E50</f>
        <v>-1598400</v>
      </c>
      <c r="G50" s="166">
        <f>F50/E50</f>
        <v>-0.32987648206048975</v>
      </c>
      <c r="H50" s="165">
        <f>VLOOKUP($B50,'Data shares'!$C:$FB,66)</f>
        <v>8335800</v>
      </c>
      <c r="I50" s="165">
        <f>VLOOKUP($B50,'Data shares'!$C:$FB,67)</f>
        <v>3618750</v>
      </c>
      <c r="J50" s="81">
        <f>(H50-I50)/I50*100</f>
        <v>130.35025906735751</v>
      </c>
      <c r="K50" s="5">
        <f>VLOOKUP($B50,'Data Vlaue (Cr)'!$C:$FB,99)</f>
        <v>1217</v>
      </c>
      <c r="L50" s="81">
        <f>VLOOKUP(B50,'OI(Value)'!$A$7:$C$209,3,0)</f>
        <v>-599</v>
      </c>
      <c r="M50" s="33">
        <f t="shared" si="12"/>
        <v>-49.219391947411665</v>
      </c>
      <c r="N50" s="5">
        <f>VLOOKUP($B50,'Data Vlaue (Cr)'!$C:$FB,67)</f>
        <v>3124</v>
      </c>
      <c r="O50" s="5">
        <f>VLOOKUP($B50,'Data Vlaue (Cr)'!$C:$FB,68)</f>
        <v>1356</v>
      </c>
      <c r="P50" s="5">
        <f>(N50-O50)/N50*100</f>
        <v>56.594110115236873</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Banking</v>
      </c>
      <c r="B51" s="79" t="str">
        <f>'Data shares'!C46</f>
        <v>CANBK</v>
      </c>
      <c r="C51" s="4">
        <f>VLOOKUP($B51,'Data shares'!$C:$FB,7)</f>
        <v>107.25</v>
      </c>
      <c r="D51" s="82">
        <f>VLOOKUP($B51,'Data shares'!$C:$FB,98)</f>
        <v>351769500</v>
      </c>
      <c r="E51" s="165">
        <f>VLOOKUP(B51,'Snapshot (Volume)'!$A$7:$G$168,7,0)</f>
        <v>477400500</v>
      </c>
      <c r="F51" s="165">
        <f>D51-E51</f>
        <v>-125631000</v>
      </c>
      <c r="G51" s="166">
        <f>F51/E51</f>
        <v>-0.26315640641348303</v>
      </c>
      <c r="H51" s="165">
        <f>VLOOKUP($B51,'Data shares'!$C:$FB,66)</f>
        <v>343210500</v>
      </c>
      <c r="I51" s="165">
        <f>VLOOKUP($B51,'Data shares'!$C:$FB,67)</f>
        <v>270438750</v>
      </c>
      <c r="J51" s="81">
        <f>(H51-I51)/I51*100</f>
        <v>26.908773243479345</v>
      </c>
      <c r="K51" s="5">
        <f>VLOOKUP($B51,'Data Vlaue (Cr)'!$C:$FB,99)</f>
        <v>3793</v>
      </c>
      <c r="L51" s="81">
        <f>VLOOKUP(B51,'OI(Value)'!$A$7:$C$209,3,0)</f>
        <v>-1355</v>
      </c>
      <c r="M51" s="33">
        <f t="shared" si="12"/>
        <v>-35.723701555496966</v>
      </c>
      <c r="N51" s="5">
        <f>VLOOKUP($B51,'Data Vlaue (Cr)'!$C:$FB,67)</f>
        <v>3701</v>
      </c>
      <c r="O51" s="5">
        <f>VLOOKUP($B51,'Data Vlaue (Cr)'!$C:$FB,68)</f>
        <v>2916</v>
      </c>
      <c r="P51" s="5">
        <f>(N51-O51)/N51*100</f>
        <v>21.210483653066738</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Finance</v>
      </c>
      <c r="B52" s="79" t="str">
        <f>'Data shares'!C47</f>
        <v>CDSL</v>
      </c>
      <c r="C52" s="79">
        <f>VLOOKUP($B52,'Data shares'!$C:$FB,7)</f>
        <v>1480.8</v>
      </c>
      <c r="D52" s="80">
        <f>VLOOKUP($B52,'Data shares'!$C:$FB,98)</f>
        <v>17290000</v>
      </c>
      <c r="E52" s="165">
        <f>VLOOKUP(B52,'Snapshot (Volume)'!$A$7:$G$168,7,0)</f>
        <v>25299925</v>
      </c>
      <c r="F52" s="165">
        <f t="shared" ref="F52:F68" si="18">D52-E52</f>
        <v>-8009925</v>
      </c>
      <c r="G52" s="166">
        <f t="shared" ref="G52:G68" si="19">F52/E52</f>
        <v>-0.31659876462084374</v>
      </c>
      <c r="H52" s="165">
        <f>VLOOKUP($B52,'Data shares'!$C:$FB,66)</f>
        <v>20030275</v>
      </c>
      <c r="I52" s="165">
        <f>VLOOKUP($B52,'Data shares'!$C:$FB,67)</f>
        <v>23890600</v>
      </c>
      <c r="J52" s="81">
        <f t="shared" ref="J52:J68" si="20">(H52-I52)/I52*100</f>
        <v>-16.158342611738508</v>
      </c>
      <c r="K52" s="81">
        <f>VLOOKUP($B52,'Data Vlaue (Cr)'!$C:$FB,99)</f>
        <v>2552</v>
      </c>
      <c r="L52" s="81">
        <f>VLOOKUP(B52,'OI(Value)'!$A$7:$C$209,3,0)</f>
        <v>-1182</v>
      </c>
      <c r="M52" s="81">
        <f t="shared" si="12"/>
        <v>-46.316614420062699</v>
      </c>
      <c r="N52" s="81">
        <f>VLOOKUP($B52,'Data Vlaue (Cr)'!$C:$FB,67)</f>
        <v>2956</v>
      </c>
      <c r="O52" s="81">
        <f>VLOOKUP($B52,'Data Vlaue (Cr)'!$C:$FB,68)</f>
        <v>3526</v>
      </c>
      <c r="P52" s="81">
        <f t="shared" ref="P52:P68" si="21">(N52-O52)/N52*100</f>
        <v>-19.282814614343707</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Power</v>
      </c>
      <c r="B53" s="79" t="str">
        <f>'Data shares'!C48</f>
        <v>CESC</v>
      </c>
      <c r="C53" s="4">
        <f>VLOOKUP($B53,'Data shares'!$C:$FB,7)</f>
        <v>169.51</v>
      </c>
      <c r="D53" s="82">
        <f>VLOOKUP($B53,'Data shares'!$C:$FB,98)</f>
        <v>21557875</v>
      </c>
      <c r="E53" s="165">
        <f>VLOOKUP(B53,'Snapshot (Volume)'!$A$7:$G$168,7,0)</f>
        <v>33882875</v>
      </c>
      <c r="F53" s="165">
        <f t="shared" si="18"/>
        <v>-12325000</v>
      </c>
      <c r="G53" s="166">
        <f t="shared" si="19"/>
        <v>-0.36375307585321492</v>
      </c>
      <c r="H53" s="165">
        <f>VLOOKUP($B53,'Data shares'!$C:$FB,66)</f>
        <v>41760000</v>
      </c>
      <c r="I53" s="165">
        <f>VLOOKUP($B53,'Data shares'!$C:$FB,67)</f>
        <v>51946250</v>
      </c>
      <c r="J53" s="81">
        <f t="shared" si="20"/>
        <v>-19.609211444521982</v>
      </c>
      <c r="K53" s="5">
        <f>VLOOKUP($B53,'Data Vlaue (Cr)'!$C:$FB,99)</f>
        <v>367</v>
      </c>
      <c r="L53" s="81">
        <f>VLOOKUP(B53,'OI(Value)'!$A$7:$C$209,3,0)</f>
        <v>-210</v>
      </c>
      <c r="M53" s="33">
        <f t="shared" si="12"/>
        <v>-57.220708446866489</v>
      </c>
      <c r="N53" s="5">
        <f>VLOOKUP($B53,'Data Vlaue (Cr)'!$C:$FB,67)</f>
        <v>710</v>
      </c>
      <c r="O53" s="5">
        <f>VLOOKUP($B53,'Data Vlaue (Cr)'!$C:$FB,68)</f>
        <v>883</v>
      </c>
      <c r="P53" s="5">
        <f t="shared" si="21"/>
        <v>-24.366197183098592</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Power</v>
      </c>
      <c r="B54" s="79" t="str">
        <f>'Data shares'!C49</f>
        <v>CGPOWER</v>
      </c>
      <c r="C54" s="4">
        <f>VLOOKUP($B54,'Data shares'!$C:$FB,7)</f>
        <v>661.7</v>
      </c>
      <c r="D54" s="82">
        <f>VLOOKUP($B54,'Data shares'!$C:$FB,98)</f>
        <v>20635450</v>
      </c>
      <c r="E54" s="165">
        <f>VLOOKUP(B54,'Snapshot (Volume)'!$A$7:$G$168,7,0)</f>
        <v>28611850</v>
      </c>
      <c r="F54" s="165">
        <f t="shared" si="18"/>
        <v>-7976400</v>
      </c>
      <c r="G54" s="166">
        <f t="shared" si="19"/>
        <v>-0.27877959656575857</v>
      </c>
      <c r="H54" s="165">
        <f>VLOOKUP($B54,'Data shares'!$C:$FB,66)</f>
        <v>12906400</v>
      </c>
      <c r="I54" s="165">
        <f>VLOOKUP($B54,'Data shares'!$C:$FB,67)</f>
        <v>16813000</v>
      </c>
      <c r="J54" s="81">
        <f t="shared" si="20"/>
        <v>-23.235591506572295</v>
      </c>
      <c r="K54" s="5">
        <f>VLOOKUP($B54,'Data Vlaue (Cr)'!$C:$FB,99)</f>
        <v>1371</v>
      </c>
      <c r="L54" s="81">
        <f>VLOOKUP(B54,'OI(Value)'!$A$7:$C$209,3,0)</f>
        <v>-530</v>
      </c>
      <c r="M54" s="33">
        <f t="shared" si="12"/>
        <v>-38.657913931436902</v>
      </c>
      <c r="N54" s="5">
        <f>VLOOKUP($B54,'Data Vlaue (Cr)'!$C:$FB,67)</f>
        <v>857</v>
      </c>
      <c r="O54" s="5">
        <f>VLOOKUP($B54,'Data Vlaue (Cr)'!$C:$FB,68)</f>
        <v>1117</v>
      </c>
      <c r="P54" s="5">
        <f t="shared" si="21"/>
        <v>-30.338389731621941</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Chemicals</v>
      </c>
      <c r="B55" s="79" t="str">
        <f>'Data shares'!C50</f>
        <v>CHAMBLFERT</v>
      </c>
      <c r="C55" s="4">
        <f>VLOOKUP($B55,'Data shares'!$C:$FB,7)</f>
        <v>514.9</v>
      </c>
      <c r="D55" s="82">
        <f>VLOOKUP($B55,'Data shares'!$C:$FB,98)</f>
        <v>5408350</v>
      </c>
      <c r="E55" s="165">
        <f>VLOOKUP(B55,'Snapshot (Volume)'!$A$7:$G$168,7,0)</f>
        <v>12332900</v>
      </c>
      <c r="F55" s="165">
        <f t="shared" si="18"/>
        <v>-6924550</v>
      </c>
      <c r="G55" s="166">
        <f t="shared" si="19"/>
        <v>-0.56146972731474354</v>
      </c>
      <c r="H55" s="165">
        <f>VLOOKUP($B55,'Data shares'!$C:$FB,66)</f>
        <v>11697350</v>
      </c>
      <c r="I55" s="165">
        <f>VLOOKUP($B55,'Data shares'!$C:$FB,67)</f>
        <v>16872000</v>
      </c>
      <c r="J55" s="81">
        <f t="shared" si="20"/>
        <v>-30.670045045045047</v>
      </c>
      <c r="K55" s="5">
        <f>VLOOKUP($B55,'Data Vlaue (Cr)'!$C:$FB,99)</f>
        <v>0</v>
      </c>
      <c r="L55" s="81">
        <f>VLOOKUP(B55,'OI(Value)'!$A$7:$C$209,3,0)</f>
        <v>0</v>
      </c>
      <c r="M55" s="33" t="e">
        <f t="shared" si="12"/>
        <v>#DIV/0!</v>
      </c>
      <c r="N55" s="5">
        <f>VLOOKUP($B55,'Data Vlaue (Cr)'!$C:$FB,67)</f>
        <v>0</v>
      </c>
      <c r="O55" s="5">
        <f>VLOOKUP($B55,'Data Vlaue (Cr)'!$C:$FB,68)</f>
        <v>0</v>
      </c>
      <c r="P55" s="5" t="e">
        <f t="shared" si="21"/>
        <v>#DIV/0!</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Finance</v>
      </c>
      <c r="B56" s="79" t="str">
        <f>'Data shares'!C51</f>
        <v>CHOLAFIN</v>
      </c>
      <c r="C56" s="4">
        <f>VLOOKUP($B56,'Data shares'!$C:$FB,7)</f>
        <v>1443.2</v>
      </c>
      <c r="D56" s="82">
        <f>VLOOKUP($B56,'Data shares'!$C:$FB,98)</f>
        <v>16531875</v>
      </c>
      <c r="E56" s="165">
        <f>VLOOKUP(B56,'Snapshot (Volume)'!$A$7:$G$168,7,0)</f>
        <v>19520625</v>
      </c>
      <c r="F56" s="165">
        <f t="shared" si="18"/>
        <v>-2988750</v>
      </c>
      <c r="G56" s="166">
        <f t="shared" si="19"/>
        <v>-0.15310729036595908</v>
      </c>
      <c r="H56" s="165">
        <f>VLOOKUP($B56,'Data shares'!$C:$FB,66)</f>
        <v>30255000</v>
      </c>
      <c r="I56" s="165">
        <f>VLOOKUP($B56,'Data shares'!$C:$FB,67)</f>
        <v>14141875</v>
      </c>
      <c r="J56" s="81">
        <f t="shared" si="20"/>
        <v>113.93909930613869</v>
      </c>
      <c r="K56" s="5">
        <f>VLOOKUP($B56,'Data Vlaue (Cr)'!$C:$FB,99)</f>
        <v>2359</v>
      </c>
      <c r="L56" s="81">
        <f>VLOOKUP(B56,'OI(Value)'!$A$7:$C$209,3,0)</f>
        <v>-426</v>
      </c>
      <c r="M56" s="33">
        <f t="shared" si="12"/>
        <v>-18.058499364137344</v>
      </c>
      <c r="N56" s="5">
        <f>VLOOKUP($B56,'Data Vlaue (Cr)'!$C:$FB,67)</f>
        <v>4317</v>
      </c>
      <c r="O56" s="5">
        <f>VLOOKUP($B56,'Data Vlaue (Cr)'!$C:$FB,68)</f>
        <v>2018</v>
      </c>
      <c r="P56" s="5">
        <f t="shared" si="21"/>
        <v>53.254574936298361</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Pharma</v>
      </c>
      <c r="B57" s="79" t="str">
        <f>'Data shares'!C52</f>
        <v>CIPLA</v>
      </c>
      <c r="C57" s="4">
        <f>VLOOKUP($B57,'Data shares'!$C:$FB,7)</f>
        <v>1554.6</v>
      </c>
      <c r="D57" s="82">
        <f>VLOOKUP($B57,'Data shares'!$C:$FB,98)</f>
        <v>14310375</v>
      </c>
      <c r="E57" s="165">
        <f>VLOOKUP(B57,'Snapshot (Volume)'!$A$7:$G$168,7,0)</f>
        <v>22341000</v>
      </c>
      <c r="F57" s="165">
        <f t="shared" si="18"/>
        <v>-8030625</v>
      </c>
      <c r="G57" s="166">
        <f t="shared" si="19"/>
        <v>-0.3594568282529878</v>
      </c>
      <c r="H57" s="165">
        <f>VLOOKUP($B57,'Data shares'!$C:$FB,66)</f>
        <v>11991375</v>
      </c>
      <c r="I57" s="165">
        <f>VLOOKUP($B57,'Data shares'!$C:$FB,67)</f>
        <v>18217125</v>
      </c>
      <c r="J57" s="81">
        <f t="shared" si="20"/>
        <v>-34.175260915210274</v>
      </c>
      <c r="K57" s="5">
        <f>VLOOKUP($B57,'Data Vlaue (Cr)'!$C:$FB,99)</f>
        <v>2234</v>
      </c>
      <c r="L57" s="81">
        <f>VLOOKUP(B57,'OI(Value)'!$A$7:$C$209,3,0)</f>
        <v>-1253</v>
      </c>
      <c r="M57" s="33">
        <f t="shared" si="12"/>
        <v>-56.087735004476279</v>
      </c>
      <c r="N57" s="5">
        <f>VLOOKUP($B57,'Data Vlaue (Cr)'!$C:$FB,67)</f>
        <v>1872</v>
      </c>
      <c r="O57" s="5">
        <f>VLOOKUP($B57,'Data Vlaue (Cr)'!$C:$FB,68)</f>
        <v>2843</v>
      </c>
      <c r="P57" s="5">
        <f t="shared" si="21"/>
        <v>-51.869658119658126</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Metals</v>
      </c>
      <c r="B58" s="79" t="str">
        <f>'Data shares'!C53</f>
        <v>COALINDIA</v>
      </c>
      <c r="C58" s="4">
        <f>VLOOKUP($B58,'Data shares'!$C:$FB,7)</f>
        <v>376.35</v>
      </c>
      <c r="D58" s="82">
        <f>VLOOKUP($B58,'Data shares'!$C:$FB,98)</f>
        <v>113387850</v>
      </c>
      <c r="E58" s="165">
        <f>VLOOKUP(B58,'Snapshot (Volume)'!$A$7:$G$168,7,0)</f>
        <v>145489500</v>
      </c>
      <c r="F58" s="165">
        <f t="shared" si="18"/>
        <v>-32101650</v>
      </c>
      <c r="G58" s="166">
        <f t="shared" si="19"/>
        <v>-0.22064581980142897</v>
      </c>
      <c r="H58" s="165">
        <f>VLOOKUP($B58,'Data shares'!$C:$FB,66)</f>
        <v>85024350</v>
      </c>
      <c r="I58" s="165">
        <f>VLOOKUP($B58,'Data shares'!$C:$FB,67)</f>
        <v>85247100</v>
      </c>
      <c r="J58" s="81">
        <f t="shared" si="20"/>
        <v>-0.26129921135147122</v>
      </c>
      <c r="K58" s="5">
        <f>VLOOKUP($B58,'Data Vlaue (Cr)'!$C:$FB,99)</f>
        <v>4203</v>
      </c>
      <c r="L58" s="81">
        <f>VLOOKUP(B58,'OI(Value)'!$A$7:$C$209,3,0)</f>
        <v>-1190</v>
      </c>
      <c r="M58" s="33">
        <f t="shared" si="12"/>
        <v>-28.313109683559361</v>
      </c>
      <c r="N58" s="5">
        <f>VLOOKUP($B58,'Data Vlaue (Cr)'!$C:$FB,67)</f>
        <v>3152</v>
      </c>
      <c r="O58" s="5">
        <f>VLOOKUP($B58,'Data Vlaue (Cr)'!$C:$FB,68)</f>
        <v>3160</v>
      </c>
      <c r="P58" s="5">
        <f t="shared" si="21"/>
        <v>-0.25380710659898476</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Technology</v>
      </c>
      <c r="B59" s="79" t="str">
        <f>'Data shares'!C54</f>
        <v>COFORGE</v>
      </c>
      <c r="C59" s="4">
        <f>VLOOKUP($B59,'Data shares'!$C:$FB,7)</f>
        <v>1748.2</v>
      </c>
      <c r="D59" s="82">
        <f>VLOOKUP($B59,'Data shares'!$C:$FB,98)</f>
        <v>19190250</v>
      </c>
      <c r="E59" s="165">
        <f>VLOOKUP(B59,'Snapshot (Volume)'!$A$7:$G$168,7,0)</f>
        <v>30246750</v>
      </c>
      <c r="F59" s="165">
        <f t="shared" si="18"/>
        <v>-11056500</v>
      </c>
      <c r="G59" s="166">
        <f t="shared" si="19"/>
        <v>-0.36554340548984604</v>
      </c>
      <c r="H59" s="165">
        <f>VLOOKUP($B59,'Data shares'!$C:$FB,66)</f>
        <v>22522125</v>
      </c>
      <c r="I59" s="165">
        <f>VLOOKUP($B59,'Data shares'!$C:$FB,67)</f>
        <v>29263875</v>
      </c>
      <c r="J59" s="81">
        <f t="shared" si="20"/>
        <v>-23.037789766392866</v>
      </c>
      <c r="K59" s="5">
        <f>VLOOKUP($B59,'Data Vlaue (Cr)'!$C:$FB,99)</f>
        <v>3363</v>
      </c>
      <c r="L59" s="81">
        <f>VLOOKUP(B59,'OI(Value)'!$A$7:$C$209,3,0)</f>
        <v>-1938</v>
      </c>
      <c r="M59" s="33">
        <f t="shared" si="12"/>
        <v>-57.627118644067799</v>
      </c>
      <c r="N59" s="5">
        <f>VLOOKUP($B59,'Data Vlaue (Cr)'!$C:$FB,67)</f>
        <v>3947</v>
      </c>
      <c r="O59" s="5">
        <f>VLOOKUP($B59,'Data Vlaue (Cr)'!$C:$FB,68)</f>
        <v>5129</v>
      </c>
      <c r="P59" s="5">
        <f t="shared" si="21"/>
        <v>-29.946795034203195</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FMCG</v>
      </c>
      <c r="B60" s="79" t="str">
        <f>'Data shares'!C55</f>
        <v>COLPAL</v>
      </c>
      <c r="C60" s="4">
        <f>VLOOKUP($B60,'Data shares'!$C:$FB,7)</f>
        <v>2245.3000000000002</v>
      </c>
      <c r="D60" s="82">
        <f>VLOOKUP($B60,'Data shares'!$C:$FB,98)</f>
        <v>7679250</v>
      </c>
      <c r="E60" s="165">
        <f>VLOOKUP(B60,'Snapshot (Volume)'!$A$7:$G$168,7,0)</f>
        <v>10089900</v>
      </c>
      <c r="F60" s="165">
        <f t="shared" si="18"/>
        <v>-2410650</v>
      </c>
      <c r="G60" s="166">
        <f t="shared" si="19"/>
        <v>-0.23891713495673891</v>
      </c>
      <c r="H60" s="165">
        <f>VLOOKUP($B60,'Data shares'!$C:$FB,66)</f>
        <v>6554025</v>
      </c>
      <c r="I60" s="165">
        <f>VLOOKUP($B60,'Data shares'!$C:$FB,67)</f>
        <v>6438600</v>
      </c>
      <c r="J60" s="81">
        <f t="shared" si="20"/>
        <v>1.7927033827229524</v>
      </c>
      <c r="K60" s="5">
        <f>VLOOKUP($B60,'Data Vlaue (Cr)'!$C:$FB,99)</f>
        <v>1734</v>
      </c>
      <c r="L60" s="81">
        <f>VLOOKUP(B60,'OI(Value)'!$A$7:$C$209,3,0)</f>
        <v>-544</v>
      </c>
      <c r="M60" s="33">
        <f t="shared" si="12"/>
        <v>-31.372549019607842</v>
      </c>
      <c r="N60" s="5">
        <f>VLOOKUP($B60,'Data Vlaue (Cr)'!$C:$FB,67)</f>
        <v>1480</v>
      </c>
      <c r="O60" s="5">
        <f>VLOOKUP($B60,'Data Vlaue (Cr)'!$C:$FB,68)</f>
        <v>1454</v>
      </c>
      <c r="P60" s="5">
        <f t="shared" si="21"/>
        <v>1.7567567567567568</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Infrastructure</v>
      </c>
      <c r="B61" s="79" t="str">
        <f>'Data shares'!C56</f>
        <v>CONCOR</v>
      </c>
      <c r="C61" s="4">
        <f>VLOOKUP($B61,'Data shares'!$C:$FB,7)</f>
        <v>578.20000000000005</v>
      </c>
      <c r="D61" s="82">
        <f>VLOOKUP($B61,'Data shares'!$C:$FB,98)</f>
        <v>25741250</v>
      </c>
      <c r="E61" s="165">
        <f>VLOOKUP(B61,'Snapshot (Volume)'!$A$7:$G$168,7,0)</f>
        <v>35977500</v>
      </c>
      <c r="F61" s="165">
        <f t="shared" si="18"/>
        <v>-10236250</v>
      </c>
      <c r="G61" s="166">
        <f t="shared" si="19"/>
        <v>-0.28451810159127233</v>
      </c>
      <c r="H61" s="165">
        <f>VLOOKUP($B61,'Data shares'!$C:$FB,66)</f>
        <v>17425000</v>
      </c>
      <c r="I61" s="165">
        <f>VLOOKUP($B61,'Data shares'!$C:$FB,67)</f>
        <v>24232500</v>
      </c>
      <c r="J61" s="81">
        <f t="shared" si="20"/>
        <v>-28.092437841741464</v>
      </c>
      <c r="K61" s="5">
        <f>VLOOKUP($B61,'Data Vlaue (Cr)'!$C:$FB,99)</f>
        <v>1491</v>
      </c>
      <c r="L61" s="81">
        <f>VLOOKUP(B61,'OI(Value)'!$A$7:$C$209,3,0)</f>
        <v>-593</v>
      </c>
      <c r="M61" s="33">
        <f t="shared" si="12"/>
        <v>-39.771965124077802</v>
      </c>
      <c r="N61" s="5">
        <f>VLOOKUP($B61,'Data Vlaue (Cr)'!$C:$FB,67)</f>
        <v>1010</v>
      </c>
      <c r="O61" s="5">
        <f>VLOOKUP($B61,'Data Vlaue (Cr)'!$C:$FB,68)</f>
        <v>1404</v>
      </c>
      <c r="P61" s="5">
        <f t="shared" si="21"/>
        <v>-39.009900990099013</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Capital_Goods</v>
      </c>
      <c r="B62" s="79" t="str">
        <f>'Data shares'!C57</f>
        <v>CROMPTON</v>
      </c>
      <c r="C62" s="4">
        <f>VLOOKUP($B62,'Data shares'!$C:$FB,7)</f>
        <v>323</v>
      </c>
      <c r="D62" s="82">
        <f>VLOOKUP($B62,'Data shares'!$C:$FB,98)</f>
        <v>44370000</v>
      </c>
      <c r="E62" s="165">
        <f>VLOOKUP(B62,'Snapshot (Volume)'!$A$7:$G$168,7,0)</f>
        <v>52601400</v>
      </c>
      <c r="F62" s="165">
        <f t="shared" si="18"/>
        <v>-8231400</v>
      </c>
      <c r="G62" s="166"/>
      <c r="H62" s="165">
        <f>VLOOKUP($B62,'Data shares'!$C:$FB,66)</f>
        <v>19650600</v>
      </c>
      <c r="I62" s="165">
        <f>VLOOKUP($B62,'Data shares'!$C:$FB,67)</f>
        <v>35994600</v>
      </c>
      <c r="J62" s="81"/>
      <c r="K62" s="5">
        <f>VLOOKUP($B62,'Data Vlaue (Cr)'!$C:$FB,99)</f>
        <v>1441</v>
      </c>
      <c r="L62" s="81">
        <f>VLOOKUP(B62,'OI(Value)'!$A$7:$C$209,3,0)</f>
        <v>-267</v>
      </c>
      <c r="M62" s="33"/>
      <c r="N62" s="5">
        <f>VLOOKUP($B62,'Data Vlaue (Cr)'!$C:$FB,67)</f>
        <v>638</v>
      </c>
      <c r="O62" s="5">
        <f>VLOOKUP($B62,'Data Vlaue (Cr)'!$C:$FB,68)</f>
        <v>1169</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Capital_Goods</v>
      </c>
      <c r="B63" s="79" t="str">
        <f>'Data shares'!C58</f>
        <v>CUMMINSIND</v>
      </c>
      <c r="C63" s="4">
        <f>VLOOKUP($B63,'Data shares'!$C:$FB,7)</f>
        <v>3555.5</v>
      </c>
      <c r="D63" s="82">
        <f>VLOOKUP($B63,'Data shares'!$C:$FB,98)</f>
        <v>3710000</v>
      </c>
      <c r="E63" s="165">
        <f>VLOOKUP(B63,'Snapshot (Volume)'!$A$7:$G$168,7,0)</f>
        <v>4813200</v>
      </c>
      <c r="F63" s="165">
        <f t="shared" si="18"/>
        <v>-1103200</v>
      </c>
      <c r="G63" s="166">
        <f t="shared" si="19"/>
        <v>-0.22920302501454334</v>
      </c>
      <c r="H63" s="165">
        <f>VLOOKUP($B63,'Data shares'!$C:$FB,66)</f>
        <v>3276600</v>
      </c>
      <c r="I63" s="165">
        <f>VLOOKUP($B63,'Data shares'!$C:$FB,67)</f>
        <v>3565800</v>
      </c>
      <c r="J63" s="81">
        <f t="shared" si="20"/>
        <v>-8.1103819619720685</v>
      </c>
      <c r="K63" s="5">
        <f>VLOOKUP($B63,'Data Vlaue (Cr)'!$C:$FB,99)</f>
        <v>1327</v>
      </c>
      <c r="L63" s="81">
        <f>VLOOKUP(B63,'OI(Value)'!$A$7:$C$209,3,0)</f>
        <v>-394</v>
      </c>
      <c r="M63" s="33">
        <f t="shared" si="12"/>
        <v>-29.691032403918616</v>
      </c>
      <c r="N63" s="5">
        <f>VLOOKUP($B63,'Data Vlaue (Cr)'!$C:$FB,67)</f>
        <v>1172</v>
      </c>
      <c r="O63" s="5">
        <f>VLOOKUP($B63,'Data Vlaue (Cr)'!$C:$FB,68)</f>
        <v>1275</v>
      </c>
      <c r="P63" s="5">
        <f t="shared" si="21"/>
        <v>-8.7883959044368609</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Technology</v>
      </c>
      <c r="B64" s="79" t="str">
        <f>'Data shares'!C59</f>
        <v>CYIENT</v>
      </c>
      <c r="C64" s="4">
        <f>VLOOKUP($B64,'Data shares'!$C:$FB,7)</f>
        <v>1205.5999999999999</v>
      </c>
      <c r="D64" s="82">
        <f>VLOOKUP($B64,'Data shares'!$C:$FB,98)</f>
        <v>3610800</v>
      </c>
      <c r="E64" s="165">
        <f>VLOOKUP(B64,'Snapshot (Volume)'!$A$7:$G$168,7,0)</f>
        <v>5448500</v>
      </c>
      <c r="F64" s="165">
        <f t="shared" si="18"/>
        <v>-1837700</v>
      </c>
      <c r="G64" s="166">
        <f t="shared" si="19"/>
        <v>-0.3372854914196568</v>
      </c>
      <c r="H64" s="165">
        <f>VLOOKUP($B64,'Data shares'!$C:$FB,66)</f>
        <v>4214300</v>
      </c>
      <c r="I64" s="165">
        <f>VLOOKUP($B64,'Data shares'!$C:$FB,67)</f>
        <v>3468000</v>
      </c>
      <c r="J64" s="81">
        <f t="shared" si="20"/>
        <v>21.519607843137255</v>
      </c>
      <c r="K64" s="5">
        <f>VLOOKUP($B64,'Data Vlaue (Cr)'!$C:$FB,99)</f>
        <v>438</v>
      </c>
      <c r="L64" s="81">
        <f>VLOOKUP(B64,'OI(Value)'!$A$7:$C$209,3,0)</f>
        <v>-223</v>
      </c>
      <c r="M64" s="33">
        <f t="shared" si="12"/>
        <v>-50.913242009132418</v>
      </c>
      <c r="N64" s="5">
        <f>VLOOKUP($B64,'Data Vlaue (Cr)'!$C:$FB,67)</f>
        <v>511</v>
      </c>
      <c r="O64" s="5">
        <f>VLOOKUP($B64,'Data Vlaue (Cr)'!$C:$FB,68)</f>
        <v>420</v>
      </c>
      <c r="P64" s="5">
        <f t="shared" si="21"/>
        <v>17.80821917808219</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FMCG</v>
      </c>
      <c r="B65" s="79" t="str">
        <f>'Data shares'!C60</f>
        <v>DABUR</v>
      </c>
      <c r="C65" s="4">
        <f>VLOOKUP($B65,'Data shares'!$C:$FB,7)</f>
        <v>529</v>
      </c>
      <c r="D65" s="82">
        <f>VLOOKUP($B65,'Data shares'!$C:$FB,98)</f>
        <v>25108750</v>
      </c>
      <c r="E65" s="165">
        <f>VLOOKUP(B65,'Snapshot (Volume)'!$A$7:$G$168,7,0)</f>
        <v>42505000</v>
      </c>
      <c r="F65" s="165">
        <f t="shared" si="18"/>
        <v>-17396250</v>
      </c>
      <c r="G65" s="166">
        <f t="shared" si="19"/>
        <v>-0.40927537936713326</v>
      </c>
      <c r="H65" s="165">
        <f>VLOOKUP($B65,'Data shares'!$C:$FB,66)</f>
        <v>52067500</v>
      </c>
      <c r="I65" s="165">
        <f>VLOOKUP($B65,'Data shares'!$C:$FB,67)</f>
        <v>24211250</v>
      </c>
      <c r="J65" s="81">
        <f t="shared" si="20"/>
        <v>115.054984769477</v>
      </c>
      <c r="K65" s="5">
        <f>VLOOKUP($B65,'Data Vlaue (Cr)'!$C:$FB,99)</f>
        <v>1334</v>
      </c>
      <c r="L65" s="81">
        <f>VLOOKUP(B65,'OI(Value)'!$A$7:$C$209,3,0)</f>
        <v>-924</v>
      </c>
      <c r="M65" s="33">
        <f t="shared" si="12"/>
        <v>-69.265367316341838</v>
      </c>
      <c r="N65" s="5">
        <f>VLOOKUP($B65,'Data Vlaue (Cr)'!$C:$FB,67)</f>
        <v>2767</v>
      </c>
      <c r="O65" s="5">
        <f>VLOOKUP($B65,'Data Vlaue (Cr)'!$C:$FB,68)</f>
        <v>1286</v>
      </c>
      <c r="P65" s="5">
        <f t="shared" si="21"/>
        <v>53.523671846765453</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Cement</v>
      </c>
      <c r="B66" s="79" t="str">
        <f>'Data shares'!C61</f>
        <v>DALBHARAT</v>
      </c>
      <c r="C66" s="4">
        <f>VLOOKUP($B66,'Data shares'!$C:$FB,7)</f>
        <v>2235.5</v>
      </c>
      <c r="D66" s="82">
        <f>VLOOKUP($B66,'Data shares'!$C:$FB,98)</f>
        <v>2965300</v>
      </c>
      <c r="E66" s="165">
        <f>VLOOKUP(B66,'Snapshot (Volume)'!$A$7:$G$168,7,0)</f>
        <v>4627025</v>
      </c>
      <c r="F66" s="165">
        <f t="shared" si="18"/>
        <v>-1661725</v>
      </c>
      <c r="G66" s="166">
        <f t="shared" si="19"/>
        <v>-0.35913464915361382</v>
      </c>
      <c r="H66" s="165">
        <f>VLOOKUP($B66,'Data shares'!$C:$FB,66)</f>
        <v>2338375</v>
      </c>
      <c r="I66" s="165">
        <f>VLOOKUP($B66,'Data shares'!$C:$FB,67)</f>
        <v>3461575</v>
      </c>
      <c r="J66" s="81">
        <f t="shared" si="20"/>
        <v>-32.447657496948644</v>
      </c>
      <c r="K66" s="5">
        <f>VLOOKUP($B66,'Data Vlaue (Cr)'!$C:$FB,99)</f>
        <v>666</v>
      </c>
      <c r="L66" s="81">
        <f>VLOOKUP(B66,'OI(Value)'!$A$7:$C$209,3,0)</f>
        <v>-373</v>
      </c>
      <c r="M66" s="33">
        <f t="shared" ref="M66:M93" si="22">L66/K66*100</f>
        <v>-56.006006006006004</v>
      </c>
      <c r="N66" s="5">
        <f>VLOOKUP($B66,'Data Vlaue (Cr)'!$C:$FB,67)</f>
        <v>525</v>
      </c>
      <c r="O66" s="5">
        <f>VLOOKUP($B66,'Data Vlaue (Cr)'!$C:$FB,68)</f>
        <v>777</v>
      </c>
      <c r="P66" s="5">
        <f t="shared" si="21"/>
        <v>-48</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New_Age</v>
      </c>
      <c r="B67" s="79" t="str">
        <f>'Data shares'!C62</f>
        <v>DELHIVERY</v>
      </c>
      <c r="C67" s="4">
        <f>VLOOKUP($B67,'Data shares'!$C:$FB,7)</f>
        <v>425.25</v>
      </c>
      <c r="D67" s="82">
        <f>VLOOKUP($B67,'Data shares'!$C:$FB,98)</f>
        <v>18936450</v>
      </c>
      <c r="E67" s="165">
        <f>VLOOKUP(B67,'Snapshot (Volume)'!$A$7:$G$168,7,0)</f>
        <v>24937350</v>
      </c>
      <c r="F67" s="165">
        <f t="shared" si="18"/>
        <v>-6000900</v>
      </c>
      <c r="G67" s="166">
        <f t="shared" si="19"/>
        <v>-0.24063904143784323</v>
      </c>
      <c r="H67" s="165">
        <f>VLOOKUP($B67,'Data shares'!$C:$FB,66)</f>
        <v>54292375</v>
      </c>
      <c r="I67" s="165">
        <f>VLOOKUP($B67,'Data shares'!$C:$FB,67)</f>
        <v>32469600</v>
      </c>
      <c r="J67" s="81">
        <f t="shared" si="20"/>
        <v>67.209867075664619</v>
      </c>
      <c r="K67" s="5">
        <f>VLOOKUP($B67,'Data Vlaue (Cr)'!$C:$FB,99)</f>
        <v>811</v>
      </c>
      <c r="L67" s="81">
        <f>VLOOKUP(B67,'OI(Value)'!$A$7:$C$209,3,0)</f>
        <v>-257</v>
      </c>
      <c r="M67" s="33">
        <f t="shared" si="22"/>
        <v>-31.689272503082616</v>
      </c>
      <c r="N67" s="5">
        <f>VLOOKUP($B67,'Data Vlaue (Cr)'!$C:$FB,67)</f>
        <v>2324</v>
      </c>
      <c r="O67" s="5">
        <f>VLOOKUP($B67,'Data Vlaue (Cr)'!$C:$FB,68)</f>
        <v>1390</v>
      </c>
      <c r="P67" s="5">
        <f t="shared" si="21"/>
        <v>40.189328743545609</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Pharma</v>
      </c>
      <c r="B68" s="79" t="str">
        <f>'Data shares'!C63</f>
        <v>DIVISLAB</v>
      </c>
      <c r="C68" s="4">
        <f>VLOOKUP($B68,'Data shares'!$C:$FB,7)</f>
        <v>6595.5</v>
      </c>
      <c r="D68" s="82">
        <f>VLOOKUP($B68,'Data shares'!$C:$FB,98)</f>
        <v>3533400</v>
      </c>
      <c r="E68" s="165">
        <f>VLOOKUP(B68,'Snapshot (Volume)'!$A$7:$G$168,7,0)</f>
        <v>4704700</v>
      </c>
      <c r="F68" s="165">
        <f t="shared" si="18"/>
        <v>-1171300</v>
      </c>
      <c r="G68" s="166">
        <f t="shared" si="19"/>
        <v>-0.24896380215529151</v>
      </c>
      <c r="H68" s="165">
        <f>VLOOKUP($B68,'Data shares'!$C:$FB,66)</f>
        <v>1896400</v>
      </c>
      <c r="I68" s="165">
        <f>VLOOKUP($B68,'Data shares'!$C:$FB,67)</f>
        <v>3662300</v>
      </c>
      <c r="J68" s="81">
        <f t="shared" si="20"/>
        <v>-48.218332741719685</v>
      </c>
      <c r="K68" s="5">
        <f>VLOOKUP($B68,'Data Vlaue (Cr)'!$C:$FB,99)</f>
        <v>2340</v>
      </c>
      <c r="L68" s="81">
        <f>VLOOKUP(B68,'OI(Value)'!$A$7:$C$209,3,0)</f>
        <v>-776</v>
      </c>
      <c r="M68" s="33">
        <f t="shared" si="22"/>
        <v>-33.162393162393158</v>
      </c>
      <c r="N68" s="5">
        <f>VLOOKUP($B68,'Data Vlaue (Cr)'!$C:$FB,67)</f>
        <v>1256</v>
      </c>
      <c r="O68" s="5">
        <f>VLOOKUP($B68,'Data Vlaue (Cr)'!$C:$FB,68)</f>
        <v>2426</v>
      </c>
      <c r="P68" s="5">
        <f t="shared" si="21"/>
        <v>-93.152866242038215</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Capital_Goods</v>
      </c>
      <c r="B69" s="79" t="str">
        <f>'Data shares'!C64</f>
        <v>DIXON</v>
      </c>
      <c r="C69" s="79">
        <f>VLOOKUP($B69,'Data shares'!$C:$FB,7)</f>
        <v>16841</v>
      </c>
      <c r="D69" s="165">
        <f>VLOOKUP($B69,'Data shares'!$C:$FB,98)</f>
        <v>2149000</v>
      </c>
      <c r="E69" s="165">
        <f>VLOOKUP(B69,'Snapshot (Volume)'!$A$7:$G$168,7,0)</f>
        <v>3615100</v>
      </c>
      <c r="F69" s="165">
        <f t="shared" ref="F69:F85" si="23">D69-E69</f>
        <v>-1466100</v>
      </c>
      <c r="G69" s="166">
        <f t="shared" ref="G69:G85" si="24">F69/E69</f>
        <v>-0.40554894747033277</v>
      </c>
      <c r="H69" s="165">
        <f>VLOOKUP($B69,'Data shares'!$C:$FB,66)</f>
        <v>7660900</v>
      </c>
      <c r="I69" s="165">
        <f>VLOOKUP($B69,'Data shares'!$C:$FB,67)</f>
        <v>4430400</v>
      </c>
      <c r="J69" s="81">
        <f t="shared" ref="J69:J85" si="25">(H69-I69)/I69*100</f>
        <v>72.916666666666657</v>
      </c>
      <c r="K69" s="81">
        <f>VLOOKUP($B69,'Data Vlaue (Cr)'!$C:$FB,99)</f>
        <v>3630</v>
      </c>
      <c r="L69" s="81">
        <f>VLOOKUP(B69,'OI(Value)'!$A$7:$C$209,3,0)</f>
        <v>-2476</v>
      </c>
      <c r="M69" s="81">
        <f t="shared" si="22"/>
        <v>-68.209366391184574</v>
      </c>
      <c r="N69" s="81">
        <f>VLOOKUP($B69,'Data Vlaue (Cr)'!$C:$FB,67)</f>
        <v>12939</v>
      </c>
      <c r="O69" s="81">
        <f>VLOOKUP($B69,'Data Vlaue (Cr)'!$C:$FB,68)</f>
        <v>7483</v>
      </c>
      <c r="P69" s="81">
        <f t="shared" ref="P69:P85" si="26">(N69-O69)/N69*100</f>
        <v>42.167091738155968</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Realty</v>
      </c>
      <c r="B70" s="79" t="str">
        <f>'Data shares'!C65</f>
        <v>DLF</v>
      </c>
      <c r="C70" s="79">
        <f>VLOOKUP($B70,'Data shares'!$C:$FB,7)</f>
        <v>784.25</v>
      </c>
      <c r="D70" s="165">
        <f>VLOOKUP($B70,'Data shares'!$C:$FB,98)</f>
        <v>49237650</v>
      </c>
      <c r="E70" s="165">
        <f>VLOOKUP(B70,'Snapshot (Volume)'!$A$7:$G$168,7,0)</f>
        <v>64288125</v>
      </c>
      <c r="F70" s="165">
        <f t="shared" si="23"/>
        <v>-15050475</v>
      </c>
      <c r="G70" s="166">
        <f t="shared" si="24"/>
        <v>-0.2341097208854668</v>
      </c>
      <c r="H70" s="165">
        <f>VLOOKUP($B70,'Data shares'!$C:$FB,66)</f>
        <v>50207025</v>
      </c>
      <c r="I70" s="165">
        <f>VLOOKUP($B70,'Data shares'!$C:$FB,67)</f>
        <v>52408950</v>
      </c>
      <c r="J70" s="81">
        <f t="shared" si="25"/>
        <v>-4.2014293360198973</v>
      </c>
      <c r="K70" s="81">
        <f>VLOOKUP($B70,'Data Vlaue (Cr)'!$C:$FB,99)</f>
        <v>3876</v>
      </c>
      <c r="L70" s="81">
        <f>VLOOKUP(B70,'OI(Value)'!$A$7:$C$209,3,0)</f>
        <v>-1185</v>
      </c>
      <c r="M70" s="81">
        <f t="shared" si="22"/>
        <v>-30.572755417956653</v>
      </c>
      <c r="N70" s="81">
        <f>VLOOKUP($B70,'Data Vlaue (Cr)'!$C:$FB,67)</f>
        <v>3953</v>
      </c>
      <c r="O70" s="81">
        <f>VLOOKUP($B70,'Data Vlaue (Cr)'!$C:$FB,68)</f>
        <v>4126</v>
      </c>
      <c r="P70" s="81">
        <f t="shared" si="26"/>
        <v>-4.3764229698962813</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New_Age</v>
      </c>
      <c r="B71" s="79" t="str">
        <f>'Data shares'!C66</f>
        <v>DMART</v>
      </c>
      <c r="C71" s="4">
        <f>VLOOKUP($B71,'Data shares'!$C:$FB,7)</f>
        <v>4267.3999999999996</v>
      </c>
      <c r="D71" s="82">
        <f>VLOOKUP($B71,'Data shares'!$C:$FB,98)</f>
        <v>6952950</v>
      </c>
      <c r="E71" s="165">
        <f>VLOOKUP(B71,'Snapshot (Volume)'!$A$7:$G$168,7,0)</f>
        <v>11310600</v>
      </c>
      <c r="F71" s="165">
        <f t="shared" si="23"/>
        <v>-4357650</v>
      </c>
      <c r="G71" s="166">
        <f t="shared" si="24"/>
        <v>-0.38527133839053629</v>
      </c>
      <c r="H71" s="165">
        <f>VLOOKUP($B71,'Data shares'!$C:$FB,66)</f>
        <v>20730300</v>
      </c>
      <c r="I71" s="165">
        <f>VLOOKUP($B71,'Data shares'!$C:$FB,67)</f>
        <v>62347350</v>
      </c>
      <c r="J71" s="81">
        <f t="shared" si="25"/>
        <v>-66.75031095948745</v>
      </c>
      <c r="K71" s="5">
        <f>VLOOKUP($B71,'Data Vlaue (Cr)'!$C:$FB,99)</f>
        <v>2953</v>
      </c>
      <c r="L71" s="81">
        <f>VLOOKUP(B71,'OI(Value)'!$A$7:$C$209,3,0)</f>
        <v>-1851</v>
      </c>
      <c r="M71" s="33">
        <f t="shared" si="22"/>
        <v>-62.682018286488315</v>
      </c>
      <c r="N71" s="5">
        <f>VLOOKUP($B71,'Data Vlaue (Cr)'!$C:$FB,67)</f>
        <v>8803</v>
      </c>
      <c r="O71" s="5">
        <f>VLOOKUP($B71,'Data Vlaue (Cr)'!$C:$FB,68)</f>
        <v>26476</v>
      </c>
      <c r="P71" s="5">
        <f t="shared" si="26"/>
        <v>-200.76110416903327</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DRREDDY</v>
      </c>
      <c r="C72" s="4">
        <f>VLOOKUP($B72,'Data shares'!$C:$FB,7)</f>
        <v>1270.3</v>
      </c>
      <c r="D72" s="82">
        <f>VLOOKUP($B72,'Data shares'!$C:$FB,98)</f>
        <v>15224375</v>
      </c>
      <c r="E72" s="165">
        <f>VLOOKUP(B72,'Snapshot (Volume)'!$A$7:$G$168,7,0)</f>
        <v>29964375</v>
      </c>
      <c r="F72" s="165">
        <f t="shared" si="23"/>
        <v>-14740000</v>
      </c>
      <c r="G72" s="166">
        <f t="shared" si="24"/>
        <v>-0.4919174853471831</v>
      </c>
      <c r="H72" s="165">
        <f>VLOOKUP($B72,'Data shares'!$C:$FB,66)</f>
        <v>23722500</v>
      </c>
      <c r="I72" s="165">
        <f>VLOOKUP($B72,'Data shares'!$C:$FB,67)</f>
        <v>25892500</v>
      </c>
      <c r="J72" s="81">
        <f t="shared" si="25"/>
        <v>-8.3808052524862404</v>
      </c>
      <c r="K72" s="5">
        <f>VLOOKUP($B72,'Data Vlaue (Cr)'!$C:$FB,99)</f>
        <v>1940</v>
      </c>
      <c r="L72" s="81">
        <f>VLOOKUP(B72,'OI(Value)'!$A$7:$C$209,3,0)</f>
        <v>-1878</v>
      </c>
      <c r="M72" s="33">
        <f t="shared" si="22"/>
        <v>-96.80412371134021</v>
      </c>
      <c r="N72" s="5">
        <f>VLOOKUP($B72,'Data Vlaue (Cr)'!$C:$FB,67)</f>
        <v>3023</v>
      </c>
      <c r="O72" s="5">
        <f>VLOOKUP($B72,'Data Vlaue (Cr)'!$C:$FB,68)</f>
        <v>3299</v>
      </c>
      <c r="P72" s="5">
        <f t="shared" si="26"/>
        <v>-9.1300033079722134</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Automobile</v>
      </c>
      <c r="B73" s="79" t="str">
        <f>'Data shares'!C68</f>
        <v>EICHERMOT</v>
      </c>
      <c r="C73" s="4">
        <f>VLOOKUP($B73,'Data shares'!$C:$FB,7)</f>
        <v>5468.5</v>
      </c>
      <c r="D73" s="82">
        <f>VLOOKUP($B73,'Data shares'!$C:$FB,98)</f>
        <v>4248125</v>
      </c>
      <c r="E73" s="165">
        <f>VLOOKUP(B73,'Snapshot (Volume)'!$A$7:$G$168,7,0)</f>
        <v>6294050</v>
      </c>
      <c r="F73" s="165">
        <f t="shared" si="23"/>
        <v>-2045925</v>
      </c>
      <c r="G73" s="166">
        <f t="shared" si="24"/>
        <v>-0.3250569982761497</v>
      </c>
      <c r="H73" s="165">
        <f>VLOOKUP($B73,'Data shares'!$C:$FB,66)</f>
        <v>4630675</v>
      </c>
      <c r="I73" s="165">
        <f>VLOOKUP($B73,'Data shares'!$C:$FB,67)</f>
        <v>6589100</v>
      </c>
      <c r="J73" s="81">
        <f t="shared" si="25"/>
        <v>-29.722192712206525</v>
      </c>
      <c r="K73" s="5">
        <f>VLOOKUP($B73,'Data Vlaue (Cr)'!$C:$FB,99)</f>
        <v>2304</v>
      </c>
      <c r="L73" s="81">
        <f>VLOOKUP(B73,'OI(Value)'!$A$7:$C$209,3,0)</f>
        <v>-1110</v>
      </c>
      <c r="M73" s="33">
        <f t="shared" si="22"/>
        <v>-48.177083333333329</v>
      </c>
      <c r="N73" s="5">
        <f>VLOOKUP($B73,'Data Vlaue (Cr)'!$C:$FB,67)</f>
        <v>2512</v>
      </c>
      <c r="O73" s="5">
        <f>VLOOKUP($B73,'Data Vlaue (Cr)'!$C:$FB,68)</f>
        <v>3574</v>
      </c>
      <c r="P73" s="5">
        <f t="shared" si="26"/>
        <v>-42.277070063694268</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New_Age</v>
      </c>
      <c r="B74" s="79" t="str">
        <f>'Data shares'!C69</f>
        <v>ETERNAL</v>
      </c>
      <c r="C74" s="4">
        <f>VLOOKUP($B74,'Data shares'!$C:$FB,7)</f>
        <v>307.8</v>
      </c>
      <c r="D74" s="82">
        <f>VLOOKUP($B74,'Data shares'!$C:$FB,98)</f>
        <v>228895750</v>
      </c>
      <c r="E74" s="165">
        <f>VLOOKUP(B74,'Snapshot (Volume)'!$A$7:$G$168,7,0)</f>
        <v>327826050</v>
      </c>
      <c r="F74" s="165">
        <f t="shared" si="23"/>
        <v>-98930300</v>
      </c>
      <c r="G74" s="166">
        <f t="shared" si="24"/>
        <v>-0.30177681120826122</v>
      </c>
      <c r="H74" s="165">
        <f>VLOOKUP($B74,'Data shares'!$C:$FB,66)</f>
        <v>238789750</v>
      </c>
      <c r="I74" s="165">
        <f>VLOOKUP($B74,'Data shares'!$C:$FB,67)</f>
        <v>211324200</v>
      </c>
      <c r="J74" s="81">
        <f t="shared" si="25"/>
        <v>12.996878729459285</v>
      </c>
      <c r="K74" s="5">
        <f>VLOOKUP($B74,'Data Vlaue (Cr)'!$C:$FB,99)</f>
        <v>7089</v>
      </c>
      <c r="L74" s="81">
        <f>VLOOKUP(B74,'OI(Value)'!$A$7:$C$209,3,0)</f>
        <v>-3064</v>
      </c>
      <c r="M74" s="33">
        <f t="shared" si="22"/>
        <v>-43.221893073776272</v>
      </c>
      <c r="N74" s="5">
        <f>VLOOKUP($B74,'Data Vlaue (Cr)'!$C:$FB,67)</f>
        <v>7395</v>
      </c>
      <c r="O74" s="5">
        <f>VLOOKUP($B74,'Data Vlaue (Cr)'!$C:$FB,68)</f>
        <v>6545</v>
      </c>
      <c r="P74" s="5">
        <f t="shared" si="26"/>
        <v>11.494252873563218</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Automobile</v>
      </c>
      <c r="B75" s="79" t="str">
        <f>'Data shares'!C70</f>
        <v>EXIDEIND</v>
      </c>
      <c r="C75" s="4">
        <f>VLOOKUP($B75,'Data shares'!$C:$FB,7)</f>
        <v>384.3</v>
      </c>
      <c r="D75" s="82">
        <f>VLOOKUP($B75,'Data shares'!$C:$FB,98)</f>
        <v>31415400</v>
      </c>
      <c r="E75" s="165">
        <f>VLOOKUP(B75,'Snapshot (Volume)'!$A$7:$G$168,7,0)</f>
        <v>42179400</v>
      </c>
      <c r="F75" s="165">
        <f t="shared" si="23"/>
        <v>-10764000</v>
      </c>
      <c r="G75" s="166">
        <f t="shared" si="24"/>
        <v>-0.25519566423419965</v>
      </c>
      <c r="H75" s="165">
        <f>VLOOKUP($B75,'Data shares'!$C:$FB,66)</f>
        <v>26582400</v>
      </c>
      <c r="I75" s="165">
        <f>VLOOKUP($B75,'Data shares'!$C:$FB,67)</f>
        <v>27869400</v>
      </c>
      <c r="J75" s="81">
        <f t="shared" si="25"/>
        <v>-4.6179680940386225</v>
      </c>
      <c r="K75" s="5">
        <f>VLOOKUP($B75,'Data Vlaue (Cr)'!$C:$FB,99)</f>
        <v>1212</v>
      </c>
      <c r="L75" s="81">
        <f>VLOOKUP(B75,'OI(Value)'!$A$7:$C$209,3,0)</f>
        <v>-415</v>
      </c>
      <c r="M75" s="33">
        <f t="shared" si="22"/>
        <v>-34.240924092409244</v>
      </c>
      <c r="N75" s="5">
        <f>VLOOKUP($B75,'Data Vlaue (Cr)'!$C:$FB,67)</f>
        <v>1025</v>
      </c>
      <c r="O75" s="5">
        <f>VLOOKUP($B75,'Data Vlaue (Cr)'!$C:$FB,68)</f>
        <v>1075</v>
      </c>
      <c r="P75" s="5">
        <f t="shared" si="26"/>
        <v>-4.8780487804878048</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Banking</v>
      </c>
      <c r="B76" s="79" t="str">
        <f>'Data shares'!C71</f>
        <v>FEDERALBNK</v>
      </c>
      <c r="C76" s="4">
        <f>VLOOKUP($B76,'Data shares'!$C:$FB,7)</f>
        <v>202.43</v>
      </c>
      <c r="D76" s="82">
        <f>VLOOKUP($B76,'Data shares'!$C:$FB,98)</f>
        <v>112940000</v>
      </c>
      <c r="E76" s="165">
        <f>VLOOKUP(B76,'Snapshot (Volume)'!$A$7:$G$168,7,0)</f>
        <v>156115000</v>
      </c>
      <c r="F76" s="165">
        <f t="shared" si="23"/>
        <v>-43175000</v>
      </c>
      <c r="G76" s="166">
        <f t="shared" si="24"/>
        <v>-0.27655894693014765</v>
      </c>
      <c r="H76" s="165">
        <f>VLOOKUP($B76,'Data shares'!$C:$FB,66)</f>
        <v>125340000</v>
      </c>
      <c r="I76" s="165">
        <f>VLOOKUP($B76,'Data shares'!$C:$FB,67)</f>
        <v>109340000</v>
      </c>
      <c r="J76" s="81">
        <f t="shared" si="25"/>
        <v>14.633254069873788</v>
      </c>
      <c r="K76" s="5">
        <f>VLOOKUP($B76,'Data Vlaue (Cr)'!$C:$FB,99)</f>
        <v>2287</v>
      </c>
      <c r="L76" s="81">
        <f>VLOOKUP(B76,'OI(Value)'!$A$7:$C$209,3,0)</f>
        <v>-874</v>
      </c>
      <c r="M76" s="33">
        <f t="shared" si="22"/>
        <v>-38.216003498032357</v>
      </c>
      <c r="N76" s="5">
        <f>VLOOKUP($B76,'Data Vlaue (Cr)'!$C:$FB,67)</f>
        <v>2538</v>
      </c>
      <c r="O76" s="5">
        <f>VLOOKUP($B76,'Data Vlaue (Cr)'!$C:$FB,68)</f>
        <v>2214</v>
      </c>
      <c r="P76" s="5">
        <f t="shared" si="26"/>
        <v>12.76595744680851</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Index</v>
      </c>
      <c r="B77" s="79" t="str">
        <f>'Data shares'!C72</f>
        <v>FINNIFTY</v>
      </c>
      <c r="C77" s="4">
        <f>VLOOKUP($B77,'Data shares'!$C:$FB,7)</f>
        <v>26649.95</v>
      </c>
      <c r="D77" s="82">
        <f>VLOOKUP($B77,'Data shares'!$C:$FB,98)</f>
        <v>195130</v>
      </c>
      <c r="E77" s="165">
        <f>VLOOKUP(B77,'Snapshot (Volume)'!$A$7:$G$168,7,0)</f>
        <v>5739305</v>
      </c>
      <c r="F77" s="165">
        <f t="shared" si="23"/>
        <v>-5544175</v>
      </c>
      <c r="G77" s="166">
        <f t="shared" si="24"/>
        <v>-0.96600110989048327</v>
      </c>
      <c r="H77" s="165">
        <f>VLOOKUP($B77,'Data shares'!$C:$FB,66)</f>
        <v>397118280</v>
      </c>
      <c r="I77" s="165">
        <f>VLOOKUP($B77,'Data shares'!$C:$FB,67)</f>
        <v>61441250</v>
      </c>
      <c r="J77" s="81">
        <f t="shared" si="25"/>
        <v>546.33821740280348</v>
      </c>
      <c r="K77" s="5">
        <f>VLOOKUP($B77,'Data Vlaue (Cr)'!$C:$FB,99)</f>
        <v>522</v>
      </c>
      <c r="L77" s="81">
        <f>VLOOKUP(B77,'OI(Value)'!$A$7:$C$209,3,0)</f>
        <v>-14820</v>
      </c>
      <c r="M77" s="33">
        <f t="shared" si="22"/>
        <v>-2839.0804597701149</v>
      </c>
      <c r="N77" s="5">
        <f>VLOOKUP($B77,'Data Vlaue (Cr)'!$C:$FB,67)</f>
        <v>1061537</v>
      </c>
      <c r="O77" s="5">
        <f>VLOOKUP($B77,'Data Vlaue (Cr)'!$C:$FB,68)</f>
        <v>164239</v>
      </c>
      <c r="P77" s="5">
        <f t="shared" si="26"/>
        <v>84.528188843158546</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Pharma</v>
      </c>
      <c r="B78" s="79" t="str">
        <f>'Data shares'!C73</f>
        <v>FORTIS</v>
      </c>
      <c r="C78" s="4">
        <f>VLOOKUP($B78,'Data shares'!$C:$FB,7)</f>
        <v>857.45</v>
      </c>
      <c r="D78" s="82">
        <f>VLOOKUP($B78,'Data shares'!$C:$FB,98)</f>
        <v>10599675</v>
      </c>
      <c r="E78" s="165">
        <f>VLOOKUP(B78,'Snapshot (Volume)'!$A$7:$G$168,7,0)</f>
        <v>14921850</v>
      </c>
      <c r="F78" s="165">
        <f t="shared" si="23"/>
        <v>-4322175</v>
      </c>
      <c r="G78" s="166">
        <f t="shared" si="24"/>
        <v>-0.28965409784979745</v>
      </c>
      <c r="H78" s="165">
        <f>VLOOKUP($B78,'Data shares'!$C:$FB,66)</f>
        <v>10698100</v>
      </c>
      <c r="I78" s="165">
        <f>VLOOKUP($B78,'Data shares'!$C:$FB,67)</f>
        <v>10040900</v>
      </c>
      <c r="J78" s="81">
        <f t="shared" si="25"/>
        <v>6.5452300092621183</v>
      </c>
      <c r="K78" s="5">
        <f>VLOOKUP($B78,'Data Vlaue (Cr)'!$C:$FB,99)</f>
        <v>913</v>
      </c>
      <c r="L78" s="81">
        <f>VLOOKUP(B78,'OI(Value)'!$A$7:$C$209,3,0)</f>
        <v>-372</v>
      </c>
      <c r="M78" s="33">
        <f t="shared" si="22"/>
        <v>-40.744797371303392</v>
      </c>
      <c r="N78" s="5">
        <f>VLOOKUP($B78,'Data Vlaue (Cr)'!$C:$FB,67)</f>
        <v>921</v>
      </c>
      <c r="O78" s="5">
        <f>VLOOKUP($B78,'Data Vlaue (Cr)'!$C:$FB,68)</f>
        <v>865</v>
      </c>
      <c r="P78" s="5">
        <f t="shared" si="26"/>
        <v>6.0803474484256244</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Oil_Gas</v>
      </c>
      <c r="B79" s="79" t="str">
        <f>'Data shares'!C74</f>
        <v>GAIL</v>
      </c>
      <c r="C79" s="4">
        <f>VLOOKUP($B79,'Data shares'!$C:$FB,7)</f>
        <v>177.68</v>
      </c>
      <c r="D79" s="82">
        <f>VLOOKUP($B79,'Data shares'!$C:$FB,98)</f>
        <v>142843050</v>
      </c>
      <c r="E79" s="165">
        <f>VLOOKUP(B79,'Snapshot (Volume)'!$A$7:$G$168,7,0)</f>
        <v>175278600</v>
      </c>
      <c r="F79" s="165">
        <f t="shared" si="23"/>
        <v>-32435550</v>
      </c>
      <c r="G79" s="166">
        <f t="shared" si="24"/>
        <v>-0.18505139817410682</v>
      </c>
      <c r="H79" s="165">
        <f>VLOOKUP($B79,'Data shares'!$C:$FB,66)</f>
        <v>94909500</v>
      </c>
      <c r="I79" s="165">
        <f>VLOOKUP($B79,'Data shares'!$C:$FB,67)</f>
        <v>118269900</v>
      </c>
      <c r="J79" s="81">
        <f t="shared" si="25"/>
        <v>-19.751771160709531</v>
      </c>
      <c r="K79" s="5">
        <f>VLOOKUP($B79,'Data Vlaue (Cr)'!$C:$FB,99)</f>
        <v>2533</v>
      </c>
      <c r="L79" s="81">
        <f>VLOOKUP(B79,'OI(Value)'!$A$7:$C$209,3,0)</f>
        <v>-575</v>
      </c>
      <c r="M79" s="33">
        <f t="shared" si="22"/>
        <v>-22.700355309909199</v>
      </c>
      <c r="N79" s="5">
        <f>VLOOKUP($B79,'Data Vlaue (Cr)'!$C:$FB,67)</f>
        <v>1683</v>
      </c>
      <c r="O79" s="5">
        <f>VLOOKUP($B79,'Data Vlaue (Cr)'!$C:$FB,68)</f>
        <v>2098</v>
      </c>
      <c r="P79" s="5">
        <f t="shared" si="26"/>
        <v>-24.658348187759952</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Pharma</v>
      </c>
      <c r="B80" s="79" t="str">
        <f>'Data shares'!C75</f>
        <v>GLENMARK</v>
      </c>
      <c r="C80" s="4">
        <f>VLOOKUP($B80,'Data shares'!$C:$FB,7)</f>
        <v>2134.1</v>
      </c>
      <c r="D80" s="82">
        <f>VLOOKUP($B80,'Data shares'!$C:$FB,98)</f>
        <v>8580750</v>
      </c>
      <c r="E80" s="165">
        <f>VLOOKUP(B80,'Snapshot (Volume)'!$A$7:$G$168,7,0)</f>
        <v>19144875</v>
      </c>
      <c r="F80" s="165">
        <f t="shared" si="23"/>
        <v>-10564125</v>
      </c>
      <c r="G80" s="166">
        <f t="shared" si="24"/>
        <v>-0.55179911072806687</v>
      </c>
      <c r="H80" s="165">
        <f>VLOOKUP($B80,'Data shares'!$C:$FB,66)</f>
        <v>12247125</v>
      </c>
      <c r="I80" s="165">
        <f>VLOOKUP($B80,'Data shares'!$C:$FB,67)</f>
        <v>9367500</v>
      </c>
      <c r="J80" s="81">
        <f t="shared" si="25"/>
        <v>30.740592473979184</v>
      </c>
      <c r="K80" s="5">
        <f>VLOOKUP($B80,'Data Vlaue (Cr)'!$C:$FB,99)</f>
        <v>1841</v>
      </c>
      <c r="L80" s="81">
        <f>VLOOKUP(B80,'OI(Value)'!$A$7:$C$209,3,0)</f>
        <v>-2266</v>
      </c>
      <c r="M80" s="33">
        <f t="shared" si="22"/>
        <v>-123.08527973927212</v>
      </c>
      <c r="N80" s="5">
        <f>VLOOKUP($B80,'Data Vlaue (Cr)'!$C:$FB,67)</f>
        <v>2627</v>
      </c>
      <c r="O80" s="5">
        <f>VLOOKUP($B80,'Data Vlaue (Cr)'!$C:$FB,68)</f>
        <v>2010</v>
      </c>
      <c r="P80" s="5">
        <f t="shared" si="26"/>
        <v>23.486867148838979</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Infrastructure</v>
      </c>
      <c r="B81" s="79" t="str">
        <f>'Data shares'!C76</f>
        <v>GMRAIRPORT</v>
      </c>
      <c r="C81" s="4">
        <f>VLOOKUP($B81,'Data shares'!$C:$FB,7)</f>
        <v>90.06</v>
      </c>
      <c r="D81" s="82">
        <f>VLOOKUP($B81,'Data shares'!$C:$FB,98)</f>
        <v>257816925</v>
      </c>
      <c r="E81" s="165">
        <f>VLOOKUP(B81,'Snapshot (Volume)'!$A$7:$G$168,7,0)</f>
        <v>344844000</v>
      </c>
      <c r="F81" s="165">
        <f t="shared" si="23"/>
        <v>-87027075</v>
      </c>
      <c r="G81" s="166">
        <f t="shared" si="24"/>
        <v>-0.25236650485436896</v>
      </c>
      <c r="H81" s="165">
        <f>VLOOKUP($B81,'Data shares'!$C:$FB,66)</f>
        <v>208838475</v>
      </c>
      <c r="I81" s="165">
        <f>VLOOKUP($B81,'Data shares'!$C:$FB,67)</f>
        <v>255075750</v>
      </c>
      <c r="J81" s="81">
        <f t="shared" si="25"/>
        <v>-18.126879956248292</v>
      </c>
      <c r="K81" s="5">
        <f>VLOOKUP($B81,'Data Vlaue (Cr)'!$C:$FB,99)</f>
        <v>2336</v>
      </c>
      <c r="L81" s="81">
        <f>VLOOKUP(B81,'OI(Value)'!$A$7:$C$209,3,0)</f>
        <v>-788</v>
      </c>
      <c r="M81" s="33">
        <f t="shared" si="22"/>
        <v>-33.732876712328768</v>
      </c>
      <c r="N81" s="5">
        <f>VLOOKUP($B81,'Data Vlaue (Cr)'!$C:$FB,67)</f>
        <v>1892</v>
      </c>
      <c r="O81" s="5">
        <f>VLOOKUP($B81,'Data Vlaue (Cr)'!$C:$FB,68)</f>
        <v>2311</v>
      </c>
      <c r="P81" s="5">
        <f t="shared" si="26"/>
        <v>-22.145877378435518</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FMCG</v>
      </c>
      <c r="B82" s="79" t="str">
        <f>'Data shares'!C77</f>
        <v>GODREJCP</v>
      </c>
      <c r="C82" s="4">
        <f>VLOOKUP($B82,'Data shares'!$C:$FB,7)</f>
        <v>1259</v>
      </c>
      <c r="D82" s="82">
        <f>VLOOKUP($B82,'Data shares'!$C:$FB,98)</f>
        <v>10273000</v>
      </c>
      <c r="E82" s="165">
        <f>VLOOKUP(B82,'Snapshot (Volume)'!$A$7:$G$168,7,0)</f>
        <v>15477000</v>
      </c>
      <c r="F82" s="165">
        <f t="shared" si="23"/>
        <v>-5204000</v>
      </c>
      <c r="G82" s="166">
        <f t="shared" si="24"/>
        <v>-0.33624087355430637</v>
      </c>
      <c r="H82" s="165">
        <f>VLOOKUP($B82,'Data shares'!$C:$FB,66)</f>
        <v>14718500</v>
      </c>
      <c r="I82" s="165">
        <f>VLOOKUP($B82,'Data shares'!$C:$FB,67)</f>
        <v>8014000</v>
      </c>
      <c r="J82" s="81">
        <f t="shared" si="25"/>
        <v>83.659845270776145</v>
      </c>
      <c r="K82" s="5">
        <f>VLOOKUP($B82,'Data Vlaue (Cr)'!$C:$FB,99)</f>
        <v>1294</v>
      </c>
      <c r="L82" s="81">
        <f>VLOOKUP(B82,'OI(Value)'!$A$7:$C$209,3,0)</f>
        <v>-656</v>
      </c>
      <c r="M82" s="33">
        <f t="shared" si="22"/>
        <v>-50.695517774343124</v>
      </c>
      <c r="N82" s="5">
        <f>VLOOKUP($B82,'Data Vlaue (Cr)'!$C:$FB,67)</f>
        <v>1854</v>
      </c>
      <c r="O82" s="5">
        <f>VLOOKUP($B82,'Data Vlaue (Cr)'!$C:$FB,68)</f>
        <v>1010</v>
      </c>
      <c r="P82" s="5">
        <f t="shared" si="26"/>
        <v>45.523193096008626</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Realty</v>
      </c>
      <c r="B83" s="79" t="str">
        <f>'Data shares'!C78</f>
        <v>GODREJPROP</v>
      </c>
      <c r="C83" s="4">
        <f>VLOOKUP($B83,'Data shares'!$C:$FB,7)</f>
        <v>2102.9</v>
      </c>
      <c r="D83" s="82">
        <f>VLOOKUP($B83,'Data shares'!$C:$FB,98)</f>
        <v>8895700</v>
      </c>
      <c r="E83" s="165">
        <f>VLOOKUP(B83,'Snapshot (Volume)'!$A$7:$G$168,7,0)</f>
        <v>12109075</v>
      </c>
      <c r="F83" s="165">
        <f t="shared" si="23"/>
        <v>-3213375</v>
      </c>
      <c r="G83" s="166">
        <f t="shared" si="24"/>
        <v>-0.26536915495196783</v>
      </c>
      <c r="H83" s="165">
        <f>VLOOKUP($B83,'Data shares'!$C:$FB,66)</f>
        <v>7719800</v>
      </c>
      <c r="I83" s="165">
        <f>VLOOKUP($B83,'Data shares'!$C:$FB,67)</f>
        <v>7321325</v>
      </c>
      <c r="J83" s="81">
        <f t="shared" si="25"/>
        <v>5.4426623596138679</v>
      </c>
      <c r="K83" s="5">
        <f>VLOOKUP($B83,'Data Vlaue (Cr)'!$C:$FB,99)</f>
        <v>1876</v>
      </c>
      <c r="L83" s="81">
        <f>VLOOKUP(B83,'OI(Value)'!$A$7:$C$209,3,0)</f>
        <v>-678</v>
      </c>
      <c r="M83" s="33">
        <f t="shared" si="22"/>
        <v>-36.140724946695094</v>
      </c>
      <c r="N83" s="5">
        <f>VLOOKUP($B83,'Data Vlaue (Cr)'!$C:$FB,67)</f>
        <v>1628</v>
      </c>
      <c r="O83" s="5">
        <f>VLOOKUP($B83,'Data Vlaue (Cr)'!$C:$FB,68)</f>
        <v>1544</v>
      </c>
      <c r="P83" s="5">
        <f t="shared" si="26"/>
        <v>5.1597051597051591</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Pharma</v>
      </c>
      <c r="B84" s="79" t="str">
        <f>'Data shares'!C79</f>
        <v>GRANULES</v>
      </c>
      <c r="C84" s="4">
        <f>VLOOKUP($B84,'Data shares'!$C:$FB,7)</f>
        <v>474.9</v>
      </c>
      <c r="D84" s="82">
        <f>VLOOKUP($B84,'Data shares'!$C:$FB,98)</f>
        <v>14901650</v>
      </c>
      <c r="E84" s="165">
        <f>VLOOKUP(B84,'Snapshot (Volume)'!$A$7:$G$168,7,0)</f>
        <v>20650750</v>
      </c>
      <c r="F84" s="165">
        <f t="shared" si="23"/>
        <v>-5749100</v>
      </c>
      <c r="G84" s="166">
        <f t="shared" si="24"/>
        <v>-0.27839666840187405</v>
      </c>
      <c r="H84" s="165">
        <f>VLOOKUP($B84,'Data shares'!$C:$FB,66)</f>
        <v>17267725</v>
      </c>
      <c r="I84" s="165">
        <f>VLOOKUP($B84,'Data shares'!$C:$FB,67)</f>
        <v>15999225</v>
      </c>
      <c r="J84" s="81">
        <f t="shared" si="25"/>
        <v>7.9285090371564877</v>
      </c>
      <c r="K84" s="5">
        <f>VLOOKUP($B84,'Data Vlaue (Cr)'!$C:$FB,99)</f>
        <v>711</v>
      </c>
      <c r="L84" s="81">
        <f>VLOOKUP(B84,'OI(Value)'!$A$7:$C$209,3,0)</f>
        <v>-274</v>
      </c>
      <c r="M84" s="33">
        <f t="shared" si="22"/>
        <v>-38.537271448663851</v>
      </c>
      <c r="N84" s="5">
        <f>VLOOKUP($B84,'Data Vlaue (Cr)'!$C:$FB,67)</f>
        <v>823</v>
      </c>
      <c r="O84" s="5">
        <f>VLOOKUP($B84,'Data Vlaue (Cr)'!$C:$FB,68)</f>
        <v>763</v>
      </c>
      <c r="P84" s="5">
        <f t="shared" si="26"/>
        <v>7.2904009720534626</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Cement</v>
      </c>
      <c r="B85" s="79" t="str">
        <f>'Data shares'!C80</f>
        <v>GRASIM</v>
      </c>
      <c r="C85" s="4">
        <f>VLOOKUP($B85,'Data shares'!$C:$FB,7)</f>
        <v>2746.4</v>
      </c>
      <c r="D85" s="82">
        <f>VLOOKUP($B85,'Data shares'!$C:$FB,98)</f>
        <v>13841500</v>
      </c>
      <c r="E85" s="165">
        <f>VLOOKUP(B85,'Snapshot (Volume)'!$A$7:$G$168,7,0)</f>
        <v>15926750</v>
      </c>
      <c r="F85" s="165">
        <f t="shared" si="23"/>
        <v>-2085250</v>
      </c>
      <c r="G85" s="166">
        <f t="shared" si="24"/>
        <v>-0.1309275275872353</v>
      </c>
      <c r="H85" s="165">
        <f>VLOOKUP($B85,'Data shares'!$C:$FB,66)</f>
        <v>6286500</v>
      </c>
      <c r="I85" s="165">
        <f>VLOOKUP($B85,'Data shares'!$C:$FB,67)</f>
        <v>12929500</v>
      </c>
      <c r="J85" s="81">
        <f t="shared" si="25"/>
        <v>-51.378630264124681</v>
      </c>
      <c r="K85" s="5">
        <f>VLOOKUP($B85,'Data Vlaue (Cr)'!$C:$FB,99)</f>
        <v>3810</v>
      </c>
      <c r="L85" s="81">
        <f>VLOOKUP(B85,'OI(Value)'!$A$7:$C$209,3,0)</f>
        <v>-574</v>
      </c>
      <c r="M85" s="33">
        <f t="shared" si="22"/>
        <v>-15.065616797900264</v>
      </c>
      <c r="N85" s="5">
        <f>VLOOKUP($B85,'Data Vlaue (Cr)'!$C:$FB,67)</f>
        <v>1731</v>
      </c>
      <c r="O85" s="5">
        <f>VLOOKUP($B85,'Data Vlaue (Cr)'!$C:$FB,68)</f>
        <v>3559</v>
      </c>
      <c r="P85" s="5">
        <f t="shared" si="26"/>
        <v>-105.60369728480647</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Capital_Goods</v>
      </c>
      <c r="B86" s="79" t="str">
        <f>'Data shares'!C81</f>
        <v>HAL</v>
      </c>
      <c r="C86" s="4">
        <f>VLOOKUP($B86,'Data shares'!$C:$FB,7)</f>
        <v>4533.8999999999996</v>
      </c>
      <c r="D86" s="82">
        <f>VLOOKUP($B86,'Data shares'!$C:$FB,98)</f>
        <v>13506900</v>
      </c>
      <c r="E86" s="165">
        <f>VLOOKUP(B86,'Snapshot (Volume)'!$A$7:$G$168,7,0)</f>
        <v>19945800</v>
      </c>
      <c r="F86" s="165">
        <f t="shared" ref="F86:F96" si="27">D86-E86</f>
        <v>-6438900</v>
      </c>
      <c r="G86" s="166">
        <f t="shared" ref="G86:G96" si="28">F86/E86</f>
        <v>-0.32281984177119993</v>
      </c>
      <c r="H86" s="165">
        <f>VLOOKUP($B86,'Data shares'!$C:$FB,66)</f>
        <v>21395700</v>
      </c>
      <c r="I86" s="165">
        <f>VLOOKUP($B86,'Data shares'!$C:$FB,67)</f>
        <v>17887650</v>
      </c>
      <c r="J86" s="81">
        <f t="shared" ref="J86:J96" si="29">(H86-I86)/I86*100</f>
        <v>19.611575584271829</v>
      </c>
      <c r="K86" s="5">
        <f>VLOOKUP($B86,'Data Vlaue (Cr)'!$C:$FB,99)</f>
        <v>6127</v>
      </c>
      <c r="L86" s="81">
        <f>VLOOKUP(B86,'OI(Value)'!$A$7:$C$209,3,0)</f>
        <v>-2921</v>
      </c>
      <c r="M86" s="33">
        <f t="shared" si="22"/>
        <v>-47.674228823241386</v>
      </c>
      <c r="N86" s="5">
        <f>VLOOKUP($B86,'Data Vlaue (Cr)'!$C:$FB,67)</f>
        <v>9706</v>
      </c>
      <c r="O86" s="5">
        <f>VLOOKUP($B86,'Data Vlaue (Cr)'!$C:$FB,68)</f>
        <v>8115</v>
      </c>
      <c r="P86" s="5">
        <f t="shared" ref="P86:P96" si="30">(N86-O86)/N86*100</f>
        <v>16.391922522151248</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Capital_Goods</v>
      </c>
      <c r="B87" s="79" t="str">
        <f>'Data shares'!C82</f>
        <v>HAVELLS</v>
      </c>
      <c r="C87" s="4">
        <f>VLOOKUP($B87,'Data shares'!$C:$FB,7)</f>
        <v>1500.6</v>
      </c>
      <c r="D87" s="82">
        <f>VLOOKUP($B87,'Data shares'!$C:$FB,98)</f>
        <v>10408000</v>
      </c>
      <c r="E87" s="165">
        <f>VLOOKUP(B87,'Snapshot (Volume)'!$A$7:$G$168,7,0)</f>
        <v>14071500</v>
      </c>
      <c r="F87" s="165">
        <f t="shared" si="27"/>
        <v>-3663500</v>
      </c>
      <c r="G87" s="166">
        <f t="shared" si="28"/>
        <v>-0.26034893223892264</v>
      </c>
      <c r="H87" s="165">
        <f>VLOOKUP($B87,'Data shares'!$C:$FB,66)</f>
        <v>7543500</v>
      </c>
      <c r="I87" s="165">
        <f>VLOOKUP($B87,'Data shares'!$C:$FB,67)</f>
        <v>8637000</v>
      </c>
      <c r="J87" s="81">
        <f t="shared" si="29"/>
        <v>-12.660646057658909</v>
      </c>
      <c r="K87" s="5">
        <f>VLOOKUP($B87,'Data Vlaue (Cr)'!$C:$FB,99)</f>
        <v>1571</v>
      </c>
      <c r="L87" s="81">
        <f>VLOOKUP(B87,'OI(Value)'!$A$7:$C$209,3,0)</f>
        <v>-553</v>
      </c>
      <c r="M87" s="33">
        <f t="shared" si="22"/>
        <v>-35.200509229789944</v>
      </c>
      <c r="N87" s="5">
        <f>VLOOKUP($B87,'Data Vlaue (Cr)'!$C:$FB,67)</f>
        <v>1139</v>
      </c>
      <c r="O87" s="5">
        <f>VLOOKUP($B87,'Data Vlaue (Cr)'!$C:$FB,68)</f>
        <v>1304</v>
      </c>
      <c r="P87" s="5">
        <f t="shared" si="30"/>
        <v>-14.486391571553995</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Technology</v>
      </c>
      <c r="B88" s="79" t="str">
        <f>'Data shares'!C83</f>
        <v>HCLTECH</v>
      </c>
      <c r="C88" s="4">
        <f>VLOOKUP($B88,'Data shares'!$C:$FB,7)</f>
        <v>1467.9</v>
      </c>
      <c r="D88" s="82">
        <f>VLOOKUP($B88,'Data shares'!$C:$FB,98)</f>
        <v>26273450</v>
      </c>
      <c r="E88" s="165">
        <f>VLOOKUP(B88,'Snapshot (Volume)'!$A$7:$G$168,7,0)</f>
        <v>39665850</v>
      </c>
      <c r="F88" s="165">
        <f t="shared" si="27"/>
        <v>-13392400</v>
      </c>
      <c r="G88" s="166">
        <f t="shared" si="28"/>
        <v>-0.33763048062754231</v>
      </c>
      <c r="H88" s="165">
        <f>VLOOKUP($B88,'Data shares'!$C:$FB,66)</f>
        <v>18006800</v>
      </c>
      <c r="I88" s="165">
        <f>VLOOKUP($B88,'Data shares'!$C:$FB,67)</f>
        <v>17554600</v>
      </c>
      <c r="J88" s="81">
        <f t="shared" si="29"/>
        <v>2.5759629954541832</v>
      </c>
      <c r="K88" s="5">
        <f>VLOOKUP($B88,'Data Vlaue (Cr)'!$C:$FB,99)</f>
        <v>3878</v>
      </c>
      <c r="L88" s="81">
        <f>VLOOKUP(B88,'OI(Value)'!$A$7:$C$209,3,0)</f>
        <v>-1977</v>
      </c>
      <c r="M88" s="33">
        <f t="shared" si="22"/>
        <v>-50.979886539453325</v>
      </c>
      <c r="N88" s="5">
        <f>VLOOKUP($B88,'Data Vlaue (Cr)'!$C:$FB,67)</f>
        <v>2658</v>
      </c>
      <c r="O88" s="5">
        <f>VLOOKUP($B88,'Data Vlaue (Cr)'!$C:$FB,68)</f>
        <v>2591</v>
      </c>
      <c r="P88" s="5">
        <f t="shared" si="30"/>
        <v>2.5206922498118884</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Finance</v>
      </c>
      <c r="B89" s="79" t="str">
        <f>'Data shares'!C84</f>
        <v>HDFCAMC</v>
      </c>
      <c r="C89" s="4">
        <f>VLOOKUP($B89,'Data shares'!$C:$FB,7)</f>
        <v>5650</v>
      </c>
      <c r="D89" s="82">
        <f>VLOOKUP($B89,'Data shares'!$C:$FB,98)</f>
        <v>3629850</v>
      </c>
      <c r="E89" s="165">
        <f>VLOOKUP(B89,'Snapshot (Volume)'!$A$7:$G$168,7,0)</f>
        <v>5364900</v>
      </c>
      <c r="F89" s="165">
        <f t="shared" si="27"/>
        <v>-1735050</v>
      </c>
      <c r="G89" s="166">
        <f t="shared" si="28"/>
        <v>-0.32340770564223004</v>
      </c>
      <c r="H89" s="165">
        <f>VLOOKUP($B89,'Data shares'!$C:$FB,66)</f>
        <v>4032300</v>
      </c>
      <c r="I89" s="165">
        <f>VLOOKUP($B89,'Data shares'!$C:$FB,67)</f>
        <v>5703900</v>
      </c>
      <c r="J89" s="81">
        <f t="shared" si="29"/>
        <v>-29.306264135065479</v>
      </c>
      <c r="K89" s="5">
        <f>VLOOKUP($B89,'Data Vlaue (Cr)'!$C:$FB,99)</f>
        <v>2046</v>
      </c>
      <c r="L89" s="81">
        <f>VLOOKUP(B89,'OI(Value)'!$A$7:$C$209,3,0)</f>
        <v>-978</v>
      </c>
      <c r="M89" s="33">
        <f t="shared" si="22"/>
        <v>-47.800586510263933</v>
      </c>
      <c r="N89" s="5">
        <f>VLOOKUP($B89,'Data Vlaue (Cr)'!$C:$FB,67)</f>
        <v>2273</v>
      </c>
      <c r="O89" s="5">
        <f>VLOOKUP($B89,'Data Vlaue (Cr)'!$C:$FB,68)</f>
        <v>3216</v>
      </c>
      <c r="P89" s="5">
        <f t="shared" si="30"/>
        <v>-41.487021557413115</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Banking</v>
      </c>
      <c r="B90" s="79" t="str">
        <f>'Data shares'!C85</f>
        <v>HDFCBANK</v>
      </c>
      <c r="C90" s="4">
        <f>VLOOKUP($B90,'Data shares'!$C:$FB,7)</f>
        <v>2018.2</v>
      </c>
      <c r="D90" s="82">
        <f>VLOOKUP($B90,'Data shares'!$C:$FB,98)</f>
        <v>123107050</v>
      </c>
      <c r="E90" s="165">
        <f>VLOOKUP(B90,'Snapshot (Volume)'!$A$7:$G$168,7,0)</f>
        <v>159005000</v>
      </c>
      <c r="F90" s="165">
        <f t="shared" si="27"/>
        <v>-35897950</v>
      </c>
      <c r="G90" s="166">
        <f t="shared" si="28"/>
        <v>-0.22576617087512971</v>
      </c>
      <c r="H90" s="165">
        <f>VLOOKUP($B90,'Data shares'!$C:$FB,66)</f>
        <v>110622600</v>
      </c>
      <c r="I90" s="165">
        <f>VLOOKUP($B90,'Data shares'!$C:$FB,67)</f>
        <v>123238500</v>
      </c>
      <c r="J90" s="81">
        <f t="shared" si="29"/>
        <v>-10.236979515330031</v>
      </c>
      <c r="K90" s="5">
        <f>VLOOKUP($B90,'Data Vlaue (Cr)'!$C:$FB,99)</f>
        <v>24975</v>
      </c>
      <c r="L90" s="81">
        <f>VLOOKUP(B90,'OI(Value)'!$A$7:$C$209,3,0)</f>
        <v>-7283</v>
      </c>
      <c r="M90" s="33">
        <f t="shared" si="22"/>
        <v>-29.161161161161157</v>
      </c>
      <c r="N90" s="5">
        <f>VLOOKUP($B90,'Data Vlaue (Cr)'!$C:$FB,67)</f>
        <v>22442</v>
      </c>
      <c r="O90" s="5">
        <f>VLOOKUP($B90,'Data Vlaue (Cr)'!$C:$FB,68)</f>
        <v>25001</v>
      </c>
      <c r="P90" s="5">
        <f t="shared" si="30"/>
        <v>-11.402727029676498</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HDFCLIFE</v>
      </c>
      <c r="C91" s="4">
        <f>VLOOKUP($B91,'Data shares'!$C:$FB,7)</f>
        <v>755.5</v>
      </c>
      <c r="D91" s="82">
        <f>VLOOKUP($B91,'Data shares'!$C:$FB,98)</f>
        <v>34531200</v>
      </c>
      <c r="E91" s="165">
        <f>VLOOKUP(B91,'Snapshot (Volume)'!$A$7:$G$168,7,0)</f>
        <v>55008800</v>
      </c>
      <c r="F91" s="165">
        <f t="shared" si="27"/>
        <v>-20477600</v>
      </c>
      <c r="G91" s="166">
        <f t="shared" si="28"/>
        <v>-0.37226043832986722</v>
      </c>
      <c r="H91" s="165">
        <f>VLOOKUP($B91,'Data shares'!$C:$FB,66)</f>
        <v>28092900</v>
      </c>
      <c r="I91" s="165">
        <f>VLOOKUP($B91,'Data shares'!$C:$FB,67)</f>
        <v>34598300</v>
      </c>
      <c r="J91" s="81">
        <f t="shared" si="29"/>
        <v>-18.802657934060342</v>
      </c>
      <c r="K91" s="5">
        <f>VLOOKUP($B91,'Data Vlaue (Cr)'!$C:$FB,99)</f>
        <v>2624</v>
      </c>
      <c r="L91" s="81">
        <f>VLOOKUP(B91,'OI(Value)'!$A$7:$C$209,3,0)</f>
        <v>-1556</v>
      </c>
      <c r="M91" s="33">
        <f t="shared" si="22"/>
        <v>-59.298780487804883</v>
      </c>
      <c r="N91" s="5">
        <f>VLOOKUP($B91,'Data Vlaue (Cr)'!$C:$FB,67)</f>
        <v>2135</v>
      </c>
      <c r="O91" s="5">
        <f>VLOOKUP($B91,'Data Vlaue (Cr)'!$C:$FB,68)</f>
        <v>2629</v>
      </c>
      <c r="P91" s="5">
        <f t="shared" si="30"/>
        <v>-23.138173302107727</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Automobile</v>
      </c>
      <c r="B92" s="79" t="str">
        <f>'Data shares'!C87</f>
        <v>HEROMOTOCO</v>
      </c>
      <c r="C92" s="4">
        <f>VLOOKUP($B92,'Data shares'!$C:$FB,7)</f>
        <v>4260.7</v>
      </c>
      <c r="D92" s="82">
        <f>VLOOKUP($B92,'Data shares'!$C:$FB,98)</f>
        <v>8461050</v>
      </c>
      <c r="E92" s="165">
        <f>VLOOKUP(B92,'Snapshot (Volume)'!$A$7:$G$168,7,0)</f>
        <v>12753000</v>
      </c>
      <c r="F92" s="165">
        <f t="shared" si="27"/>
        <v>-4291950</v>
      </c>
      <c r="G92" s="166">
        <f t="shared" si="28"/>
        <v>-0.33654434250764526</v>
      </c>
      <c r="H92" s="165">
        <f>VLOOKUP($B92,'Data shares'!$C:$FB,66)</f>
        <v>6779550</v>
      </c>
      <c r="I92" s="165">
        <f>VLOOKUP($B92,'Data shares'!$C:$FB,67)</f>
        <v>13927800</v>
      </c>
      <c r="J92" s="81">
        <f t="shared" si="29"/>
        <v>-51.323611769267217</v>
      </c>
      <c r="K92" s="5">
        <f>VLOOKUP($B92,'Data Vlaue (Cr)'!$C:$FB,99)</f>
        <v>3575</v>
      </c>
      <c r="L92" s="81">
        <f>VLOOKUP(B92,'OI(Value)'!$A$7:$C$209,3,0)</f>
        <v>-1813</v>
      </c>
      <c r="M92" s="33">
        <f t="shared" si="22"/>
        <v>-50.713286713286706</v>
      </c>
      <c r="N92" s="5">
        <f>VLOOKUP($B92,'Data Vlaue (Cr)'!$C:$FB,67)</f>
        <v>2864</v>
      </c>
      <c r="O92" s="5">
        <f>VLOOKUP($B92,'Data Vlaue (Cr)'!$C:$FB,68)</f>
        <v>5884</v>
      </c>
      <c r="P92" s="5">
        <f t="shared" si="30"/>
        <v>-105.44692737430168</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Technology</v>
      </c>
      <c r="B93" s="79" t="str">
        <f>'Data shares'!C88</f>
        <v>HFCL</v>
      </c>
      <c r="C93" s="4">
        <f>VLOOKUP($B93,'Data shares'!$C:$FB,7)</f>
        <v>75.569999999999993</v>
      </c>
      <c r="D93" s="82">
        <f>VLOOKUP($B93,'Data shares'!$C:$FB,98)</f>
        <v>118383300</v>
      </c>
      <c r="E93" s="165">
        <f>VLOOKUP(B93,'Snapshot (Volume)'!$A$7:$G$168,7,0)</f>
        <v>153729300</v>
      </c>
      <c r="F93" s="165">
        <f t="shared" si="27"/>
        <v>-35346000</v>
      </c>
      <c r="G93" s="166">
        <f t="shared" si="28"/>
        <v>-0.22992363849962238</v>
      </c>
      <c r="H93" s="165">
        <f>VLOOKUP($B93,'Data shares'!$C:$FB,66)</f>
        <v>88100550</v>
      </c>
      <c r="I93" s="165">
        <f>VLOOKUP($B93,'Data shares'!$C:$FB,67)</f>
        <v>61655550</v>
      </c>
      <c r="J93" s="81">
        <f t="shared" si="29"/>
        <v>42.89151584893817</v>
      </c>
      <c r="K93" s="5">
        <f>VLOOKUP($B93,'Data Vlaue (Cr)'!$C:$FB,99)</f>
        <v>901</v>
      </c>
      <c r="L93" s="81">
        <f>VLOOKUP(B93,'OI(Value)'!$A$7:$C$209,3,0)</f>
        <v>-269</v>
      </c>
      <c r="M93" s="33">
        <f t="shared" si="22"/>
        <v>-29.855715871254162</v>
      </c>
      <c r="N93" s="5">
        <f>VLOOKUP($B93,'Data Vlaue (Cr)'!$C:$FB,67)</f>
        <v>670</v>
      </c>
      <c r="O93" s="5">
        <f>VLOOKUP($B93,'Data Vlaue (Cr)'!$C:$FB,68)</f>
        <v>469</v>
      </c>
      <c r="P93" s="5">
        <f t="shared" si="30"/>
        <v>30</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Metals</v>
      </c>
      <c r="B94" s="79" t="str">
        <f>'Data shares'!C89</f>
        <v>HINDALCO</v>
      </c>
      <c r="C94" s="4">
        <f>VLOOKUP($B94,'Data shares'!$C:$FB,7)</f>
        <v>683.05</v>
      </c>
      <c r="D94" s="82">
        <f>VLOOKUP($B94,'Data shares'!$C:$FB,98)</f>
        <v>54098800</v>
      </c>
      <c r="E94" s="165">
        <f>VLOOKUP(B94,'Snapshot (Volume)'!$A$7:$G$168,7,0)</f>
        <v>73064600</v>
      </c>
      <c r="F94" s="165">
        <f t="shared" si="27"/>
        <v>-18965800</v>
      </c>
      <c r="G94" s="166">
        <f t="shared" si="28"/>
        <v>-0.25957577267240223</v>
      </c>
      <c r="H94" s="165">
        <f>VLOOKUP($B94,'Data shares'!$C:$FB,66)</f>
        <v>41442800</v>
      </c>
      <c r="I94" s="165">
        <f>VLOOKUP($B94,'Data shares'!$C:$FB,67)</f>
        <v>49483000</v>
      </c>
      <c r="J94" s="81">
        <f t="shared" si="29"/>
        <v>-16.248408544348564</v>
      </c>
      <c r="K94" s="5">
        <f>VLOOKUP($B94,'Data Vlaue (Cr)'!$C:$FB,99)</f>
        <v>3680</v>
      </c>
      <c r="L94" s="81">
        <f>VLOOKUP(B94,'OI(Value)'!$A$7:$C$209,3,0)</f>
        <v>-1290</v>
      </c>
      <c r="M94" s="33">
        <f t="shared" ref="M94:M122" si="31">L94/K94*100</f>
        <v>-35.054347826086953</v>
      </c>
      <c r="N94" s="5">
        <f>VLOOKUP($B94,'Data Vlaue (Cr)'!$C:$FB,67)</f>
        <v>2819</v>
      </c>
      <c r="O94" s="5">
        <f>VLOOKUP($B94,'Data Vlaue (Cr)'!$C:$FB,68)</f>
        <v>3366</v>
      </c>
      <c r="P94" s="5">
        <f t="shared" si="30"/>
        <v>-19.404043987229514</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Metals</v>
      </c>
      <c r="B95" s="79" t="str">
        <f>'Data shares'!C90</f>
        <v>HINDCOPPER</v>
      </c>
      <c r="C95" s="4">
        <f>VLOOKUP($B95,'Data shares'!$C:$FB,7)</f>
        <v>243.35</v>
      </c>
      <c r="D95" s="82">
        <f>VLOOKUP($B95,'Data shares'!$C:$FB,98)</f>
        <v>11164450</v>
      </c>
      <c r="E95" s="165">
        <f>VLOOKUP(B95,'Snapshot (Volume)'!$A$7:$G$168,7,0)</f>
        <v>23431300</v>
      </c>
      <c r="F95" s="165">
        <f t="shared" si="27"/>
        <v>-12266850</v>
      </c>
      <c r="G95" s="166">
        <f t="shared" si="28"/>
        <v>-0.52352408957249497</v>
      </c>
      <c r="H95" s="165">
        <f>VLOOKUP($B95,'Data shares'!$C:$FB,66)</f>
        <v>20232750</v>
      </c>
      <c r="I95" s="165">
        <f>VLOOKUP($B95,'Data shares'!$C:$FB,67)</f>
        <v>26076000</v>
      </c>
      <c r="J95" s="81">
        <f t="shared" si="29"/>
        <v>-22.408536585365855</v>
      </c>
      <c r="K95" s="5">
        <f>VLOOKUP($B95,'Data Vlaue (Cr)'!$C:$FB,99)</f>
        <v>0</v>
      </c>
      <c r="L95" s="81">
        <f>VLOOKUP(B95,'OI(Value)'!$A$7:$C$209,3,0)</f>
        <v>0</v>
      </c>
      <c r="M95" s="33" t="e">
        <f t="shared" si="31"/>
        <v>#DIV/0!</v>
      </c>
      <c r="N95" s="5">
        <f>VLOOKUP($B95,'Data Vlaue (Cr)'!$C:$FB,67)</f>
        <v>0</v>
      </c>
      <c r="O95" s="5">
        <f>VLOOKUP($B95,'Data Vlaue (Cr)'!$C:$FB,68)</f>
        <v>0</v>
      </c>
      <c r="P95" s="5" t="e">
        <f t="shared" si="30"/>
        <v>#DIV/0!</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Oil_Gas</v>
      </c>
      <c r="B96" s="79" t="str">
        <f>'Data shares'!C91</f>
        <v>HINDPETRO</v>
      </c>
      <c r="C96" s="4">
        <f>VLOOKUP($B96,'Data shares'!$C:$FB,7)</f>
        <v>418.45</v>
      </c>
      <c r="D96" s="82">
        <f>VLOOKUP($B96,'Data shares'!$C:$FB,98)</f>
        <v>63838125</v>
      </c>
      <c r="E96" s="165">
        <f>VLOOKUP(B96,'Snapshot (Volume)'!$A$7:$G$168,7,0)</f>
        <v>90264375</v>
      </c>
      <c r="F96" s="165">
        <f t="shared" si="27"/>
        <v>-26426250</v>
      </c>
      <c r="G96" s="166">
        <f t="shared" si="28"/>
        <v>-0.29276500280426249</v>
      </c>
      <c r="H96" s="165">
        <f>VLOOKUP($B96,'Data shares'!$C:$FB,66)</f>
        <v>71053200</v>
      </c>
      <c r="I96" s="165">
        <f>VLOOKUP($B96,'Data shares'!$C:$FB,67)</f>
        <v>135276075</v>
      </c>
      <c r="J96" s="81">
        <f t="shared" si="29"/>
        <v>-47.475412780863138</v>
      </c>
      <c r="K96" s="5">
        <f>VLOOKUP($B96,'Data Vlaue (Cr)'!$C:$FB,99)</f>
        <v>2671</v>
      </c>
      <c r="L96" s="81">
        <f>VLOOKUP(B96,'OI(Value)'!$A$7:$C$209,3,0)</f>
        <v>-1106</v>
      </c>
      <c r="M96" s="33">
        <f t="shared" si="31"/>
        <v>-41.407712467240728</v>
      </c>
      <c r="N96" s="5">
        <f>VLOOKUP($B96,'Data Vlaue (Cr)'!$C:$FB,67)</f>
        <v>2973</v>
      </c>
      <c r="O96" s="5">
        <f>VLOOKUP($B96,'Data Vlaue (Cr)'!$C:$FB,68)</f>
        <v>5661</v>
      </c>
      <c r="P96" s="5">
        <f t="shared" si="30"/>
        <v>-90.413723511604445</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FMCG</v>
      </c>
      <c r="B97" s="79" t="str">
        <f>'Data shares'!C92</f>
        <v>HINDUNILVR</v>
      </c>
      <c r="C97" s="4">
        <f>VLOOKUP($B97,'Data shares'!$C:$FB,7)</f>
        <v>2521.1999999999998</v>
      </c>
      <c r="D97" s="82">
        <f>VLOOKUP($B97,'Data shares'!$C:$FB,98)</f>
        <v>22008300</v>
      </c>
      <c r="E97" s="165">
        <f>VLOOKUP(B97,'Snapshot (Volume)'!$A$7:$G$168,7,0)</f>
        <v>33402600</v>
      </c>
      <c r="F97" s="165">
        <f t="shared" ref="F97:F105" si="32">D97-E97</f>
        <v>-11394300</v>
      </c>
      <c r="G97" s="166">
        <f t="shared" ref="G97:G105" si="33">F97/E97</f>
        <v>-0.34112015232347181</v>
      </c>
      <c r="H97" s="165">
        <f>VLOOKUP($B97,'Data shares'!$C:$FB,66)</f>
        <v>110687100</v>
      </c>
      <c r="I97" s="165">
        <f>VLOOKUP($B97,'Data shares'!$C:$FB,67)</f>
        <v>42200700</v>
      </c>
      <c r="J97" s="81">
        <f t="shared" ref="J97:J105" si="34">(H97-I97)/I97*100</f>
        <v>162.2873554230143</v>
      </c>
      <c r="K97" s="5">
        <f>VLOOKUP($B97,'Data Vlaue (Cr)'!$C:$FB,99)</f>
        <v>5574</v>
      </c>
      <c r="L97" s="81">
        <f>VLOOKUP(B97,'OI(Value)'!$A$7:$C$209,3,0)</f>
        <v>-2886</v>
      </c>
      <c r="M97" s="33">
        <f t="shared" si="31"/>
        <v>-51.776103336921423</v>
      </c>
      <c r="N97" s="5">
        <f>VLOOKUP($B97,'Data Vlaue (Cr)'!$C:$FB,67)</f>
        <v>28032</v>
      </c>
      <c r="O97" s="5">
        <f>VLOOKUP($B97,'Data Vlaue (Cr)'!$C:$FB,68)</f>
        <v>10687</v>
      </c>
      <c r="P97" s="5">
        <f t="shared" ref="P97:P105" si="35">(N97-O97)/N97*100</f>
        <v>61.875713470319639</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Metals</v>
      </c>
      <c r="B98" s="79" t="str">
        <f>'Data shares'!C93</f>
        <v>HINDZINC</v>
      </c>
      <c r="C98" s="4">
        <f>VLOOKUP($B98,'Data shares'!$C:$FB,7)</f>
        <v>424.05</v>
      </c>
      <c r="D98" s="82">
        <f>VLOOKUP($B98,'Data shares'!$C:$FB,98)</f>
        <v>41805575</v>
      </c>
      <c r="E98" s="165">
        <f>VLOOKUP(B98,'Snapshot (Volume)'!$A$7:$G$168,7,0)</f>
        <v>63104650</v>
      </c>
      <c r="F98" s="165">
        <f t="shared" si="32"/>
        <v>-21299075</v>
      </c>
      <c r="G98" s="166">
        <f t="shared" si="33"/>
        <v>-0.33751989750359124</v>
      </c>
      <c r="H98" s="165">
        <f>VLOOKUP($B98,'Data shares'!$C:$FB,66)</f>
        <v>34879425</v>
      </c>
      <c r="I98" s="165">
        <f>VLOOKUP($B98,'Data shares'!$C:$FB,67)</f>
        <v>28371000</v>
      </c>
      <c r="J98" s="81">
        <f t="shared" si="34"/>
        <v>22.940414507772019</v>
      </c>
      <c r="K98" s="5">
        <f>VLOOKUP($B98,'Data Vlaue (Cr)'!$C:$FB,99)</f>
        <v>1784</v>
      </c>
      <c r="L98" s="81">
        <f>VLOOKUP(B98,'OI(Value)'!$A$7:$C$209,3,0)</f>
        <v>-909</v>
      </c>
      <c r="M98" s="33">
        <f t="shared" si="31"/>
        <v>-50.952914798206287</v>
      </c>
      <c r="N98" s="5">
        <f>VLOOKUP($B98,'Data Vlaue (Cr)'!$C:$FB,67)</f>
        <v>1488</v>
      </c>
      <c r="O98" s="5">
        <f>VLOOKUP($B98,'Data Vlaue (Cr)'!$C:$FB,68)</f>
        <v>1211</v>
      </c>
      <c r="P98" s="5">
        <f t="shared" si="35"/>
        <v>18.615591397849464</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Realty</v>
      </c>
      <c r="B99" s="79" t="str">
        <f>'Data shares'!C94</f>
        <v>HUDCO</v>
      </c>
      <c r="C99" s="4">
        <f>VLOOKUP($B99,'Data shares'!$C:$FB,7)</f>
        <v>212.27</v>
      </c>
      <c r="D99" s="82">
        <f>VLOOKUP($B99,'Data shares'!$C:$FB,98)</f>
        <v>42099525</v>
      </c>
      <c r="E99" s="165">
        <f>VLOOKUP(B99,'Snapshot (Volume)'!$A$7:$G$168,7,0)</f>
        <v>61158225</v>
      </c>
      <c r="F99" s="165">
        <f t="shared" si="32"/>
        <v>-19058700</v>
      </c>
      <c r="G99" s="166">
        <f t="shared" si="33"/>
        <v>-0.31162938427333364</v>
      </c>
      <c r="H99" s="165">
        <f>VLOOKUP($B99,'Data shares'!$C:$FB,66)</f>
        <v>47810475</v>
      </c>
      <c r="I99" s="165">
        <f>VLOOKUP($B99,'Data shares'!$C:$FB,67)</f>
        <v>46195425</v>
      </c>
      <c r="J99" s="81">
        <f t="shared" si="34"/>
        <v>3.4961254280050458</v>
      </c>
      <c r="K99" s="5">
        <f>VLOOKUP($B99,'Data Vlaue (Cr)'!$C:$FB,99)</f>
        <v>893</v>
      </c>
      <c r="L99" s="81">
        <f>VLOOKUP(B99,'OI(Value)'!$A$7:$C$209,3,0)</f>
        <v>-404</v>
      </c>
      <c r="M99" s="33">
        <f t="shared" si="31"/>
        <v>-45.240761478163492</v>
      </c>
      <c r="N99" s="5">
        <f>VLOOKUP($B99,'Data Vlaue (Cr)'!$C:$FB,67)</f>
        <v>1014</v>
      </c>
      <c r="O99" s="5">
        <f>VLOOKUP($B99,'Data Vlaue (Cr)'!$C:$FB,68)</f>
        <v>980</v>
      </c>
      <c r="P99" s="5">
        <f t="shared" si="35"/>
        <v>3.3530571992110452</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Banking</v>
      </c>
      <c r="B100" s="79" t="str">
        <f>'Data shares'!C95</f>
        <v>ICICIBANK</v>
      </c>
      <c r="C100" s="4">
        <f>VLOOKUP($B100,'Data shares'!$C:$FB,7)</f>
        <v>1481.4</v>
      </c>
      <c r="D100" s="82">
        <f>VLOOKUP($B100,'Data shares'!$C:$FB,98)</f>
        <v>108199000</v>
      </c>
      <c r="E100" s="165">
        <f>VLOOKUP(B100,'Snapshot (Volume)'!$A$7:$G$168,7,0)</f>
        <v>137342100</v>
      </c>
      <c r="F100" s="165">
        <f t="shared" si="32"/>
        <v>-29143100</v>
      </c>
      <c r="G100" s="166">
        <f t="shared" si="33"/>
        <v>-0.21219349347359623</v>
      </c>
      <c r="H100" s="165">
        <f>VLOOKUP($B100,'Data shares'!$C:$FB,66)</f>
        <v>99079400</v>
      </c>
      <c r="I100" s="165">
        <f>VLOOKUP($B100,'Data shares'!$C:$FB,67)</f>
        <v>87172400</v>
      </c>
      <c r="J100" s="81">
        <f t="shared" si="34"/>
        <v>13.659139819484148</v>
      </c>
      <c r="K100" s="5">
        <f>VLOOKUP($B100,'Data Vlaue (Cr)'!$C:$FB,99)</f>
        <v>15985</v>
      </c>
      <c r="L100" s="81">
        <f>VLOOKUP(B100,'OI(Value)'!$A$7:$C$209,3,0)</f>
        <v>-4306</v>
      </c>
      <c r="M100" s="33">
        <f t="shared" si="31"/>
        <v>-26.937754144510478</v>
      </c>
      <c r="N100" s="5">
        <f>VLOOKUP($B100,'Data Vlaue (Cr)'!$C:$FB,67)</f>
        <v>14638</v>
      </c>
      <c r="O100" s="5">
        <f>VLOOKUP($B100,'Data Vlaue (Cr)'!$C:$FB,68)</f>
        <v>12879</v>
      </c>
      <c r="P100" s="5">
        <f t="shared" si="35"/>
        <v>12.016668943844788</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Finance</v>
      </c>
      <c r="B101" s="79" t="str">
        <f>'Data shares'!C96</f>
        <v>ICICIGI</v>
      </c>
      <c r="C101" s="4">
        <f>VLOOKUP($B101,'Data shares'!$C:$FB,7)</f>
        <v>1927</v>
      </c>
      <c r="D101" s="82">
        <f>VLOOKUP($B101,'Data shares'!$C:$FB,98)</f>
        <v>5499975</v>
      </c>
      <c r="E101" s="165">
        <f>VLOOKUP(B101,'Snapshot (Volume)'!$A$7:$G$168,7,0)</f>
        <v>8103550</v>
      </c>
      <c r="F101" s="165">
        <f t="shared" si="32"/>
        <v>-2603575</v>
      </c>
      <c r="G101" s="166">
        <f t="shared" si="33"/>
        <v>-0.32128820085024462</v>
      </c>
      <c r="H101" s="165">
        <f>VLOOKUP($B101,'Data shares'!$C:$FB,66)</f>
        <v>4068025</v>
      </c>
      <c r="I101" s="165">
        <f>VLOOKUP($B101,'Data shares'!$C:$FB,67)</f>
        <v>3777800</v>
      </c>
      <c r="J101" s="81">
        <f t="shared" si="34"/>
        <v>7.6823812801101177</v>
      </c>
      <c r="K101" s="5">
        <f>VLOOKUP($B101,'Data Vlaue (Cr)'!$C:$FB,99)</f>
        <v>1066</v>
      </c>
      <c r="L101" s="81">
        <f>VLOOKUP(B101,'OI(Value)'!$A$7:$C$209,3,0)</f>
        <v>-505</v>
      </c>
      <c r="M101" s="33">
        <f t="shared" si="31"/>
        <v>-47.373358348968104</v>
      </c>
      <c r="N101" s="5">
        <f>VLOOKUP($B101,'Data Vlaue (Cr)'!$C:$FB,67)</f>
        <v>788</v>
      </c>
      <c r="O101" s="5">
        <f>VLOOKUP($B101,'Data Vlaue (Cr)'!$C:$FB,68)</f>
        <v>732</v>
      </c>
      <c r="P101" s="5">
        <f t="shared" si="35"/>
        <v>7.1065989847715745</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Finance</v>
      </c>
      <c r="B102" s="79" t="str">
        <f>'Data shares'!C97</f>
        <v>ICICIPRULI</v>
      </c>
      <c r="C102" s="4">
        <f>VLOOKUP($B102,'Data shares'!$C:$FB,7)</f>
        <v>615.95000000000005</v>
      </c>
      <c r="D102" s="82">
        <f>VLOOKUP($B102,'Data shares'!$C:$FB,98)</f>
        <v>15784200</v>
      </c>
      <c r="E102" s="165">
        <f>VLOOKUP(B102,'Snapshot (Volume)'!$A$7:$G$168,7,0)</f>
        <v>25285800</v>
      </c>
      <c r="F102" s="165">
        <f t="shared" si="32"/>
        <v>-9501600</v>
      </c>
      <c r="G102" s="166">
        <f t="shared" si="33"/>
        <v>-0.37576821773485514</v>
      </c>
      <c r="H102" s="165">
        <f>VLOOKUP($B102,'Data shares'!$C:$FB,66)</f>
        <v>7595175</v>
      </c>
      <c r="I102" s="165">
        <f>VLOOKUP($B102,'Data shares'!$C:$FB,67)</f>
        <v>12978675</v>
      </c>
      <c r="J102" s="81">
        <f t="shared" si="34"/>
        <v>-41.479580927945264</v>
      </c>
      <c r="K102" s="5">
        <f>VLOOKUP($B102,'Data Vlaue (Cr)'!$C:$FB,99)</f>
        <v>976</v>
      </c>
      <c r="L102" s="81">
        <f>VLOOKUP(B102,'OI(Value)'!$A$7:$C$209,3,0)</f>
        <v>-587</v>
      </c>
      <c r="M102" s="33">
        <f t="shared" si="31"/>
        <v>-60.143442622950815</v>
      </c>
      <c r="N102" s="5">
        <f>VLOOKUP($B102,'Data Vlaue (Cr)'!$C:$FB,67)</f>
        <v>470</v>
      </c>
      <c r="O102" s="5">
        <f>VLOOKUP($B102,'Data Vlaue (Cr)'!$C:$FB,68)</f>
        <v>802</v>
      </c>
      <c r="P102" s="5">
        <f t="shared" si="35"/>
        <v>-70.638297872340431</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Telecom</v>
      </c>
      <c r="B103" s="79" t="str">
        <f>'Data shares'!C98</f>
        <v>IDEA</v>
      </c>
      <c r="C103" s="4">
        <f>VLOOKUP($B103,'Data shares'!$C:$FB,7)</f>
        <v>6.91</v>
      </c>
      <c r="D103" s="82">
        <f>VLOOKUP($B103,'Data shares'!$C:$FB,98)</f>
        <v>6381359475</v>
      </c>
      <c r="E103" s="165">
        <f>VLOOKUP(B103,'Snapshot (Volume)'!$A$7:$G$168,7,0)</f>
        <v>7977396225</v>
      </c>
      <c r="F103" s="165">
        <f t="shared" si="32"/>
        <v>-1596036750</v>
      </c>
      <c r="G103" s="166">
        <f t="shared" si="33"/>
        <v>-0.20006988558475419</v>
      </c>
      <c r="H103" s="165">
        <f>VLOOKUP($B103,'Data shares'!$C:$FB,66)</f>
        <v>2862716700</v>
      </c>
      <c r="I103" s="165">
        <f>VLOOKUP($B103,'Data shares'!$C:$FB,67)</f>
        <v>3841852725</v>
      </c>
      <c r="J103" s="81">
        <f t="shared" si="34"/>
        <v>-25.486037469070343</v>
      </c>
      <c r="K103" s="5">
        <f>VLOOKUP($B103,'Data Vlaue (Cr)'!$C:$FB,99)</f>
        <v>4422</v>
      </c>
      <c r="L103" s="81">
        <f>VLOOKUP(B103,'OI(Value)'!$A$7:$C$209,3,0)</f>
        <v>-1106</v>
      </c>
      <c r="M103" s="33">
        <f t="shared" si="31"/>
        <v>-25.011307100859341</v>
      </c>
      <c r="N103" s="5">
        <f>VLOOKUP($B103,'Data Vlaue (Cr)'!$C:$FB,67)</f>
        <v>1984</v>
      </c>
      <c r="O103" s="5">
        <f>VLOOKUP($B103,'Data Vlaue (Cr)'!$C:$FB,68)</f>
        <v>2662</v>
      </c>
      <c r="P103" s="5">
        <f t="shared" si="35"/>
        <v>-34.173387096774192</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Banking</v>
      </c>
      <c r="B104" s="79" t="str">
        <f>'Data shares'!C99</f>
        <v>IDFCFIRSTB</v>
      </c>
      <c r="C104" s="4">
        <f>VLOOKUP($B104,'Data shares'!$C:$FB,7)</f>
        <v>68.760000000000005</v>
      </c>
      <c r="D104" s="82">
        <f>VLOOKUP($B104,'Data shares'!$C:$FB,98)</f>
        <v>483941675</v>
      </c>
      <c r="E104" s="165">
        <f>VLOOKUP(B104,'Snapshot (Volume)'!$A$7:$G$168,7,0)</f>
        <v>643397475</v>
      </c>
      <c r="F104" s="165">
        <f t="shared" si="32"/>
        <v>-159455800</v>
      </c>
      <c r="G104" s="166">
        <f t="shared" si="33"/>
        <v>-0.24783404690856145</v>
      </c>
      <c r="H104" s="165">
        <f>VLOOKUP($B104,'Data shares'!$C:$FB,66)</f>
        <v>271609100</v>
      </c>
      <c r="I104" s="165">
        <f>VLOOKUP($B104,'Data shares'!$C:$FB,67)</f>
        <v>322463925</v>
      </c>
      <c r="J104" s="81">
        <f t="shared" si="34"/>
        <v>-15.77070210256853</v>
      </c>
      <c r="K104" s="5">
        <f>VLOOKUP($B104,'Data Vlaue (Cr)'!$C:$FB,99)</f>
        <v>3346</v>
      </c>
      <c r="L104" s="81">
        <f>VLOOKUP(B104,'OI(Value)'!$A$7:$C$209,3,0)</f>
        <v>-1103</v>
      </c>
      <c r="M104" s="33">
        <f t="shared" si="31"/>
        <v>-32.964734010759116</v>
      </c>
      <c r="N104" s="5">
        <f>VLOOKUP($B104,'Data Vlaue (Cr)'!$C:$FB,67)</f>
        <v>1878</v>
      </c>
      <c r="O104" s="5">
        <f>VLOOKUP($B104,'Data Vlaue (Cr)'!$C:$FB,68)</f>
        <v>2230</v>
      </c>
      <c r="P104" s="5">
        <f t="shared" si="35"/>
        <v>-18.743343982960596</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Power</v>
      </c>
      <c r="B105" s="79" t="str">
        <f>'Data shares'!C100</f>
        <v>IEX</v>
      </c>
      <c r="C105" s="4">
        <f>VLOOKUP($B105,'Data shares'!$C:$FB,7)</f>
        <v>135.30000000000001</v>
      </c>
      <c r="D105" s="82">
        <f>VLOOKUP($B105,'Data shares'!$C:$FB,98)</f>
        <v>79207500</v>
      </c>
      <c r="E105" s="165">
        <f>VLOOKUP(B105,'Snapshot (Volume)'!$A$7:$G$168,7,0)</f>
        <v>165667500</v>
      </c>
      <c r="F105" s="165">
        <f t="shared" si="32"/>
        <v>-86460000</v>
      </c>
      <c r="G105" s="166">
        <f t="shared" si="33"/>
        <v>-0.52188872289374799</v>
      </c>
      <c r="H105" s="165">
        <f>VLOOKUP($B105,'Data shares'!$C:$FB,66)</f>
        <v>133053750</v>
      </c>
      <c r="I105" s="165">
        <f>VLOOKUP($B105,'Data shares'!$C:$FB,67)</f>
        <v>145601250</v>
      </c>
      <c r="J105" s="81">
        <f t="shared" si="34"/>
        <v>-8.6177144770391738</v>
      </c>
      <c r="K105" s="5">
        <f>VLOOKUP($B105,'Data Vlaue (Cr)'!$C:$FB,99)</f>
        <v>1078</v>
      </c>
      <c r="L105" s="81">
        <f>VLOOKUP(B105,'OI(Value)'!$A$7:$C$209,3,0)</f>
        <v>-1176</v>
      </c>
      <c r="M105" s="33">
        <f t="shared" si="31"/>
        <v>-109.09090909090908</v>
      </c>
      <c r="N105" s="5">
        <f>VLOOKUP($B105,'Data Vlaue (Cr)'!$C:$FB,67)</f>
        <v>1810</v>
      </c>
      <c r="O105" s="5">
        <f>VLOOKUP($B105,'Data Vlaue (Cr)'!$C:$FB,68)</f>
        <v>1981</v>
      </c>
      <c r="P105" s="5">
        <f t="shared" si="35"/>
        <v>-9.4475138121546962</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Oil_Gas</v>
      </c>
      <c r="B106" s="79" t="str">
        <f>'Data shares'!C101</f>
        <v>IGL</v>
      </c>
      <c r="C106" s="79">
        <f>VLOOKUP($B106,'Data shares'!$C:$FB,7)</f>
        <v>205.05</v>
      </c>
      <c r="D106" s="80">
        <f>VLOOKUP($B106,'Data shares'!$C:$FB,98)</f>
        <v>26224000</v>
      </c>
      <c r="E106" s="165">
        <f>VLOOKUP(B106,'Snapshot (Volume)'!$A$7:$G$168,7,0)</f>
        <v>46543750</v>
      </c>
      <c r="F106" s="165">
        <f t="shared" ref="F106:F114" si="36">D106-E106</f>
        <v>-20319750</v>
      </c>
      <c r="G106" s="166">
        <f t="shared" ref="G106:G114" si="37">F106/E106</f>
        <v>-0.43657311669128507</v>
      </c>
      <c r="H106" s="165">
        <f>VLOOKUP($B106,'Data shares'!$C:$FB,66)</f>
        <v>65161250</v>
      </c>
      <c r="I106" s="165">
        <f>VLOOKUP($B106,'Data shares'!$C:$FB,67)</f>
        <v>46343000</v>
      </c>
      <c r="J106" s="81">
        <f t="shared" ref="J106:J114" si="38">(H106-I106)/I106*100</f>
        <v>40.6064562069784</v>
      </c>
      <c r="K106" s="81">
        <f>VLOOKUP($B106,'Data Vlaue (Cr)'!$C:$FB,99)</f>
        <v>535</v>
      </c>
      <c r="L106" s="81">
        <f>VLOOKUP(B106,'OI(Value)'!$A$7:$C$209,3,0)</f>
        <v>-414</v>
      </c>
      <c r="M106" s="81">
        <f t="shared" si="31"/>
        <v>-77.383177570093451</v>
      </c>
      <c r="N106" s="81">
        <f>VLOOKUP($B106,'Data Vlaue (Cr)'!$C:$FB,67)</f>
        <v>1329</v>
      </c>
      <c r="O106" s="81">
        <f>VLOOKUP($B106,'Data Vlaue (Cr)'!$C:$FB,68)</f>
        <v>945</v>
      </c>
      <c r="P106" s="81">
        <f t="shared" ref="P106:P114" si="39">(N106-O106)/N106*100</f>
        <v>28.893905191873586</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Finance</v>
      </c>
      <c r="B107" s="79" t="str">
        <f>'Data shares'!C102</f>
        <v>IIFL</v>
      </c>
      <c r="C107" s="79">
        <f>VLOOKUP($B107,'Data shares'!$C:$FB,7)</f>
        <v>477.95</v>
      </c>
      <c r="D107" s="80">
        <f>VLOOKUP($B107,'Data shares'!$C:$FB,98)</f>
        <v>16770600</v>
      </c>
      <c r="E107" s="165">
        <f>VLOOKUP(B107,'Snapshot (Volume)'!$A$7:$G$168,7,0)</f>
        <v>22119900</v>
      </c>
      <c r="F107" s="165">
        <f t="shared" si="36"/>
        <v>-5349300</v>
      </c>
      <c r="G107" s="166">
        <f t="shared" si="37"/>
        <v>-0.24183201551544084</v>
      </c>
      <c r="H107" s="165">
        <f>VLOOKUP($B107,'Data shares'!$C:$FB,66)</f>
        <v>30110850</v>
      </c>
      <c r="I107" s="165">
        <f>VLOOKUP($B107,'Data shares'!$C:$FB,67)</f>
        <v>18387600</v>
      </c>
      <c r="J107" s="81">
        <f t="shared" si="38"/>
        <v>63.756281407035175</v>
      </c>
      <c r="K107" s="81">
        <f>VLOOKUP($B107,'Data Vlaue (Cr)'!$C:$FB,99)</f>
        <v>803</v>
      </c>
      <c r="L107" s="81">
        <f>VLOOKUP(B107,'OI(Value)'!$A$7:$C$209,3,0)</f>
        <v>-256</v>
      </c>
      <c r="M107" s="81">
        <f t="shared" si="31"/>
        <v>-31.880448318804483</v>
      </c>
      <c r="N107" s="81">
        <f>VLOOKUP($B107,'Data Vlaue (Cr)'!$C:$FB,67)</f>
        <v>1441</v>
      </c>
      <c r="O107" s="81">
        <f>VLOOKUP($B107,'Data Vlaue (Cr)'!$C:$FB,68)</f>
        <v>880</v>
      </c>
      <c r="P107" s="81">
        <f t="shared" si="39"/>
        <v>38.931297709923662</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Realty</v>
      </c>
      <c r="B108" s="79" t="str">
        <f>'Data shares'!C103</f>
        <v>INDHOTEL</v>
      </c>
      <c r="C108" s="4">
        <f>VLOOKUP($B108,'Data shares'!$C:$FB,7)</f>
        <v>740.75</v>
      </c>
      <c r="D108" s="82">
        <f>VLOOKUP($B108,'Data shares'!$C:$FB,98)</f>
        <v>34248000</v>
      </c>
      <c r="E108" s="165">
        <f>VLOOKUP(B108,'Snapshot (Volume)'!$A$7:$G$168,7,0)</f>
        <v>43183000</v>
      </c>
      <c r="F108" s="165">
        <f t="shared" si="36"/>
        <v>-8935000</v>
      </c>
      <c r="G108" s="166">
        <f t="shared" si="37"/>
        <v>-0.20691012667021744</v>
      </c>
      <c r="H108" s="165">
        <f>VLOOKUP($B108,'Data shares'!$C:$FB,66)</f>
        <v>24493000</v>
      </c>
      <c r="I108" s="165">
        <f>VLOOKUP($B108,'Data shares'!$C:$FB,67)</f>
        <v>23631000</v>
      </c>
      <c r="J108" s="81">
        <f t="shared" si="38"/>
        <v>3.647750835766578</v>
      </c>
      <c r="K108" s="5">
        <f>VLOOKUP($B108,'Data Vlaue (Cr)'!$C:$FB,99)</f>
        <v>2545</v>
      </c>
      <c r="L108" s="81">
        <f>VLOOKUP(B108,'OI(Value)'!$A$7:$C$209,3,0)</f>
        <v>-664</v>
      </c>
      <c r="M108" s="33">
        <f t="shared" si="31"/>
        <v>-26.090373280943023</v>
      </c>
      <c r="N108" s="5">
        <f>VLOOKUP($B108,'Data Vlaue (Cr)'!$C:$FB,67)</f>
        <v>1820</v>
      </c>
      <c r="O108" s="5">
        <f>VLOOKUP($B108,'Data Vlaue (Cr)'!$C:$FB,68)</f>
        <v>1756</v>
      </c>
      <c r="P108" s="5">
        <f t="shared" si="39"/>
        <v>3.5164835164835164</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Banking</v>
      </c>
      <c r="B109" s="79" t="str">
        <f>'Data shares'!C104</f>
        <v>INDIANB</v>
      </c>
      <c r="C109" s="4">
        <f>VLOOKUP($B109,'Data shares'!$C:$FB,7)</f>
        <v>621.70000000000005</v>
      </c>
      <c r="D109" s="82">
        <f>VLOOKUP($B109,'Data shares'!$C:$FB,98)</f>
        <v>8952000</v>
      </c>
      <c r="E109" s="165">
        <f>VLOOKUP(B109,'Snapshot (Volume)'!$A$7:$G$168,7,0)</f>
        <v>13083000</v>
      </c>
      <c r="F109" s="165">
        <f t="shared" si="36"/>
        <v>-4131000</v>
      </c>
      <c r="G109" s="166">
        <f t="shared" si="37"/>
        <v>-0.31575326759917449</v>
      </c>
      <c r="H109" s="165">
        <f>VLOOKUP($B109,'Data shares'!$C:$FB,66)</f>
        <v>7376000</v>
      </c>
      <c r="I109" s="165">
        <f>VLOOKUP($B109,'Data shares'!$C:$FB,67)</f>
        <v>9825000</v>
      </c>
      <c r="J109" s="81">
        <f t="shared" si="38"/>
        <v>-24.926208651399492</v>
      </c>
      <c r="K109" s="5">
        <f>VLOOKUP($B109,'Data Vlaue (Cr)'!$C:$FB,99)</f>
        <v>557</v>
      </c>
      <c r="L109" s="81">
        <f>VLOOKUP(B109,'OI(Value)'!$A$7:$C$209,3,0)</f>
        <v>-257</v>
      </c>
      <c r="M109" s="33">
        <f t="shared" si="31"/>
        <v>-46.14003590664273</v>
      </c>
      <c r="N109" s="5">
        <f>VLOOKUP($B109,'Data Vlaue (Cr)'!$C:$FB,67)</f>
        <v>459</v>
      </c>
      <c r="O109" s="5">
        <f>VLOOKUP($B109,'Data Vlaue (Cr)'!$C:$FB,68)</f>
        <v>612</v>
      </c>
      <c r="P109" s="5">
        <f t="shared" si="39"/>
        <v>-33.333333333333329</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Index</v>
      </c>
      <c r="B110" s="79" t="str">
        <f>'Data shares'!C105</f>
        <v>INDIAVIX</v>
      </c>
      <c r="C110" s="4">
        <f>VLOOKUP($B110,'Data shares'!$C:$FB,7)</f>
        <v>11.54</v>
      </c>
      <c r="D110" s="82">
        <f>VLOOKUP($B110,'Data shares'!$C:$FB,98)</f>
        <v>0</v>
      </c>
      <c r="E110" s="165">
        <f>VLOOKUP(B110,'Snapshot (Volume)'!$A$7:$G$168,7,0)</f>
        <v>0</v>
      </c>
      <c r="F110" s="165">
        <f t="shared" si="36"/>
        <v>0</v>
      </c>
      <c r="G110" s="166" t="e">
        <f t="shared" si="37"/>
        <v>#DIV/0!</v>
      </c>
      <c r="H110" s="165">
        <f>VLOOKUP($B110,'Data shares'!$C:$FB,66)</f>
        <v>0</v>
      </c>
      <c r="I110" s="165">
        <f>VLOOKUP($B110,'Data shares'!$C:$FB,67)</f>
        <v>0</v>
      </c>
      <c r="J110" s="81" t="e">
        <f t="shared" si="38"/>
        <v>#DIV/0!</v>
      </c>
      <c r="K110" s="5">
        <f>VLOOKUP($B110,'Data Vlaue (Cr)'!$C:$FB,99)</f>
        <v>0</v>
      </c>
      <c r="L110" s="81">
        <f>VLOOKUP(B110,'OI(Value)'!$A$7:$C$209,3,0)</f>
        <v>0</v>
      </c>
      <c r="M110" s="33" t="e">
        <f t="shared" si="31"/>
        <v>#DIV/0!</v>
      </c>
      <c r="N110" s="5">
        <f>VLOOKUP($B110,'Data Vlaue (Cr)'!$C:$FB,67)</f>
        <v>0</v>
      </c>
      <c r="O110" s="5">
        <f>VLOOKUP($B110,'Data Vlaue (Cr)'!$C:$FB,68)</f>
        <v>0</v>
      </c>
      <c r="P110" s="5" t="e">
        <f t="shared" si="39"/>
        <v>#DIV/0!</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Infrastructure</v>
      </c>
      <c r="B111" s="79" t="str">
        <f>'Data shares'!C106</f>
        <v>INDIGO</v>
      </c>
      <c r="C111" s="4">
        <f>VLOOKUP($B111,'Data shares'!$C:$FB,7)</f>
        <v>5910.5</v>
      </c>
      <c r="D111" s="82">
        <f>VLOOKUP($B111,'Data shares'!$C:$FB,98)</f>
        <v>9066300</v>
      </c>
      <c r="E111" s="165">
        <f>VLOOKUP(B111,'Snapshot (Volume)'!$A$7:$G$168,7,0)</f>
        <v>14514000</v>
      </c>
      <c r="F111" s="165">
        <f t="shared" si="36"/>
        <v>-5447700</v>
      </c>
      <c r="G111" s="166">
        <f t="shared" si="37"/>
        <v>-0.3753410500206697</v>
      </c>
      <c r="H111" s="165">
        <f>VLOOKUP($B111,'Data shares'!$C:$FB,66)</f>
        <v>28512450</v>
      </c>
      <c r="I111" s="165">
        <f>VLOOKUP($B111,'Data shares'!$C:$FB,67)</f>
        <v>19214850</v>
      </c>
      <c r="J111" s="81">
        <f t="shared" si="38"/>
        <v>48.387575234779348</v>
      </c>
      <c r="K111" s="5">
        <f>VLOOKUP($B111,'Data Vlaue (Cr)'!$C:$FB,99)</f>
        <v>5331</v>
      </c>
      <c r="L111" s="81">
        <f>VLOOKUP(B111,'OI(Value)'!$A$7:$C$209,3,0)</f>
        <v>-3204</v>
      </c>
      <c r="M111" s="33">
        <f t="shared" si="31"/>
        <v>-60.101294316263363</v>
      </c>
      <c r="N111" s="5">
        <f>VLOOKUP($B111,'Data Vlaue (Cr)'!$C:$FB,67)</f>
        <v>16767</v>
      </c>
      <c r="O111" s="5">
        <f>VLOOKUP($B111,'Data Vlaue (Cr)'!$C:$FB,68)</f>
        <v>11299</v>
      </c>
      <c r="P111" s="5">
        <f t="shared" si="39"/>
        <v>32.611677700244528</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Banking</v>
      </c>
      <c r="B112" s="79" t="str">
        <f>'Data shares'!C107</f>
        <v>INDUSINDBK</v>
      </c>
      <c r="C112" s="4">
        <f>VLOOKUP($B112,'Data shares'!$C:$FB,7)</f>
        <v>798.9</v>
      </c>
      <c r="D112" s="82">
        <f>VLOOKUP($B112,'Data shares'!$C:$FB,98)</f>
        <v>62844600</v>
      </c>
      <c r="E112" s="165">
        <f>VLOOKUP(B112,'Snapshot (Volume)'!$A$7:$G$168,7,0)</f>
        <v>83861400</v>
      </c>
      <c r="F112" s="165">
        <f t="shared" si="36"/>
        <v>-21016800</v>
      </c>
      <c r="G112" s="166">
        <f t="shared" si="37"/>
        <v>-0.25061351229528722</v>
      </c>
      <c r="H112" s="165">
        <f>VLOOKUP($B112,'Data shares'!$C:$FB,66)</f>
        <v>53521300</v>
      </c>
      <c r="I112" s="165">
        <f>VLOOKUP($B112,'Data shares'!$C:$FB,67)</f>
        <v>61790400</v>
      </c>
      <c r="J112" s="81">
        <f t="shared" si="38"/>
        <v>-13.382499546855176</v>
      </c>
      <c r="K112" s="5">
        <f>VLOOKUP($B112,'Data Vlaue (Cr)'!$C:$FB,99)</f>
        <v>5051</v>
      </c>
      <c r="L112" s="81">
        <f>VLOOKUP(B112,'OI(Value)'!$A$7:$C$209,3,0)</f>
        <v>-1689</v>
      </c>
      <c r="M112" s="33">
        <f t="shared" si="31"/>
        <v>-33.438922985547414</v>
      </c>
      <c r="N112" s="5">
        <f>VLOOKUP($B112,'Data Vlaue (Cr)'!$C:$FB,67)</f>
        <v>4302</v>
      </c>
      <c r="O112" s="5">
        <f>VLOOKUP($B112,'Data Vlaue (Cr)'!$C:$FB,68)</f>
        <v>4966</v>
      </c>
      <c r="P112" s="5">
        <f t="shared" si="39"/>
        <v>-15.434681543468153</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Telecom</v>
      </c>
      <c r="B113" s="79" t="str">
        <f>'Data shares'!C108</f>
        <v>INDUSTOWER</v>
      </c>
      <c r="C113" s="4">
        <f>VLOOKUP($B113,'Data shares'!$C:$FB,7)</f>
        <v>363</v>
      </c>
      <c r="D113" s="82">
        <f>VLOOKUP($B113,'Data shares'!$C:$FB,98)</f>
        <v>81455500</v>
      </c>
      <c r="E113" s="165">
        <f>VLOOKUP(B113,'Snapshot (Volume)'!$A$7:$G$168,7,0)</f>
        <v>90025200</v>
      </c>
      <c r="F113" s="165">
        <f t="shared" si="36"/>
        <v>-8569700</v>
      </c>
      <c r="G113" s="166">
        <f t="shared" si="37"/>
        <v>-9.5192235063071229E-2</v>
      </c>
      <c r="H113" s="165">
        <f>VLOOKUP($B113,'Data shares'!$C:$FB,66)</f>
        <v>120562300</v>
      </c>
      <c r="I113" s="165">
        <f>VLOOKUP($B113,'Data shares'!$C:$FB,67)</f>
        <v>50901400</v>
      </c>
      <c r="J113" s="81">
        <f t="shared" si="38"/>
        <v>136.85458553202858</v>
      </c>
      <c r="K113" s="5">
        <f>VLOOKUP($B113,'Data Vlaue (Cr)'!$C:$FB,99)</f>
        <v>2967</v>
      </c>
      <c r="L113" s="81">
        <f>VLOOKUP(B113,'OI(Value)'!$A$7:$C$209,3,0)</f>
        <v>-312</v>
      </c>
      <c r="M113" s="33">
        <f t="shared" si="31"/>
        <v>-10.51567239635996</v>
      </c>
      <c r="N113" s="5">
        <f>VLOOKUP($B113,'Data Vlaue (Cr)'!$C:$FB,67)</f>
        <v>4391</v>
      </c>
      <c r="O113" s="5">
        <f>VLOOKUP($B113,'Data Vlaue (Cr)'!$C:$FB,68)</f>
        <v>1854</v>
      </c>
      <c r="P113" s="5">
        <f t="shared" si="39"/>
        <v>57.777271692097479</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Technology</v>
      </c>
      <c r="B114" s="79" t="str">
        <f>'Data shares'!C109</f>
        <v>INFY</v>
      </c>
      <c r="C114" s="4">
        <f>VLOOKUP($B114,'Data shares'!$C:$FB,7)</f>
        <v>1509</v>
      </c>
      <c r="D114" s="82">
        <f>VLOOKUP($B114,'Data shares'!$C:$FB,98)</f>
        <v>85814800</v>
      </c>
      <c r="E114" s="165">
        <f>VLOOKUP(B114,'Snapshot (Volume)'!$A$7:$G$168,7,0)</f>
        <v>117048000</v>
      </c>
      <c r="F114" s="165">
        <f t="shared" si="36"/>
        <v>-31233200</v>
      </c>
      <c r="G114" s="166">
        <f t="shared" si="37"/>
        <v>-0.26684095413847309</v>
      </c>
      <c r="H114" s="165">
        <f>VLOOKUP($B114,'Data shares'!$C:$FB,66)</f>
        <v>70971600</v>
      </c>
      <c r="I114" s="165">
        <f>VLOOKUP($B114,'Data shares'!$C:$FB,67)</f>
        <v>62148000</v>
      </c>
      <c r="J114" s="81">
        <f t="shared" si="38"/>
        <v>14.197721567870245</v>
      </c>
      <c r="K114" s="5">
        <f>VLOOKUP($B114,'Data Vlaue (Cr)'!$C:$FB,99)</f>
        <v>13001</v>
      </c>
      <c r="L114" s="81">
        <f>VLOOKUP(B114,'OI(Value)'!$A$7:$C$209,3,0)</f>
        <v>-4732</v>
      </c>
      <c r="M114" s="33">
        <f t="shared" si="31"/>
        <v>-36.397200215368045</v>
      </c>
      <c r="N114" s="5">
        <f>VLOOKUP($B114,'Data Vlaue (Cr)'!$C:$FB,67)</f>
        <v>10752</v>
      </c>
      <c r="O114" s="5">
        <f>VLOOKUP($B114,'Data Vlaue (Cr)'!$C:$FB,68)</f>
        <v>9415</v>
      </c>
      <c r="P114" s="5">
        <f t="shared" si="39"/>
        <v>12.434895833333332</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Power</v>
      </c>
      <c r="B115" s="79" t="str">
        <f>'Data shares'!C110</f>
        <v>INOXWIND</v>
      </c>
      <c r="C115" s="79">
        <f>VLOOKUP($B115,'Data shares'!$C:$FB,7)</f>
        <v>150.74</v>
      </c>
      <c r="D115" s="80">
        <f>VLOOKUP($B115,'Data shares'!$C:$FB,98)</f>
        <v>34850072</v>
      </c>
      <c r="E115" s="165">
        <f>VLOOKUP(B115,'Snapshot (Volume)'!$A$7:$G$168,7,0)</f>
        <v>64785600</v>
      </c>
      <c r="F115" s="165">
        <f t="shared" ref="F115:F126" si="40">D115-E115</f>
        <v>-29935528</v>
      </c>
      <c r="G115" s="166">
        <f t="shared" ref="G115:G126" si="41">F115/E115</f>
        <v>-0.46207070707070708</v>
      </c>
      <c r="H115" s="165">
        <f>VLOOKUP($B115,'Data shares'!$C:$FB,66)</f>
        <v>41534768</v>
      </c>
      <c r="I115" s="165">
        <f>VLOOKUP($B115,'Data shares'!$C:$FB,67)</f>
        <v>23466784</v>
      </c>
      <c r="J115" s="81">
        <f t="shared" ref="J115:J126" si="42">(H115-I115)/I115*100</f>
        <v>76.99386503067484</v>
      </c>
      <c r="K115" s="81">
        <f>VLOOKUP($B115,'Data Vlaue (Cr)'!$C:$FB,99)</f>
        <v>528</v>
      </c>
      <c r="L115" s="81">
        <f>VLOOKUP(B115,'OI(Value)'!$A$7:$C$209,3,0)</f>
        <v>-454</v>
      </c>
      <c r="M115" s="81">
        <f t="shared" si="31"/>
        <v>-85.984848484848484</v>
      </c>
      <c r="N115" s="81">
        <f>VLOOKUP($B115,'Data Vlaue (Cr)'!$C:$FB,67)</f>
        <v>629</v>
      </c>
      <c r="O115" s="81">
        <f>VLOOKUP($B115,'Data Vlaue (Cr)'!$C:$FB,68)</f>
        <v>356</v>
      </c>
      <c r="P115" s="81">
        <f t="shared" ref="P115:P126" si="43">(N115-O115)/N115*100</f>
        <v>43.402225755166931</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Oil_Gas</v>
      </c>
      <c r="B116" s="79" t="str">
        <f>'Data shares'!C111</f>
        <v>IOC</v>
      </c>
      <c r="C116" s="4">
        <f>VLOOKUP($B116,'Data shares'!$C:$FB,7)</f>
        <v>145.62</v>
      </c>
      <c r="D116" s="82">
        <f>VLOOKUP($B116,'Data shares'!$C:$FB,98)</f>
        <v>127793250</v>
      </c>
      <c r="E116" s="165">
        <f>VLOOKUP(B116,'Snapshot (Volume)'!$A$7:$G$168,7,0)</f>
        <v>213510375</v>
      </c>
      <c r="F116" s="165">
        <f t="shared" si="40"/>
        <v>-85717125</v>
      </c>
      <c r="G116" s="166">
        <f t="shared" si="41"/>
        <v>-0.40146585382560451</v>
      </c>
      <c r="H116" s="165">
        <f>VLOOKUP($B116,'Data shares'!$C:$FB,66)</f>
        <v>202566000</v>
      </c>
      <c r="I116" s="165">
        <f>VLOOKUP($B116,'Data shares'!$C:$FB,67)</f>
        <v>224430375</v>
      </c>
      <c r="J116" s="81">
        <f t="shared" si="42"/>
        <v>-9.7421639116362932</v>
      </c>
      <c r="K116" s="5">
        <f>VLOOKUP($B116,'Data Vlaue (Cr)'!$C:$FB,99)</f>
        <v>1866</v>
      </c>
      <c r="L116" s="81">
        <f>VLOOKUP(B116,'OI(Value)'!$A$7:$C$209,3,0)</f>
        <v>-1252</v>
      </c>
      <c r="M116" s="33">
        <f t="shared" si="31"/>
        <v>-67.095391211146833</v>
      </c>
      <c r="N116" s="5">
        <f>VLOOKUP($B116,'Data Vlaue (Cr)'!$C:$FB,67)</f>
        <v>2958</v>
      </c>
      <c r="O116" s="5">
        <f>VLOOKUP($B116,'Data Vlaue (Cr)'!$C:$FB,68)</f>
        <v>3278</v>
      </c>
      <c r="P116" s="5">
        <f t="shared" si="43"/>
        <v>-10.818120351588911</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Infrastructure</v>
      </c>
      <c r="B117" s="79" t="str">
        <f>'Data shares'!C112</f>
        <v>IRB</v>
      </c>
      <c r="C117" s="4">
        <f>VLOOKUP($B117,'Data shares'!$C:$FB,7)</f>
        <v>45.07</v>
      </c>
      <c r="D117" s="82">
        <f>VLOOKUP($B117,'Data shares'!$C:$FB,98)</f>
        <v>100054750</v>
      </c>
      <c r="E117" s="165">
        <f>VLOOKUP(B117,'Snapshot (Volume)'!$A$7:$G$168,7,0)</f>
        <v>147221750</v>
      </c>
      <c r="F117" s="165">
        <f t="shared" si="40"/>
        <v>-47167000</v>
      </c>
      <c r="G117" s="166">
        <f t="shared" si="41"/>
        <v>-0.32038065027755752</v>
      </c>
      <c r="H117" s="165">
        <f>VLOOKUP($B117,'Data shares'!$C:$FB,66)</f>
        <v>87317325</v>
      </c>
      <c r="I117" s="165">
        <f>VLOOKUP($B117,'Data shares'!$C:$FB,67)</f>
        <v>55654725</v>
      </c>
      <c r="J117" s="81">
        <f t="shared" si="42"/>
        <v>56.89112649465072</v>
      </c>
      <c r="K117" s="5">
        <f>VLOOKUP($B117,'Data Vlaue (Cr)'!$C:$FB,99)</f>
        <v>453</v>
      </c>
      <c r="L117" s="81">
        <f>VLOOKUP(B117,'OI(Value)'!$A$7:$C$209,3,0)</f>
        <v>-214</v>
      </c>
      <c r="M117" s="33">
        <f t="shared" si="31"/>
        <v>-47.240618101545259</v>
      </c>
      <c r="N117" s="5">
        <f>VLOOKUP($B117,'Data Vlaue (Cr)'!$C:$FB,67)</f>
        <v>395</v>
      </c>
      <c r="O117" s="5">
        <f>VLOOKUP($B117,'Data Vlaue (Cr)'!$C:$FB,68)</f>
        <v>252</v>
      </c>
      <c r="P117" s="5">
        <f t="shared" si="43"/>
        <v>36.202531645569621</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Infrastructure</v>
      </c>
      <c r="B118" s="79" t="str">
        <f>'Data shares'!C113</f>
        <v>IRCTC</v>
      </c>
      <c r="C118" s="4">
        <f>VLOOKUP($B118,'Data shares'!$C:$FB,7)</f>
        <v>726.05</v>
      </c>
      <c r="D118" s="82">
        <f>VLOOKUP($B118,'Data shares'!$C:$FB,98)</f>
        <v>21567000</v>
      </c>
      <c r="E118" s="165">
        <f>VLOOKUP(B118,'Snapshot (Volume)'!$A$7:$G$168,7,0)</f>
        <v>29963500</v>
      </c>
      <c r="F118" s="165">
        <f t="shared" si="40"/>
        <v>-8396500</v>
      </c>
      <c r="G118" s="166">
        <f t="shared" si="41"/>
        <v>-0.28022427286531948</v>
      </c>
      <c r="H118" s="165">
        <f>VLOOKUP($B118,'Data shares'!$C:$FB,66)</f>
        <v>20032250</v>
      </c>
      <c r="I118" s="165">
        <f>VLOOKUP($B118,'Data shares'!$C:$FB,67)</f>
        <v>17339875</v>
      </c>
      <c r="J118" s="81">
        <f t="shared" si="42"/>
        <v>15.52707271534541</v>
      </c>
      <c r="K118" s="5">
        <f>VLOOKUP($B118,'Data Vlaue (Cr)'!$C:$FB,99)</f>
        <v>1571</v>
      </c>
      <c r="L118" s="81">
        <f>VLOOKUP(B118,'OI(Value)'!$A$7:$C$209,3,0)</f>
        <v>-612</v>
      </c>
      <c r="M118" s="33">
        <f t="shared" si="31"/>
        <v>-38.956078930617444</v>
      </c>
      <c r="N118" s="5">
        <f>VLOOKUP($B118,'Data Vlaue (Cr)'!$C:$FB,67)</f>
        <v>1459</v>
      </c>
      <c r="O118" s="5">
        <f>VLOOKUP($B118,'Data Vlaue (Cr)'!$C:$FB,68)</f>
        <v>1263</v>
      </c>
      <c r="P118" s="5">
        <f t="shared" si="43"/>
        <v>13.433858807402329</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Finance</v>
      </c>
      <c r="B119" s="79" t="str">
        <f>'Data shares'!C114</f>
        <v>IREDA</v>
      </c>
      <c r="C119" s="4">
        <f>VLOOKUP($B119,'Data shares'!$C:$FB,7)</f>
        <v>147.38</v>
      </c>
      <c r="D119" s="82">
        <f>VLOOKUP($B119,'Data shares'!$C:$FB,98)</f>
        <v>59967900</v>
      </c>
      <c r="E119" s="165">
        <f>VLOOKUP(B119,'Snapshot (Volume)'!$A$7:$G$168,7,0)</f>
        <v>92729100</v>
      </c>
      <c r="F119" s="165">
        <f t="shared" si="40"/>
        <v>-32761200</v>
      </c>
      <c r="G119" s="166">
        <f t="shared" si="41"/>
        <v>-0.35330009673338791</v>
      </c>
      <c r="H119" s="165">
        <f>VLOOKUP($B119,'Data shares'!$C:$FB,66)</f>
        <v>64532250</v>
      </c>
      <c r="I119" s="165">
        <f>VLOOKUP($B119,'Data shares'!$C:$FB,67)</f>
        <v>57159600</v>
      </c>
      <c r="J119" s="81">
        <f t="shared" si="42"/>
        <v>12.898358281023661</v>
      </c>
      <c r="K119" s="5">
        <f>VLOOKUP($B119,'Data Vlaue (Cr)'!$C:$FB,99)</f>
        <v>886</v>
      </c>
      <c r="L119" s="81">
        <f>VLOOKUP(B119,'OI(Value)'!$A$7:$C$209,3,0)</f>
        <v>-484</v>
      </c>
      <c r="M119" s="33">
        <f t="shared" si="31"/>
        <v>-54.627539503386004</v>
      </c>
      <c r="N119" s="5">
        <f>VLOOKUP($B119,'Data Vlaue (Cr)'!$C:$FB,67)</f>
        <v>953</v>
      </c>
      <c r="O119" s="5">
        <f>VLOOKUP($B119,'Data Vlaue (Cr)'!$C:$FB,68)</f>
        <v>844</v>
      </c>
      <c r="P119" s="5">
        <f t="shared" si="43"/>
        <v>11.437565582371459</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Infrastructure</v>
      </c>
      <c r="B120" s="79" t="str">
        <f>'Data shares'!C115</f>
        <v>IRFC</v>
      </c>
      <c r="C120" s="4">
        <f>VLOOKUP($B120,'Data shares'!$C:$FB,7)</f>
        <v>128.34</v>
      </c>
      <c r="D120" s="82">
        <f>VLOOKUP($B120,'Data shares'!$C:$FB,98)</f>
        <v>72037500</v>
      </c>
      <c r="E120" s="165">
        <f>VLOOKUP(B120,'Snapshot (Volume)'!$A$7:$G$168,7,0)</f>
        <v>121660500</v>
      </c>
      <c r="F120" s="165">
        <f t="shared" si="40"/>
        <v>-49623000</v>
      </c>
      <c r="G120" s="166">
        <f t="shared" si="41"/>
        <v>-0.40788094739048419</v>
      </c>
      <c r="H120" s="165">
        <f>VLOOKUP($B120,'Data shares'!$C:$FB,66)</f>
        <v>81774250</v>
      </c>
      <c r="I120" s="165">
        <f>VLOOKUP($B120,'Data shares'!$C:$FB,67)</f>
        <v>109968750</v>
      </c>
      <c r="J120" s="81">
        <f t="shared" si="42"/>
        <v>-25.638647342995171</v>
      </c>
      <c r="K120" s="5">
        <f>VLOOKUP($B120,'Data Vlaue (Cr)'!$C:$FB,99)</f>
        <v>925</v>
      </c>
      <c r="L120" s="81">
        <f>VLOOKUP(B120,'OI(Value)'!$A$7:$C$209,3,0)</f>
        <v>-637</v>
      </c>
      <c r="M120" s="33">
        <f t="shared" si="31"/>
        <v>-68.864864864864856</v>
      </c>
      <c r="N120" s="5">
        <f>VLOOKUP($B120,'Data Vlaue (Cr)'!$C:$FB,67)</f>
        <v>1050</v>
      </c>
      <c r="O120" s="5">
        <f>VLOOKUP($B120,'Data Vlaue (Cr)'!$C:$FB,68)</f>
        <v>1412</v>
      </c>
      <c r="P120" s="5">
        <f t="shared" si="43"/>
        <v>-34.476190476190474</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FMCG</v>
      </c>
      <c r="B121" s="79" t="str">
        <f>'Data shares'!C116</f>
        <v>ITC</v>
      </c>
      <c r="C121" s="4">
        <f>VLOOKUP($B121,'Data shares'!$C:$FB,7)</f>
        <v>411.95</v>
      </c>
      <c r="D121" s="82">
        <f>VLOOKUP($B121,'Data shares'!$C:$FB,98)</f>
        <v>150204800</v>
      </c>
      <c r="E121" s="165">
        <f>VLOOKUP(B121,'Snapshot (Volume)'!$A$7:$G$168,7,0)</f>
        <v>194017600</v>
      </c>
      <c r="F121" s="165">
        <f t="shared" si="40"/>
        <v>-43812800</v>
      </c>
      <c r="G121" s="166">
        <f t="shared" si="41"/>
        <v>-0.22581868861381649</v>
      </c>
      <c r="H121" s="165">
        <f>VLOOKUP($B121,'Data shares'!$C:$FB,66)</f>
        <v>189480000</v>
      </c>
      <c r="I121" s="165">
        <f>VLOOKUP($B121,'Data shares'!$C:$FB,67)</f>
        <v>103870400</v>
      </c>
      <c r="J121" s="81">
        <f t="shared" si="42"/>
        <v>82.41963061661454</v>
      </c>
      <c r="K121" s="5">
        <f>VLOOKUP($B121,'Data Vlaue (Cr)'!$C:$FB,99)</f>
        <v>6206</v>
      </c>
      <c r="L121" s="81">
        <f>VLOOKUP(B121,'OI(Value)'!$A$7:$C$209,3,0)</f>
        <v>-1810</v>
      </c>
      <c r="M121" s="33">
        <f t="shared" si="31"/>
        <v>-29.165323880116016</v>
      </c>
      <c r="N121" s="5">
        <f>VLOOKUP($B121,'Data Vlaue (Cr)'!$C:$FB,67)</f>
        <v>7828</v>
      </c>
      <c r="O121" s="5">
        <f>VLOOKUP($B121,'Data Vlaue (Cr)'!$C:$FB,68)</f>
        <v>4291</v>
      </c>
      <c r="P121" s="5">
        <f t="shared" si="43"/>
        <v>45.183955033214104</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Metals</v>
      </c>
      <c r="B122" s="79" t="str">
        <f>'Data shares'!C117</f>
        <v>JINDALSTEL</v>
      </c>
      <c r="C122" s="4">
        <f>VLOOKUP($B122,'Data shares'!$C:$FB,7)</f>
        <v>965</v>
      </c>
      <c r="D122" s="82">
        <f>VLOOKUP($B122,'Data shares'!$C:$FB,98)</f>
        <v>14978750</v>
      </c>
      <c r="E122" s="165">
        <f>VLOOKUP(B122,'Snapshot (Volume)'!$A$7:$G$168,7,0)</f>
        <v>25490000</v>
      </c>
      <c r="F122" s="165">
        <f t="shared" si="40"/>
        <v>-10511250</v>
      </c>
      <c r="G122" s="166">
        <f t="shared" si="41"/>
        <v>-0.41236759513534721</v>
      </c>
      <c r="H122" s="165">
        <f>VLOOKUP($B122,'Data shares'!$C:$FB,66)</f>
        <v>14827500</v>
      </c>
      <c r="I122" s="165">
        <f>VLOOKUP($B122,'Data shares'!$C:$FB,67)</f>
        <v>12516250</v>
      </c>
      <c r="J122" s="81">
        <f t="shared" si="42"/>
        <v>18.465994207530212</v>
      </c>
      <c r="K122" s="5">
        <f>VLOOKUP($B122,'Data Vlaue (Cr)'!$C:$FB,99)</f>
        <v>1447</v>
      </c>
      <c r="L122" s="81">
        <f>VLOOKUP(B122,'OI(Value)'!$A$7:$C$209,3,0)</f>
        <v>-1015</v>
      </c>
      <c r="M122" s="33">
        <f t="shared" si="31"/>
        <v>-70.145127850725643</v>
      </c>
      <c r="N122" s="5">
        <f>VLOOKUP($B122,'Data Vlaue (Cr)'!$C:$FB,67)</f>
        <v>1432</v>
      </c>
      <c r="O122" s="5">
        <f>VLOOKUP($B122,'Data Vlaue (Cr)'!$C:$FB,68)</f>
        <v>1209</v>
      </c>
      <c r="P122" s="5">
        <f t="shared" si="43"/>
        <v>15.572625698324021</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JIOFIN</v>
      </c>
      <c r="C123" s="4">
        <f>VLOOKUP($B123,'Data shares'!$C:$FB,7)</f>
        <v>329.25</v>
      </c>
      <c r="D123" s="82">
        <f>VLOOKUP($B123,'Data shares'!$C:$FB,98)</f>
        <v>182073300</v>
      </c>
      <c r="E123" s="165">
        <f>VLOOKUP(B123,'Snapshot (Volume)'!$A$7:$G$168,7,0)</f>
        <v>246432750</v>
      </c>
      <c r="F123" s="165">
        <f t="shared" si="40"/>
        <v>-64359450</v>
      </c>
      <c r="G123" s="166">
        <f t="shared" si="41"/>
        <v>-0.26116435416964667</v>
      </c>
      <c r="H123" s="165">
        <f>VLOOKUP($B123,'Data shares'!$C:$FB,66)</f>
        <v>460656400</v>
      </c>
      <c r="I123" s="165">
        <f>VLOOKUP($B123,'Data shares'!$C:$FB,67)</f>
        <v>187964750</v>
      </c>
      <c r="J123" s="81">
        <f t="shared" si="42"/>
        <v>145.07595174095144</v>
      </c>
      <c r="K123" s="5">
        <f>VLOOKUP($B123,'Data Vlaue (Cr)'!$C:$FB,99)</f>
        <v>6025</v>
      </c>
      <c r="L123" s="81">
        <f>VLOOKUP(B123,'OI(Value)'!$A$7:$C$209,3,0)</f>
        <v>-2130</v>
      </c>
      <c r="M123" s="33">
        <f t="shared" ref="M123:M144" si="44">L123/K123*100</f>
        <v>-35.352697095435687</v>
      </c>
      <c r="N123" s="5">
        <f>VLOOKUP($B123,'Data Vlaue (Cr)'!$C:$FB,67)</f>
        <v>15243</v>
      </c>
      <c r="O123" s="5">
        <f>VLOOKUP($B123,'Data Vlaue (Cr)'!$C:$FB,68)</f>
        <v>6220</v>
      </c>
      <c r="P123" s="5">
        <f t="shared" si="43"/>
        <v>59.194384307551005</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Metals</v>
      </c>
      <c r="B124" s="79" t="str">
        <f>'Data shares'!C119</f>
        <v>JSL</v>
      </c>
      <c r="C124" s="4">
        <f>VLOOKUP($B124,'Data shares'!$C:$FB,7)</f>
        <v>694.1</v>
      </c>
      <c r="D124" s="82">
        <f>VLOOKUP($B124,'Data shares'!$C:$FB,98)</f>
        <v>5538600</v>
      </c>
      <c r="E124" s="165">
        <f>VLOOKUP(B124,'Snapshot (Volume)'!$A$7:$G$168,7,0)</f>
        <v>9694250</v>
      </c>
      <c r="F124" s="165">
        <f t="shared" si="40"/>
        <v>-4155650</v>
      </c>
      <c r="G124" s="166">
        <f t="shared" si="41"/>
        <v>-0.42867163524769836</v>
      </c>
      <c r="H124" s="165">
        <f>VLOOKUP($B124,'Data shares'!$C:$FB,66)</f>
        <v>7083900</v>
      </c>
      <c r="I124" s="165">
        <f>VLOOKUP($B124,'Data shares'!$C:$FB,67)</f>
        <v>6219450</v>
      </c>
      <c r="J124" s="81">
        <f t="shared" si="42"/>
        <v>13.899138991389915</v>
      </c>
      <c r="K124" s="5">
        <f>VLOOKUP($B124,'Data Vlaue (Cr)'!$C:$FB,99)</f>
        <v>385</v>
      </c>
      <c r="L124" s="81">
        <f>VLOOKUP(B124,'OI(Value)'!$A$7:$C$209,3,0)</f>
        <v>-289</v>
      </c>
      <c r="M124" s="33">
        <f t="shared" si="44"/>
        <v>-75.064935064935071</v>
      </c>
      <c r="N124" s="5">
        <f>VLOOKUP($B124,'Data Vlaue (Cr)'!$C:$FB,67)</f>
        <v>493</v>
      </c>
      <c r="O124" s="5">
        <f>VLOOKUP($B124,'Data Vlaue (Cr)'!$C:$FB,68)</f>
        <v>433</v>
      </c>
      <c r="P124" s="5">
        <f t="shared" si="43"/>
        <v>12.170385395537526</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Power</v>
      </c>
      <c r="B125" s="79" t="str">
        <f>'Data shares'!C120</f>
        <v>JSWENERGY</v>
      </c>
      <c r="C125" s="4">
        <f>VLOOKUP($B125,'Data shares'!$C:$FB,7)</f>
        <v>515.04999999999995</v>
      </c>
      <c r="D125" s="82">
        <f>VLOOKUP($B125,'Data shares'!$C:$FB,98)</f>
        <v>49788000</v>
      </c>
      <c r="E125" s="165">
        <f>VLOOKUP(B125,'Snapshot (Volume)'!$A$7:$G$168,7,0)</f>
        <v>58546000</v>
      </c>
      <c r="F125" s="165">
        <f t="shared" si="40"/>
        <v>-8758000</v>
      </c>
      <c r="G125" s="166">
        <f t="shared" si="41"/>
        <v>-0.14959177398968332</v>
      </c>
      <c r="H125" s="165">
        <f>VLOOKUP($B125,'Data shares'!$C:$FB,66)</f>
        <v>30883000</v>
      </c>
      <c r="I125" s="165">
        <f>VLOOKUP($B125,'Data shares'!$C:$FB,67)</f>
        <v>30888000</v>
      </c>
      <c r="J125" s="81">
        <f t="shared" si="42"/>
        <v>-1.6187516187516186E-2</v>
      </c>
      <c r="K125" s="5">
        <f>VLOOKUP($B125,'Data Vlaue (Cr)'!$C:$FB,99)</f>
        <v>2578</v>
      </c>
      <c r="L125" s="81">
        <f>VLOOKUP(B125,'OI(Value)'!$A$7:$C$209,3,0)</f>
        <v>-453</v>
      </c>
      <c r="M125" s="33">
        <f t="shared" si="44"/>
        <v>-17.57176105508146</v>
      </c>
      <c r="N125" s="5">
        <f>VLOOKUP($B125,'Data Vlaue (Cr)'!$C:$FB,67)</f>
        <v>1599</v>
      </c>
      <c r="O125" s="5">
        <f>VLOOKUP($B125,'Data Vlaue (Cr)'!$C:$FB,68)</f>
        <v>1599</v>
      </c>
      <c r="P125" s="5">
        <f t="shared" si="43"/>
        <v>0</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Metals</v>
      </c>
      <c r="B126" s="79" t="str">
        <f>'Data shares'!C121</f>
        <v>JSWSTEEL</v>
      </c>
      <c r="C126" s="4">
        <f>VLOOKUP($B126,'Data shares'!$C:$FB,7)</f>
        <v>1048.3</v>
      </c>
      <c r="D126" s="82">
        <f>VLOOKUP($B126,'Data shares'!$C:$FB,98)</f>
        <v>44253675</v>
      </c>
      <c r="E126" s="165">
        <f>VLOOKUP(B126,'Snapshot (Volume)'!$A$7:$G$168,7,0)</f>
        <v>53927100</v>
      </c>
      <c r="F126" s="165">
        <f t="shared" si="40"/>
        <v>-9673425</v>
      </c>
      <c r="G126" s="166">
        <f t="shared" si="41"/>
        <v>-0.17937966254443499</v>
      </c>
      <c r="H126" s="165">
        <f>VLOOKUP($B126,'Data shares'!$C:$FB,66)</f>
        <v>35404425</v>
      </c>
      <c r="I126" s="165">
        <f>VLOOKUP($B126,'Data shares'!$C:$FB,67)</f>
        <v>35882325</v>
      </c>
      <c r="J126" s="81">
        <f t="shared" si="42"/>
        <v>-1.3318534961154271</v>
      </c>
      <c r="K126" s="5">
        <f>VLOOKUP($B126,'Data Vlaue (Cr)'!$C:$FB,99)</f>
        <v>4659</v>
      </c>
      <c r="L126" s="81">
        <f>VLOOKUP(B126,'OI(Value)'!$A$7:$C$209,3,0)</f>
        <v>-1018</v>
      </c>
      <c r="M126" s="33">
        <f t="shared" si="44"/>
        <v>-21.850182442584245</v>
      </c>
      <c r="N126" s="5">
        <f>VLOOKUP($B126,'Data Vlaue (Cr)'!$C:$FB,67)</f>
        <v>3727</v>
      </c>
      <c r="O126" s="5">
        <f>VLOOKUP($B126,'Data Vlaue (Cr)'!$C:$FB,68)</f>
        <v>3778</v>
      </c>
      <c r="P126" s="5">
        <f t="shared" si="43"/>
        <v>-1.3683928092299438</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FMCG</v>
      </c>
      <c r="B127" s="79" t="str">
        <f>'Data shares'!C122</f>
        <v>JUBLFOOD</v>
      </c>
      <c r="C127" s="4">
        <f>VLOOKUP($B127,'Data shares'!$C:$FB,7)</f>
        <v>655.5</v>
      </c>
      <c r="D127" s="82">
        <f>VLOOKUP($B127,'Data shares'!$C:$FB,98)</f>
        <v>21970000</v>
      </c>
      <c r="E127" s="165">
        <f>VLOOKUP(B127,'Snapshot (Volume)'!$A$7:$G$168,7,0)</f>
        <v>30538750</v>
      </c>
      <c r="F127" s="165">
        <f>D127-E127</f>
        <v>-8568750</v>
      </c>
      <c r="G127" s="166">
        <f>F127/E127</f>
        <v>-0.28058614055912567</v>
      </c>
      <c r="H127" s="165">
        <f>VLOOKUP($B127,'Data shares'!$C:$FB,66)</f>
        <v>9713750</v>
      </c>
      <c r="I127" s="165">
        <f>VLOOKUP($B127,'Data shares'!$C:$FB,67)</f>
        <v>18400000</v>
      </c>
      <c r="J127" s="81">
        <f>(H127-I127)/I127*100</f>
        <v>-47.207880434782609</v>
      </c>
      <c r="K127" s="5">
        <f>VLOOKUP($B127,'Data Vlaue (Cr)'!$C:$FB,99)</f>
        <v>1446</v>
      </c>
      <c r="L127" s="81">
        <f>VLOOKUP(B127,'OI(Value)'!$A$7:$C$209,3,0)</f>
        <v>-564</v>
      </c>
      <c r="M127" s="33">
        <f t="shared" si="44"/>
        <v>-39.004149377593365</v>
      </c>
      <c r="N127" s="5">
        <f>VLOOKUP($B127,'Data Vlaue (Cr)'!$C:$FB,67)</f>
        <v>639</v>
      </c>
      <c r="O127" s="5">
        <f>VLOOKUP($B127,'Data Vlaue (Cr)'!$C:$FB,68)</f>
        <v>1211</v>
      </c>
      <c r="P127" s="5">
        <f>(N127-O127)/N127*100</f>
        <v>-89.514866979655721</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FMCG</v>
      </c>
      <c r="B128" s="79" t="str">
        <f>'Data shares'!C123</f>
        <v>KALYANKJIL</v>
      </c>
      <c r="C128" s="4">
        <f>VLOOKUP($B128,'Data shares'!$C:$FB,7)</f>
        <v>594.70000000000005</v>
      </c>
      <c r="D128" s="82">
        <f>VLOOKUP($B128,'Data shares'!$C:$FB,98)</f>
        <v>24468200</v>
      </c>
      <c r="E128" s="165">
        <f>VLOOKUP(B128,'Snapshot (Volume)'!$A$7:$G$168,7,0)</f>
        <v>33083300</v>
      </c>
      <c r="F128" s="165">
        <f>D128-E128</f>
        <v>-8615100</v>
      </c>
      <c r="G128" s="166">
        <f>F128/E128</f>
        <v>-0.26040630771416395</v>
      </c>
      <c r="H128" s="165">
        <f>VLOOKUP($B128,'Data shares'!$C:$FB,66)</f>
        <v>23283800</v>
      </c>
      <c r="I128" s="165">
        <f>VLOOKUP($B128,'Data shares'!$C:$FB,67)</f>
        <v>26130825</v>
      </c>
      <c r="J128" s="81">
        <f>(H128-I128)/I128*100</f>
        <v>-10.895274068078601</v>
      </c>
      <c r="K128" s="5">
        <f>VLOOKUP($B128,'Data Vlaue (Cr)'!$C:$FB,99)</f>
        <v>1460</v>
      </c>
      <c r="L128" s="81">
        <f>VLOOKUP(B128,'OI(Value)'!$A$7:$C$209,3,0)</f>
        <v>-514</v>
      </c>
      <c r="M128" s="33">
        <f t="shared" si="44"/>
        <v>-35.205479452054796</v>
      </c>
      <c r="N128" s="5">
        <f>VLOOKUP($B128,'Data Vlaue (Cr)'!$C:$FB,67)</f>
        <v>1389</v>
      </c>
      <c r="O128" s="5">
        <f>VLOOKUP($B128,'Data Vlaue (Cr)'!$C:$FB,68)</f>
        <v>1559</v>
      </c>
      <c r="P128" s="5">
        <f>(N128-O128)/N128*100</f>
        <v>-12.239020878329733</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Capital_Goods</v>
      </c>
      <c r="B129" s="79" t="str">
        <f>'Data shares'!C124</f>
        <v>KAYNES</v>
      </c>
      <c r="C129" s="4">
        <f>VLOOKUP($B129,'Data shares'!$C:$FB,7)</f>
        <v>6172</v>
      </c>
      <c r="D129" s="82">
        <f>VLOOKUP($B129,'Data shares'!$C:$FB,98)</f>
        <v>1550000</v>
      </c>
      <c r="E129" s="165">
        <f>VLOOKUP(B129,'Snapshot (Volume)'!$A$7:$G$168,7,0)</f>
        <v>1763600</v>
      </c>
      <c r="F129" s="165">
        <f>D129-E129</f>
        <v>-213600</v>
      </c>
      <c r="G129" s="166">
        <f>F129/E129</f>
        <v>-0.12111589929689272</v>
      </c>
      <c r="H129" s="165">
        <f>VLOOKUP($B129,'Data shares'!$C:$FB,66)</f>
        <v>19098700</v>
      </c>
      <c r="I129" s="165">
        <f>VLOOKUP($B129,'Data shares'!$C:$FB,67)</f>
        <v>6956100</v>
      </c>
      <c r="J129" s="81">
        <f>(H129-I129)/I129*100</f>
        <v>174.56045772774976</v>
      </c>
      <c r="K129" s="5">
        <f>VLOOKUP($B129,'Data Vlaue (Cr)'!$C:$FB,99)</f>
        <v>963</v>
      </c>
      <c r="L129" s="81">
        <f>VLOOKUP(B129,'OI(Value)'!$A$7:$C$209,3,0)</f>
        <v>-133</v>
      </c>
      <c r="M129" s="33">
        <f t="shared" si="44"/>
        <v>-13.811007268951196</v>
      </c>
      <c r="N129" s="5">
        <f>VLOOKUP($B129,'Data Vlaue (Cr)'!$C:$FB,67)</f>
        <v>11862</v>
      </c>
      <c r="O129" s="5">
        <f>VLOOKUP($B129,'Data Vlaue (Cr)'!$C:$FB,68)</f>
        <v>4320</v>
      </c>
      <c r="P129" s="5">
        <f>(N129-O129)/N129*100</f>
        <v>63.581183611532623</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Power</v>
      </c>
      <c r="B130" s="79" t="str">
        <f>'Data shares'!C125</f>
        <v>KEI</v>
      </c>
      <c r="C130" s="4">
        <f>VLOOKUP($B130,'Data shares'!$C:$FB,7)</f>
        <v>3844.2</v>
      </c>
      <c r="D130" s="82">
        <f>VLOOKUP($B130,'Data shares'!$C:$FB,98)</f>
        <v>1182475</v>
      </c>
      <c r="E130" s="165">
        <f>VLOOKUP(B130,'Snapshot (Volume)'!$A$7:$G$168,7,0)</f>
        <v>2280250</v>
      </c>
      <c r="F130" s="165">
        <f>D130-E130</f>
        <v>-1097775</v>
      </c>
      <c r="G130" s="166">
        <f>F130/E130</f>
        <v>-0.48142747505755945</v>
      </c>
      <c r="H130" s="165">
        <f>VLOOKUP($B130,'Data shares'!$C:$FB,66)</f>
        <v>2551500</v>
      </c>
      <c r="I130" s="165">
        <f>VLOOKUP($B130,'Data shares'!$C:$FB,67)</f>
        <v>2502850</v>
      </c>
      <c r="J130" s="81">
        <f>(H130-I130)/I130*100</f>
        <v>1.9437840861417983</v>
      </c>
      <c r="K130" s="5">
        <f>VLOOKUP($B130,'Data Vlaue (Cr)'!$C:$FB,99)</f>
        <v>457</v>
      </c>
      <c r="L130" s="81">
        <f>VLOOKUP(B130,'OI(Value)'!$A$7:$C$209,3,0)</f>
        <v>-424</v>
      </c>
      <c r="M130" s="33">
        <f t="shared" si="44"/>
        <v>-92.778993435448569</v>
      </c>
      <c r="N130" s="5">
        <f>VLOOKUP($B130,'Data Vlaue (Cr)'!$C:$FB,67)</f>
        <v>987</v>
      </c>
      <c r="O130" s="5">
        <f>VLOOKUP($B130,'Data Vlaue (Cr)'!$C:$FB,68)</f>
        <v>968</v>
      </c>
      <c r="P130" s="5">
        <f>(N130-O130)/N130*100</f>
        <v>1.9250253292806485</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Finance</v>
      </c>
      <c r="B131" s="79" t="str">
        <f>'Data shares'!C126</f>
        <v>KFINTECH</v>
      </c>
      <c r="C131" s="4">
        <f>VLOOKUP($B131,'Data shares'!$C:$FB,7)</f>
        <v>1082.9000000000001</v>
      </c>
      <c r="D131" s="82">
        <f>VLOOKUP($B131,'Data shares'!$C:$FB,98)</f>
        <v>2962350</v>
      </c>
      <c r="E131" s="165">
        <f>VLOOKUP(B131,'Snapshot (Volume)'!$A$7:$G$168,7,0)</f>
        <v>4147200</v>
      </c>
      <c r="F131" s="165">
        <f>D131-E131</f>
        <v>-1184850</v>
      </c>
      <c r="G131" s="166">
        <f>F131/E131</f>
        <v>-0.28569878472222221</v>
      </c>
      <c r="H131" s="165">
        <f>VLOOKUP($B131,'Data shares'!$C:$FB,66)</f>
        <v>3389850</v>
      </c>
      <c r="I131" s="165">
        <f>VLOOKUP($B131,'Data shares'!$C:$FB,67)</f>
        <v>3734550</v>
      </c>
      <c r="J131" s="81">
        <f>(H131-I131)/I131*100</f>
        <v>-9.2300277141824321</v>
      </c>
      <c r="K131" s="5">
        <f>VLOOKUP($B131,'Data Vlaue (Cr)'!$C:$FB,99)</f>
        <v>320</v>
      </c>
      <c r="L131" s="81">
        <f>VLOOKUP(B131,'OI(Value)'!$A$7:$C$209,3,0)</f>
        <v>-128</v>
      </c>
      <c r="M131" s="33">
        <f t="shared" si="44"/>
        <v>-40</v>
      </c>
      <c r="N131" s="5">
        <f>VLOOKUP($B131,'Data Vlaue (Cr)'!$C:$FB,67)</f>
        <v>367</v>
      </c>
      <c r="O131" s="5">
        <f>VLOOKUP($B131,'Data Vlaue (Cr)'!$C:$FB,68)</f>
        <v>404</v>
      </c>
      <c r="P131" s="5">
        <f>(N131-O131)/N131*100</f>
        <v>-10.081743869209809</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Banking</v>
      </c>
      <c r="B132" s="79" t="str">
        <f>'Data shares'!C127</f>
        <v>KOTAKBANK</v>
      </c>
      <c r="C132" s="79">
        <f>VLOOKUP($B132,'Data shares'!$C:$FB,7)</f>
        <v>1978.6</v>
      </c>
      <c r="D132" s="165">
        <f>VLOOKUP($B132,'Data shares'!$C:$FB,98)</f>
        <v>42890400</v>
      </c>
      <c r="E132" s="165">
        <f>VLOOKUP(B132,'Snapshot (Volume)'!$A$7:$G$168,7,0)</f>
        <v>57997200</v>
      </c>
      <c r="F132" s="165">
        <f t="shared" ref="F132:F139" si="45">D132-E132</f>
        <v>-15106800</v>
      </c>
      <c r="G132" s="166">
        <f t="shared" ref="G132:G139" si="46">F132/E132</f>
        <v>-0.26047464360348432</v>
      </c>
      <c r="H132" s="165">
        <f>VLOOKUP($B132,'Data shares'!$C:$FB,66)</f>
        <v>64669600</v>
      </c>
      <c r="I132" s="165">
        <f>VLOOKUP($B132,'Data shares'!$C:$FB,67)</f>
        <v>45850800</v>
      </c>
      <c r="J132" s="81">
        <f t="shared" ref="J132:J139" si="47">(H132-I132)/I132*100</f>
        <v>41.043558672913008</v>
      </c>
      <c r="K132" s="81">
        <f>VLOOKUP($B132,'Data Vlaue (Cr)'!$C:$FB,99)</f>
        <v>8536</v>
      </c>
      <c r="L132" s="81">
        <f>VLOOKUP(B132,'OI(Value)'!$A$7:$C$209,3,0)</f>
        <v>-3007</v>
      </c>
      <c r="M132" s="81">
        <f t="shared" si="44"/>
        <v>-35.227272727272727</v>
      </c>
      <c r="N132" s="81">
        <f>VLOOKUP($B132,'Data Vlaue (Cr)'!$C:$FB,67)</f>
        <v>12871</v>
      </c>
      <c r="O132" s="81">
        <f>VLOOKUP($B132,'Data Vlaue (Cr)'!$C:$FB,68)</f>
        <v>9126</v>
      </c>
      <c r="P132" s="81">
        <f t="shared" ref="P132:P139" si="48">(N132-O132)/N132*100</f>
        <v>29.096418304716025</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Technology</v>
      </c>
      <c r="B133" s="79" t="str">
        <f>'Data shares'!C128</f>
        <v>KPITTECH</v>
      </c>
      <c r="C133" s="79">
        <f>VLOOKUP($B133,'Data shares'!$C:$FB,7)</f>
        <v>1226.4000000000001</v>
      </c>
      <c r="D133" s="165">
        <f>VLOOKUP($B133,'Data shares'!$C:$FB,98)</f>
        <v>8020400</v>
      </c>
      <c r="E133" s="165">
        <f>VLOOKUP(B133,'Snapshot (Volume)'!$A$7:$G$168,7,0)</f>
        <v>14994800</v>
      </c>
      <c r="F133" s="165">
        <f t="shared" si="45"/>
        <v>-6974400</v>
      </c>
      <c r="G133" s="166">
        <f t="shared" si="46"/>
        <v>-0.46512124203057059</v>
      </c>
      <c r="H133" s="165">
        <f>VLOOKUP($B133,'Data shares'!$C:$FB,66)</f>
        <v>21055600</v>
      </c>
      <c r="I133" s="165">
        <f>VLOOKUP($B133,'Data shares'!$C:$FB,67)</f>
        <v>61515600</v>
      </c>
      <c r="J133" s="81">
        <f t="shared" si="47"/>
        <v>-65.77193427358263</v>
      </c>
      <c r="K133" s="81">
        <f>VLOOKUP($B133,'Data Vlaue (Cr)'!$C:$FB,99)</f>
        <v>986</v>
      </c>
      <c r="L133" s="81">
        <f>VLOOKUP(B133,'OI(Value)'!$A$7:$C$209,3,0)</f>
        <v>-857</v>
      </c>
      <c r="M133" s="81">
        <f t="shared" si="44"/>
        <v>-86.916835699797161</v>
      </c>
      <c r="N133" s="81">
        <f>VLOOKUP($B133,'Data Vlaue (Cr)'!$C:$FB,67)</f>
        <v>2588</v>
      </c>
      <c r="O133" s="81">
        <f>VLOOKUP($B133,'Data Vlaue (Cr)'!$C:$FB,68)</f>
        <v>7560</v>
      </c>
      <c r="P133" s="81">
        <f t="shared" si="48"/>
        <v>-192.11746522411127</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Pharma</v>
      </c>
      <c r="B134" s="79" t="str">
        <f>'Data shares'!C129</f>
        <v>LAURUSLABS</v>
      </c>
      <c r="C134" s="4">
        <f>VLOOKUP($B134,'Data shares'!$C:$FB,7)</f>
        <v>874.35</v>
      </c>
      <c r="D134" s="82">
        <f>VLOOKUP($B134,'Data shares'!$C:$FB,98)</f>
        <v>29068300</v>
      </c>
      <c r="E134" s="165">
        <f>VLOOKUP(B134,'Snapshot (Volume)'!$A$7:$G$168,7,0)</f>
        <v>60191900</v>
      </c>
      <c r="F134" s="165">
        <f t="shared" si="45"/>
        <v>-31123600</v>
      </c>
      <c r="G134" s="166">
        <f t="shared" si="46"/>
        <v>-0.5170728951902166</v>
      </c>
      <c r="H134" s="165">
        <f>VLOOKUP($B134,'Data shares'!$C:$FB,66)</f>
        <v>42248400</v>
      </c>
      <c r="I134" s="165">
        <f>VLOOKUP($B134,'Data shares'!$C:$FB,67)</f>
        <v>124839500</v>
      </c>
      <c r="J134" s="81">
        <f t="shared" si="47"/>
        <v>-66.157826649417856</v>
      </c>
      <c r="K134" s="5">
        <f>VLOOKUP($B134,'Data Vlaue (Cr)'!$C:$FB,99)</f>
        <v>2552</v>
      </c>
      <c r="L134" s="81">
        <f>VLOOKUP(B134,'OI(Value)'!$A$7:$C$209,3,0)</f>
        <v>-2733</v>
      </c>
      <c r="M134" s="33">
        <f t="shared" si="44"/>
        <v>-107.09247648902821</v>
      </c>
      <c r="N134" s="5">
        <f>VLOOKUP($B134,'Data Vlaue (Cr)'!$C:$FB,67)</f>
        <v>3709</v>
      </c>
      <c r="O134" s="5">
        <f>VLOOKUP($B134,'Data Vlaue (Cr)'!$C:$FB,68)</f>
        <v>10961</v>
      </c>
      <c r="P134" s="5">
        <f t="shared" si="48"/>
        <v>-195.52440010784576</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Finance</v>
      </c>
      <c r="B135" s="79" t="str">
        <f>'Data shares'!C130</f>
        <v>LICHSGFIN</v>
      </c>
      <c r="C135" s="4">
        <f>VLOOKUP($B135,'Data shares'!$C:$FB,7)</f>
        <v>586.04999999999995</v>
      </c>
      <c r="D135" s="82">
        <f>VLOOKUP($B135,'Data shares'!$C:$FB,98)</f>
        <v>43408000</v>
      </c>
      <c r="E135" s="165">
        <f>VLOOKUP(B135,'Snapshot (Volume)'!$A$7:$G$168,7,0)</f>
        <v>52217000</v>
      </c>
      <c r="F135" s="165">
        <f t="shared" si="45"/>
        <v>-8809000</v>
      </c>
      <c r="G135" s="166">
        <f t="shared" si="46"/>
        <v>-0.16869984870827509</v>
      </c>
      <c r="H135" s="165">
        <f>VLOOKUP($B135,'Data shares'!$C:$FB,66)</f>
        <v>28436000</v>
      </c>
      <c r="I135" s="165">
        <f>VLOOKUP($B135,'Data shares'!$C:$FB,67)</f>
        <v>22826000</v>
      </c>
      <c r="J135" s="81">
        <f t="shared" si="47"/>
        <v>24.577236484710419</v>
      </c>
      <c r="K135" s="5">
        <f>VLOOKUP($B135,'Data Vlaue (Cr)'!$C:$FB,99)</f>
        <v>2526</v>
      </c>
      <c r="L135" s="81">
        <f>VLOOKUP(B135,'OI(Value)'!$A$7:$C$209,3,0)</f>
        <v>-513</v>
      </c>
      <c r="M135" s="33">
        <f t="shared" si="44"/>
        <v>-20.308788598574822</v>
      </c>
      <c r="N135" s="5">
        <f>VLOOKUP($B135,'Data Vlaue (Cr)'!$C:$FB,67)</f>
        <v>1655</v>
      </c>
      <c r="O135" s="5">
        <f>VLOOKUP($B135,'Data Vlaue (Cr)'!$C:$FB,68)</f>
        <v>1328</v>
      </c>
      <c r="P135" s="5">
        <f t="shared" si="48"/>
        <v>19.758308157099698</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Finance</v>
      </c>
      <c r="B136" s="79" t="str">
        <f>'Data shares'!C131</f>
        <v>LICI</v>
      </c>
      <c r="C136" s="4">
        <f>VLOOKUP($B136,'Data shares'!$C:$FB,7)</f>
        <v>895</v>
      </c>
      <c r="D136" s="82">
        <f>VLOOKUP($B136,'Data shares'!$C:$FB,98)</f>
        <v>8984500</v>
      </c>
      <c r="E136" s="165">
        <f>VLOOKUP(B136,'Snapshot (Volume)'!$A$7:$G$168,7,0)</f>
        <v>15054200</v>
      </c>
      <c r="F136" s="165">
        <f t="shared" si="45"/>
        <v>-6069700</v>
      </c>
      <c r="G136" s="166">
        <f t="shared" si="46"/>
        <v>-0.40318980749558264</v>
      </c>
      <c r="H136" s="165">
        <f>VLOOKUP($B136,'Data shares'!$C:$FB,66)</f>
        <v>7941500</v>
      </c>
      <c r="I136" s="165">
        <f>VLOOKUP($B136,'Data shares'!$C:$FB,67)</f>
        <v>9300200</v>
      </c>
      <c r="J136" s="81">
        <f t="shared" si="47"/>
        <v>-14.609363239500226</v>
      </c>
      <c r="K136" s="5">
        <f>VLOOKUP($B136,'Data Vlaue (Cr)'!$C:$FB,99)</f>
        <v>807</v>
      </c>
      <c r="L136" s="81">
        <f>VLOOKUP(B136,'OI(Value)'!$A$7:$C$209,3,0)</f>
        <v>-545</v>
      </c>
      <c r="M136" s="33">
        <f t="shared" si="44"/>
        <v>-67.534076827757133</v>
      </c>
      <c r="N136" s="5">
        <f>VLOOKUP($B136,'Data Vlaue (Cr)'!$C:$FB,67)</f>
        <v>714</v>
      </c>
      <c r="O136" s="5">
        <f>VLOOKUP($B136,'Data Vlaue (Cr)'!$C:$FB,68)</f>
        <v>836</v>
      </c>
      <c r="P136" s="5">
        <f t="shared" si="48"/>
        <v>-17.086834733893557</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Realty</v>
      </c>
      <c r="B137" s="79" t="str">
        <f>'Data shares'!C132</f>
        <v>LODHA</v>
      </c>
      <c r="C137" s="4">
        <f>VLOOKUP($B137,'Data shares'!$C:$FB,7)</f>
        <v>1231.5999999999999</v>
      </c>
      <c r="D137" s="82">
        <f>VLOOKUP($B137,'Data shares'!$C:$FB,98)</f>
        <v>11115900</v>
      </c>
      <c r="E137" s="165">
        <f>VLOOKUP(B137,'Snapshot (Volume)'!$A$7:$G$168,7,0)</f>
        <v>14918850</v>
      </c>
      <c r="F137" s="165">
        <f t="shared" si="45"/>
        <v>-3802950</v>
      </c>
      <c r="G137" s="166">
        <f t="shared" si="46"/>
        <v>-0.25490905800380054</v>
      </c>
      <c r="H137" s="165">
        <f>VLOOKUP($B137,'Data shares'!$C:$FB,66)</f>
        <v>8100450</v>
      </c>
      <c r="I137" s="165">
        <f>VLOOKUP($B137,'Data shares'!$C:$FB,67)</f>
        <v>9066600</v>
      </c>
      <c r="J137" s="81">
        <f t="shared" si="47"/>
        <v>-10.656144530474489</v>
      </c>
      <c r="K137" s="5">
        <f>VLOOKUP($B137,'Data Vlaue (Cr)'!$C:$FB,99)</f>
        <v>1373</v>
      </c>
      <c r="L137" s="81">
        <f>VLOOKUP(B137,'OI(Value)'!$A$7:$C$209,3,0)</f>
        <v>-470</v>
      </c>
      <c r="M137" s="33">
        <f t="shared" si="44"/>
        <v>-34.231609613983977</v>
      </c>
      <c r="N137" s="5">
        <f>VLOOKUP($B137,'Data Vlaue (Cr)'!$C:$FB,67)</f>
        <v>1001</v>
      </c>
      <c r="O137" s="5">
        <f>VLOOKUP($B137,'Data Vlaue (Cr)'!$C:$FB,68)</f>
        <v>1120</v>
      </c>
      <c r="P137" s="5">
        <f t="shared" si="48"/>
        <v>-11.888111888111888</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Capital_Goods</v>
      </c>
      <c r="B138" s="79" t="str">
        <f>'Data shares'!C133</f>
        <v>LT</v>
      </c>
      <c r="C138" s="4">
        <f>VLOOKUP($B138,'Data shares'!$C:$FB,7)</f>
        <v>3636.5</v>
      </c>
      <c r="D138" s="82">
        <f>VLOOKUP($B138,'Data shares'!$C:$FB,98)</f>
        <v>20781950</v>
      </c>
      <c r="E138" s="165">
        <f>VLOOKUP(B138,'Snapshot (Volume)'!$A$7:$G$168,7,0)</f>
        <v>33516525</v>
      </c>
      <c r="F138" s="165">
        <f t="shared" si="45"/>
        <v>-12734575</v>
      </c>
      <c r="G138" s="166">
        <f t="shared" si="46"/>
        <v>-0.37994914448917361</v>
      </c>
      <c r="H138" s="165">
        <f>VLOOKUP($B138,'Data shares'!$C:$FB,66)</f>
        <v>25561725</v>
      </c>
      <c r="I138" s="165">
        <f>VLOOKUP($B138,'Data shares'!$C:$FB,67)</f>
        <v>119108325</v>
      </c>
      <c r="J138" s="81">
        <f t="shared" si="47"/>
        <v>-78.53909455951127</v>
      </c>
      <c r="K138" s="5">
        <f>VLOOKUP($B138,'Data Vlaue (Cr)'!$C:$FB,99)</f>
        <v>7586</v>
      </c>
      <c r="L138" s="81">
        <f>VLOOKUP(B138,'OI(Value)'!$A$7:$C$209,3,0)</f>
        <v>-4649</v>
      </c>
      <c r="M138" s="33">
        <f t="shared" si="44"/>
        <v>-61.283944107566569</v>
      </c>
      <c r="N138" s="5">
        <f>VLOOKUP($B138,'Data Vlaue (Cr)'!$C:$FB,67)</f>
        <v>9331</v>
      </c>
      <c r="O138" s="5">
        <f>VLOOKUP($B138,'Data Vlaue (Cr)'!$C:$FB,68)</f>
        <v>43480</v>
      </c>
      <c r="P138" s="5">
        <f t="shared" si="48"/>
        <v>-365.97363626620944</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Finance</v>
      </c>
      <c r="B139" s="79" t="str">
        <f>'Data shares'!C134</f>
        <v>LTF</v>
      </c>
      <c r="C139" s="4">
        <f>VLOOKUP($B139,'Data shares'!$C:$FB,7)</f>
        <v>202.59</v>
      </c>
      <c r="D139" s="82">
        <f>VLOOKUP($B139,'Data shares'!$C:$FB,98)</f>
        <v>83800822</v>
      </c>
      <c r="E139" s="165">
        <f>VLOOKUP(B139,'Snapshot (Volume)'!$A$7:$G$168,7,0)</f>
        <v>129157052</v>
      </c>
      <c r="F139" s="165">
        <f t="shared" si="45"/>
        <v>-45356230</v>
      </c>
      <c r="G139" s="166">
        <f t="shared" si="46"/>
        <v>-0.35117114627236923</v>
      </c>
      <c r="H139" s="165">
        <f>VLOOKUP($B139,'Data shares'!$C:$FB,66)</f>
        <v>71240292</v>
      </c>
      <c r="I139" s="165">
        <f>VLOOKUP($B139,'Data shares'!$C:$FB,67)</f>
        <v>106695344</v>
      </c>
      <c r="J139" s="81">
        <f t="shared" si="47"/>
        <v>-33.230177316828367</v>
      </c>
      <c r="K139" s="5">
        <f>VLOOKUP($B139,'Data Vlaue (Cr)'!$C:$FB,99)</f>
        <v>1707</v>
      </c>
      <c r="L139" s="81">
        <f>VLOOKUP(B139,'OI(Value)'!$A$7:$C$209,3,0)</f>
        <v>-924</v>
      </c>
      <c r="M139" s="33">
        <f t="shared" si="44"/>
        <v>-54.130052724077323</v>
      </c>
      <c r="N139" s="5">
        <f>VLOOKUP($B139,'Data Vlaue (Cr)'!$C:$FB,67)</f>
        <v>1451</v>
      </c>
      <c r="O139" s="5">
        <f>VLOOKUP($B139,'Data Vlaue (Cr)'!$C:$FB,68)</f>
        <v>2173</v>
      </c>
      <c r="P139" s="5">
        <f t="shared" si="48"/>
        <v>-49.758787043418337</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Technology</v>
      </c>
      <c r="B140" s="79" t="str">
        <f>'Data shares'!C135</f>
        <v>LTIM</v>
      </c>
      <c r="C140" s="79">
        <f>VLOOKUP($B140,'Data shares'!$C:$FB,7)</f>
        <v>5106</v>
      </c>
      <c r="D140" s="165">
        <f>VLOOKUP($B140,'Data shares'!$C:$FB,98)</f>
        <v>2857950</v>
      </c>
      <c r="E140" s="165">
        <f>VLOOKUP(B140,'Snapshot (Volume)'!$A$7:$G$168,7,0)</f>
        <v>4117950</v>
      </c>
      <c r="F140" s="165">
        <f>D140-E140</f>
        <v>-1260000</v>
      </c>
      <c r="G140" s="166">
        <f>F140/E140</f>
        <v>-0.30597748879903836</v>
      </c>
      <c r="H140" s="165">
        <f>VLOOKUP($B140,'Data shares'!$C:$FB,66)</f>
        <v>1827900</v>
      </c>
      <c r="I140" s="165">
        <f>VLOOKUP($B140,'Data shares'!$C:$FB,67)</f>
        <v>3175050</v>
      </c>
      <c r="J140" s="81">
        <f>(H140-I140)/I140*100</f>
        <v>-42.42925308262862</v>
      </c>
      <c r="K140" s="81">
        <f>VLOOKUP($B140,'Data Vlaue (Cr)'!$C:$FB,99)</f>
        <v>1460</v>
      </c>
      <c r="L140" s="81">
        <f>VLOOKUP(B140,'OI(Value)'!$A$7:$C$209,3,0)</f>
        <v>-644</v>
      </c>
      <c r="M140" s="81">
        <f t="shared" si="44"/>
        <v>-44.109589041095894</v>
      </c>
      <c r="N140" s="81">
        <f>VLOOKUP($B140,'Data Vlaue (Cr)'!$C:$FB,67)</f>
        <v>934</v>
      </c>
      <c r="O140" s="81">
        <f>VLOOKUP($B140,'Data Vlaue (Cr)'!$C:$FB,68)</f>
        <v>1622</v>
      </c>
      <c r="P140" s="81">
        <f>(N140-O140)/N140*100</f>
        <v>-73.66167023554604</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Pharma</v>
      </c>
      <c r="B141" s="79" t="str">
        <f>'Data shares'!C136</f>
        <v>LUPIN</v>
      </c>
      <c r="C141" s="4">
        <f>VLOOKUP($B141,'Data shares'!$C:$FB,7)</f>
        <v>1929.1</v>
      </c>
      <c r="D141" s="82">
        <f>VLOOKUP($B141,'Data shares'!$C:$FB,98)</f>
        <v>13574925</v>
      </c>
      <c r="E141" s="165">
        <f>VLOOKUP(B141,'Snapshot (Volume)'!$A$7:$G$168,7,0)</f>
        <v>18388050</v>
      </c>
      <c r="F141" s="165">
        <f>D141-E141</f>
        <v>-4813125</v>
      </c>
      <c r="G141" s="166">
        <f>F141/E141</f>
        <v>-0.26175287754819027</v>
      </c>
      <c r="H141" s="165">
        <f>VLOOKUP($B141,'Data shares'!$C:$FB,66)</f>
        <v>14988475</v>
      </c>
      <c r="I141" s="165">
        <f>VLOOKUP($B141,'Data shares'!$C:$FB,67)</f>
        <v>12314800</v>
      </c>
      <c r="J141" s="81">
        <f>(H141-I141)/I141*100</f>
        <v>21.711071231363889</v>
      </c>
      <c r="K141" s="5">
        <f>VLOOKUP($B141,'Data Vlaue (Cr)'!$C:$FB,99)</f>
        <v>2627</v>
      </c>
      <c r="L141" s="81">
        <f>VLOOKUP(B141,'OI(Value)'!$A$7:$C$209,3,0)</f>
        <v>-931</v>
      </c>
      <c r="M141" s="33">
        <f t="shared" si="44"/>
        <v>-35.439665017129805</v>
      </c>
      <c r="N141" s="5">
        <f>VLOOKUP($B141,'Data Vlaue (Cr)'!$C:$FB,67)</f>
        <v>2900</v>
      </c>
      <c r="O141" s="5">
        <f>VLOOKUP($B141,'Data Vlaue (Cr)'!$C:$FB,68)</f>
        <v>2383</v>
      </c>
      <c r="P141" s="5">
        <f>(N141-O141)/N141*100</f>
        <v>17.827586206896552</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Automobile</v>
      </c>
      <c r="B142" s="79" t="str">
        <f>'Data shares'!C137</f>
        <v>M&amp;M</v>
      </c>
      <c r="C142" s="4">
        <f>VLOOKUP($B142,'Data shares'!$C:$FB,7)</f>
        <v>3203.1</v>
      </c>
      <c r="D142" s="82">
        <f>VLOOKUP($B142,'Data shares'!$C:$FB,98)</f>
        <v>28761400</v>
      </c>
      <c r="E142" s="165">
        <f>VLOOKUP(B142,'Snapshot (Volume)'!$A$7:$G$168,7,0)</f>
        <v>32964800</v>
      </c>
      <c r="F142" s="165">
        <f>D142-E142</f>
        <v>-4203400</v>
      </c>
      <c r="G142" s="166">
        <f>F142/E142</f>
        <v>-0.1275117701305635</v>
      </c>
      <c r="H142" s="165">
        <f>VLOOKUP($B142,'Data shares'!$C:$FB,66)</f>
        <v>49178200</v>
      </c>
      <c r="I142" s="165">
        <f>VLOOKUP($B142,'Data shares'!$C:$FB,67)</f>
        <v>43224600</v>
      </c>
      <c r="J142" s="81">
        <f>(H142-I142)/I142*100</f>
        <v>13.773638159751622</v>
      </c>
      <c r="K142" s="5">
        <f>VLOOKUP($B142,'Data Vlaue (Cr)'!$C:$FB,99)</f>
        <v>9249</v>
      </c>
      <c r="L142" s="81">
        <f>VLOOKUP(B142,'OI(Value)'!$A$7:$C$209,3,0)</f>
        <v>-1352</v>
      </c>
      <c r="M142" s="33">
        <f t="shared" si="44"/>
        <v>-14.617796518542544</v>
      </c>
      <c r="N142" s="5">
        <f>VLOOKUP($B142,'Data Vlaue (Cr)'!$C:$FB,67)</f>
        <v>15814</v>
      </c>
      <c r="O142" s="5">
        <f>VLOOKUP($B142,'Data Vlaue (Cr)'!$C:$FB,68)</f>
        <v>13899</v>
      </c>
      <c r="P142" s="5">
        <f>(N142-O142)/N142*100</f>
        <v>12.109523207284685</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Finance</v>
      </c>
      <c r="B143" s="79" t="str">
        <f>'Data shares'!C138</f>
        <v>M&amp;MFIN</v>
      </c>
      <c r="C143" s="4">
        <f>VLOOKUP($B143,'Data shares'!$C:$FB,7)</f>
        <v>257.5</v>
      </c>
      <c r="D143" s="82">
        <f>VLOOKUP($B143,'Data shares'!$C:$FB,98)</f>
        <v>11231928</v>
      </c>
      <c r="E143" s="165">
        <f>VLOOKUP(B143,'Snapshot (Volume)'!$A$7:$G$168,7,0)</f>
        <v>19840400</v>
      </c>
      <c r="F143" s="165">
        <f>D143-E143</f>
        <v>-8608472</v>
      </c>
      <c r="G143" s="166">
        <f>F143/E143</f>
        <v>-0.43388601036269431</v>
      </c>
      <c r="H143" s="165">
        <f>VLOOKUP($B143,'Data shares'!$C:$FB,66)</f>
        <v>12708136</v>
      </c>
      <c r="I143" s="165">
        <f>VLOOKUP($B143,'Data shares'!$C:$FB,67)</f>
        <v>16388376</v>
      </c>
      <c r="J143" s="81">
        <f>(H143-I143)/I143*100</f>
        <v>-22.456404466189937</v>
      </c>
      <c r="K143" s="5">
        <f>VLOOKUP($B143,'Data Vlaue (Cr)'!$C:$FB,99)</f>
        <v>0</v>
      </c>
      <c r="L143" s="81">
        <f>VLOOKUP(B143,'OI(Value)'!$A$7:$C$209,3,0)</f>
        <v>0</v>
      </c>
      <c r="M143" s="33" t="e">
        <f t="shared" si="44"/>
        <v>#DIV/0!</v>
      </c>
      <c r="N143" s="5">
        <f>VLOOKUP($B143,'Data Vlaue (Cr)'!$C:$FB,67)</f>
        <v>0</v>
      </c>
      <c r="O143" s="5">
        <f>VLOOKUP($B143,'Data Vlaue (Cr)'!$C:$FB,68)</f>
        <v>0</v>
      </c>
      <c r="P143" s="5" t="e">
        <f>(N143-O143)/N143*100</f>
        <v>#DIV/0!</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Finance</v>
      </c>
      <c r="B144" s="79" t="str">
        <f>'Data shares'!C139</f>
        <v>MANAPPURAM</v>
      </c>
      <c r="C144" s="4">
        <f>VLOOKUP($B144,'Data shares'!$C:$FB,7)</f>
        <v>253.05</v>
      </c>
      <c r="D144" s="82">
        <f>VLOOKUP($B144,'Data shares'!$C:$FB,98)</f>
        <v>35901000</v>
      </c>
      <c r="E144" s="165">
        <f>VLOOKUP(B144,'Snapshot (Volume)'!$A$7:$G$168,7,0)</f>
        <v>50064000</v>
      </c>
      <c r="F144" s="165">
        <f>D144-E144</f>
        <v>-14163000</v>
      </c>
      <c r="G144" s="166">
        <f>F144/E144</f>
        <v>-0.28289789069990412</v>
      </c>
      <c r="H144" s="165">
        <f>VLOOKUP($B144,'Data shares'!$C:$FB,66)</f>
        <v>34095000</v>
      </c>
      <c r="I144" s="165">
        <f>VLOOKUP($B144,'Data shares'!$C:$FB,67)</f>
        <v>45696000</v>
      </c>
      <c r="J144" s="81">
        <f>(H144-I144)/I144*100</f>
        <v>-25.387342436974791</v>
      </c>
      <c r="K144" s="5">
        <f>VLOOKUP($B144,'Data Vlaue (Cr)'!$C:$FB,99)</f>
        <v>913</v>
      </c>
      <c r="L144" s="81">
        <f>VLOOKUP(B144,'OI(Value)'!$A$7:$C$209,3,0)</f>
        <v>-360</v>
      </c>
      <c r="M144" s="33">
        <f t="shared" si="44"/>
        <v>-39.430449069003288</v>
      </c>
      <c r="N144" s="5">
        <f>VLOOKUP($B144,'Data Vlaue (Cr)'!$C:$FB,67)</f>
        <v>867</v>
      </c>
      <c r="O144" s="5">
        <f>VLOOKUP($B144,'Data Vlaue (Cr)'!$C:$FB,68)</f>
        <v>1163</v>
      </c>
      <c r="P144" s="5">
        <f>(N144-O144)/N144*100</f>
        <v>-34.140715109573236</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Pharma</v>
      </c>
      <c r="B145" s="79" t="str">
        <f>'Data shares'!C140</f>
        <v>MANKIND</v>
      </c>
      <c r="C145" s="4">
        <f>VLOOKUP($B145,'Data shares'!$C:$FB,7)</f>
        <v>2567.1999999999998</v>
      </c>
      <c r="D145" s="82">
        <f>VLOOKUP($B145,'Data shares'!$C:$FB,98)</f>
        <v>2100375</v>
      </c>
      <c r="E145" s="165">
        <f>VLOOKUP(B145,'Snapshot (Volume)'!$A$7:$G$168,7,0)</f>
        <v>3490425</v>
      </c>
      <c r="F145" s="165">
        <f t="shared" ref="F145:F152" si="49">D145-E145</f>
        <v>-1390050</v>
      </c>
      <c r="G145" s="166">
        <f t="shared" ref="G145:G153" si="50">F145/E145</f>
        <v>-0.39824663185715209</v>
      </c>
      <c r="H145" s="165">
        <f>VLOOKUP($B145,'Data shares'!$C:$FB,66)</f>
        <v>4750875</v>
      </c>
      <c r="I145" s="165">
        <f>VLOOKUP($B145,'Data shares'!$C:$FB,67)</f>
        <v>4218525</v>
      </c>
      <c r="J145" s="81">
        <f t="shared" ref="J145:J153" si="51">(H145-I145)/I145*100</f>
        <v>12.619339698117232</v>
      </c>
      <c r="K145" s="5">
        <f>VLOOKUP($B145,'Data Vlaue (Cr)'!$C:$FB,99)</f>
        <v>539</v>
      </c>
      <c r="L145" s="81">
        <f>VLOOKUP(B145,'OI(Value)'!$A$7:$C$209,3,0)</f>
        <v>-357</v>
      </c>
      <c r="M145" s="33">
        <f t="shared" ref="M145:M153" si="52">L145/K145*100</f>
        <v>-66.233766233766232</v>
      </c>
      <c r="N145" s="5">
        <f>VLOOKUP($B145,'Data Vlaue (Cr)'!$C:$FB,67)</f>
        <v>1220</v>
      </c>
      <c r="O145" s="5">
        <f>VLOOKUP($B145,'Data Vlaue (Cr)'!$C:$FB,68)</f>
        <v>1083</v>
      </c>
      <c r="P145" s="5">
        <f t="shared" ref="P145:P152" si="53">(N145-O145)/N145*100</f>
        <v>11.229508196721312</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FMCG</v>
      </c>
      <c r="B146" s="79" t="str">
        <f>'Data shares'!C141</f>
        <v>MARICO</v>
      </c>
      <c r="C146" s="4">
        <f>VLOOKUP($B146,'Data shares'!$C:$FB,7)</f>
        <v>709.8</v>
      </c>
      <c r="D146" s="82">
        <f>VLOOKUP($B146,'Data shares'!$C:$FB,98)</f>
        <v>23107200</v>
      </c>
      <c r="E146" s="165">
        <f>VLOOKUP(B146,'Snapshot (Volume)'!$A$7:$G$168,7,0)</f>
        <v>30585600</v>
      </c>
      <c r="F146" s="165">
        <f t="shared" si="49"/>
        <v>-7478400</v>
      </c>
      <c r="G146" s="166">
        <f t="shared" si="50"/>
        <v>-0.24450721908349027</v>
      </c>
      <c r="H146" s="165">
        <f>VLOOKUP($B146,'Data shares'!$C:$FB,66)</f>
        <v>14481600</v>
      </c>
      <c r="I146" s="165">
        <f>VLOOKUP($B146,'Data shares'!$C:$FB,67)</f>
        <v>15747600</v>
      </c>
      <c r="J146" s="81">
        <f t="shared" si="51"/>
        <v>-8.0393202773755998</v>
      </c>
      <c r="K146" s="5">
        <f>VLOOKUP($B146,'Data Vlaue (Cr)'!$C:$FB,99)</f>
        <v>1630</v>
      </c>
      <c r="L146" s="81">
        <f>VLOOKUP(B146,'OI(Value)'!$A$7:$C$209,3,0)</f>
        <v>-527</v>
      </c>
      <c r="M146" s="33">
        <f t="shared" si="52"/>
        <v>-32.331288343558285</v>
      </c>
      <c r="N146" s="5">
        <f>VLOOKUP($B146,'Data Vlaue (Cr)'!$C:$FB,67)</f>
        <v>1021</v>
      </c>
      <c r="O146" s="5">
        <f>VLOOKUP($B146,'Data Vlaue (Cr)'!$C:$FB,68)</f>
        <v>1111</v>
      </c>
      <c r="P146" s="5">
        <f t="shared" si="53"/>
        <v>-8.8148873653281097</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Automobile</v>
      </c>
      <c r="B147" s="79" t="str">
        <f>'Data shares'!C142</f>
        <v>MARUTI</v>
      </c>
      <c r="C147" s="4">
        <f>VLOOKUP($B147,'Data shares'!$C:$FB,7)</f>
        <v>12608</v>
      </c>
      <c r="D147" s="82">
        <f>VLOOKUP($B147,'Data shares'!$C:$FB,98)</f>
        <v>4353200</v>
      </c>
      <c r="E147" s="165">
        <f>VLOOKUP(B147,'Snapshot (Volume)'!$A$7:$G$168,7,0)</f>
        <v>6811050</v>
      </c>
      <c r="F147" s="165">
        <f t="shared" si="49"/>
        <v>-2457850</v>
      </c>
      <c r="G147" s="166">
        <f t="shared" si="50"/>
        <v>-0.36086212845302851</v>
      </c>
      <c r="H147" s="165">
        <f>VLOOKUP($B147,'Data shares'!$C:$FB,66)</f>
        <v>12456750</v>
      </c>
      <c r="I147" s="165">
        <f>VLOOKUP($B147,'Data shares'!$C:$FB,67)</f>
        <v>9518600</v>
      </c>
      <c r="J147" s="81">
        <f t="shared" si="51"/>
        <v>30.867459500346691</v>
      </c>
      <c r="K147" s="5">
        <f>VLOOKUP($B147,'Data Vlaue (Cr)'!$C:$FB,99)</f>
        <v>5464</v>
      </c>
      <c r="L147" s="81">
        <f>VLOOKUP(B147,'OI(Value)'!$A$7:$C$209,3,0)</f>
        <v>-3085</v>
      </c>
      <c r="M147" s="33">
        <f t="shared" si="52"/>
        <v>-56.46046852122987</v>
      </c>
      <c r="N147" s="5">
        <f>VLOOKUP($B147,'Data Vlaue (Cr)'!$C:$FB,67)</f>
        <v>15634</v>
      </c>
      <c r="O147" s="5">
        <f>VLOOKUP($B147,'Data Vlaue (Cr)'!$C:$FB,68)</f>
        <v>11947</v>
      </c>
      <c r="P147" s="5">
        <f t="shared" si="53"/>
        <v>23.583216067545091</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Pharma</v>
      </c>
      <c r="B148" s="79" t="str">
        <f>'Data shares'!C143</f>
        <v>MAXHEALTH</v>
      </c>
      <c r="C148" s="4">
        <f>VLOOKUP($B148,'Data shares'!$C:$FB,7)</f>
        <v>1246</v>
      </c>
      <c r="D148" s="82">
        <f>VLOOKUP($B148,'Data shares'!$C:$FB,98)</f>
        <v>11850825</v>
      </c>
      <c r="E148" s="165">
        <f>VLOOKUP(B148,'Snapshot (Volume)'!$A$7:$G$168,7,0)</f>
        <v>14864325</v>
      </c>
      <c r="F148" s="165">
        <f t="shared" si="49"/>
        <v>-3013500</v>
      </c>
      <c r="G148" s="166">
        <f t="shared" si="50"/>
        <v>-0.20273372655670541</v>
      </c>
      <c r="H148" s="165">
        <f>VLOOKUP($B148,'Data shares'!$C:$FB,66)</f>
        <v>8153775</v>
      </c>
      <c r="I148" s="165">
        <f>VLOOKUP($B148,'Data shares'!$C:$FB,67)</f>
        <v>10977225</v>
      </c>
      <c r="J148" s="81">
        <f t="shared" si="51"/>
        <v>-25.720981395571286</v>
      </c>
      <c r="K148" s="5">
        <f>VLOOKUP($B148,'Data Vlaue (Cr)'!$C:$FB,99)</f>
        <v>1483</v>
      </c>
      <c r="L148" s="81">
        <f>VLOOKUP(B148,'OI(Value)'!$A$7:$C$209,3,0)</f>
        <v>-377</v>
      </c>
      <c r="M148" s="33">
        <f t="shared" si="52"/>
        <v>-25.421443020903574</v>
      </c>
      <c r="N148" s="5">
        <f>VLOOKUP($B148,'Data Vlaue (Cr)'!$C:$FB,67)</f>
        <v>1020</v>
      </c>
      <c r="O148" s="5">
        <f>VLOOKUP($B148,'Data Vlaue (Cr)'!$C:$FB,68)</f>
        <v>1374</v>
      </c>
      <c r="P148" s="5">
        <f t="shared" si="53"/>
        <v>-34.705882352941174</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Infrastructure</v>
      </c>
      <c r="B149" s="79" t="str">
        <f>'Data shares'!C144</f>
        <v>MAZDOCK</v>
      </c>
      <c r="C149" s="4">
        <f>VLOOKUP($B149,'Data shares'!$C:$FB,7)</f>
        <v>2771.2</v>
      </c>
      <c r="D149" s="82">
        <f>VLOOKUP($B149,'Data shares'!$C:$FB,98)</f>
        <v>4678975</v>
      </c>
      <c r="E149" s="165">
        <f>VLOOKUP(B149,'Snapshot (Volume)'!$A$7:$G$168,7,0)</f>
        <v>7770700</v>
      </c>
      <c r="F149" s="165">
        <f t="shared" si="49"/>
        <v>-3091725</v>
      </c>
      <c r="G149" s="166">
        <f t="shared" si="50"/>
        <v>-0.39786956130078371</v>
      </c>
      <c r="H149" s="165">
        <f>VLOOKUP($B149,'Data shares'!$C:$FB,66)</f>
        <v>9356200</v>
      </c>
      <c r="I149" s="165">
        <f>VLOOKUP($B149,'Data shares'!$C:$FB,67)</f>
        <v>10147200</v>
      </c>
      <c r="J149" s="81">
        <f t="shared" si="51"/>
        <v>-7.7952538631346577</v>
      </c>
      <c r="K149" s="5">
        <f>VLOOKUP($B149,'Data Vlaue (Cr)'!$C:$FB,99)</f>
        <v>1300</v>
      </c>
      <c r="L149" s="81">
        <f>VLOOKUP(B149,'OI(Value)'!$A$7:$C$209,3,0)</f>
        <v>-859</v>
      </c>
      <c r="M149" s="33">
        <f t="shared" si="52"/>
        <v>-66.07692307692308</v>
      </c>
      <c r="N149" s="5">
        <f>VLOOKUP($B149,'Data Vlaue (Cr)'!$C:$FB,67)</f>
        <v>2600</v>
      </c>
      <c r="O149" s="5">
        <f>VLOOKUP($B149,'Data Vlaue (Cr)'!$C:$FB,68)</f>
        <v>2820</v>
      </c>
      <c r="P149" s="5">
        <f t="shared" si="53"/>
        <v>-8.4615384615384617</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Finance</v>
      </c>
      <c r="B150" s="79" t="str">
        <f>'Data shares'!C145</f>
        <v>MCX</v>
      </c>
      <c r="C150" s="4">
        <f>VLOOKUP($B150,'Data shares'!$C:$FB,7)</f>
        <v>7693</v>
      </c>
      <c r="D150" s="82">
        <f>VLOOKUP($B150,'Data shares'!$C:$FB,98)</f>
        <v>3710125</v>
      </c>
      <c r="E150" s="165">
        <f>VLOOKUP(B150,'Snapshot (Volume)'!$A$7:$G$168,7,0)</f>
        <v>6983125</v>
      </c>
      <c r="F150" s="165">
        <f t="shared" si="49"/>
        <v>-3273000</v>
      </c>
      <c r="G150" s="166">
        <f t="shared" si="50"/>
        <v>-0.46870133357200394</v>
      </c>
      <c r="H150" s="165">
        <f>VLOOKUP($B150,'Data shares'!$C:$FB,66)</f>
        <v>6898125</v>
      </c>
      <c r="I150" s="165">
        <f>VLOOKUP($B150,'Data shares'!$C:$FB,67)</f>
        <v>7934875</v>
      </c>
      <c r="J150" s="81">
        <f t="shared" si="51"/>
        <v>-13.065738275650215</v>
      </c>
      <c r="K150" s="5">
        <f>VLOOKUP($B150,'Data Vlaue (Cr)'!$C:$FB,99)</f>
        <v>2856</v>
      </c>
      <c r="L150" s="81">
        <f>VLOOKUP(B150,'OI(Value)'!$A$7:$C$209,3,0)</f>
        <v>-2519</v>
      </c>
      <c r="M150" s="33">
        <f t="shared" si="52"/>
        <v>-88.200280112044823</v>
      </c>
      <c r="N150" s="5">
        <f>VLOOKUP($B150,'Data Vlaue (Cr)'!$C:$FB,67)</f>
        <v>5310</v>
      </c>
      <c r="O150" s="5">
        <f>VLOOKUP($B150,'Data Vlaue (Cr)'!$C:$FB,68)</f>
        <v>6108</v>
      </c>
      <c r="P150" s="5">
        <f t="shared" si="53"/>
        <v>-15.028248587570623</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Finance</v>
      </c>
      <c r="B151" s="79" t="str">
        <f>'Data shares'!C146</f>
        <v>MFSL</v>
      </c>
      <c r="C151" s="4">
        <f>VLOOKUP($B151,'Data shares'!$C:$FB,7)</f>
        <v>1501.4</v>
      </c>
      <c r="D151" s="82">
        <f>VLOOKUP($B151,'Data shares'!$C:$FB,98)</f>
        <v>5884800</v>
      </c>
      <c r="E151" s="165">
        <f>VLOOKUP(B151,'Snapshot (Volume)'!$A$7:$G$168,7,0)</f>
        <v>8743200</v>
      </c>
      <c r="F151" s="165">
        <f t="shared" si="49"/>
        <v>-2858400</v>
      </c>
      <c r="G151" s="166">
        <f t="shared" si="50"/>
        <v>-0.32692835575075485</v>
      </c>
      <c r="H151" s="165">
        <f>VLOOKUP($B151,'Data shares'!$C:$FB,66)</f>
        <v>4313600</v>
      </c>
      <c r="I151" s="165">
        <f>VLOOKUP($B151,'Data shares'!$C:$FB,67)</f>
        <v>6964800</v>
      </c>
      <c r="J151" s="81">
        <f t="shared" si="51"/>
        <v>-38.065701814840338</v>
      </c>
      <c r="K151" s="5">
        <f>VLOOKUP($B151,'Data Vlaue (Cr)'!$C:$FB,99)</f>
        <v>887</v>
      </c>
      <c r="L151" s="81">
        <f>VLOOKUP(B151,'OI(Value)'!$A$7:$C$209,3,0)</f>
        <v>-431</v>
      </c>
      <c r="M151" s="33">
        <f t="shared" si="52"/>
        <v>-48.590755355129652</v>
      </c>
      <c r="N151" s="5">
        <f>VLOOKUP($B151,'Data Vlaue (Cr)'!$C:$FB,67)</f>
        <v>650</v>
      </c>
      <c r="O151" s="5">
        <f>VLOOKUP($B151,'Data Vlaue (Cr)'!$C:$FB,68)</f>
        <v>1050</v>
      </c>
      <c r="P151" s="5">
        <f t="shared" si="53"/>
        <v>-61.53846153846154</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Oil_Gas</v>
      </c>
      <c r="B152" s="79" t="str">
        <f>'Data shares'!C147</f>
        <v>MGL</v>
      </c>
      <c r="C152" s="4">
        <f>VLOOKUP($B152,'Data shares'!$C:$FB,7)</f>
        <v>1358.1</v>
      </c>
      <c r="D152" s="82">
        <f>VLOOKUP($B152,'Data shares'!$C:$FB,98)</f>
        <v>2304800</v>
      </c>
      <c r="E152" s="165">
        <f>VLOOKUP(B152,'Snapshot (Volume)'!$A$7:$G$168,7,0)</f>
        <v>3681200</v>
      </c>
      <c r="F152" s="165">
        <f t="shared" si="49"/>
        <v>-1376400</v>
      </c>
      <c r="G152" s="166">
        <f t="shared" si="50"/>
        <v>-0.37389981527762683</v>
      </c>
      <c r="H152" s="165">
        <f>VLOOKUP($B152,'Data shares'!$C:$FB,66)</f>
        <v>2914800</v>
      </c>
      <c r="I152" s="165">
        <f>VLOOKUP($B152,'Data shares'!$C:$FB,67)</f>
        <v>5013600</v>
      </c>
      <c r="J152" s="81">
        <f t="shared" si="51"/>
        <v>-41.862134992819534</v>
      </c>
      <c r="K152" s="5">
        <f>VLOOKUP($B152,'Data Vlaue (Cr)'!$C:$FB,99)</f>
        <v>0</v>
      </c>
      <c r="L152" s="81">
        <f>VLOOKUP(B152,'OI(Value)'!$A$7:$C$209,3,0)</f>
        <v>0</v>
      </c>
      <c r="M152" s="33" t="e">
        <f t="shared" si="52"/>
        <v>#DIV/0!</v>
      </c>
      <c r="N152" s="5">
        <f>VLOOKUP($B152,'Data Vlaue (Cr)'!$C:$FB,67)</f>
        <v>0</v>
      </c>
      <c r="O152" s="5">
        <f>VLOOKUP($B152,'Data Vlaue (Cr)'!$C:$FB,68)</f>
        <v>0</v>
      </c>
      <c r="P152" s="5" t="e">
        <f t="shared" si="53"/>
        <v>#DIV/0!</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Index</v>
      </c>
      <c r="B153" s="79" t="str">
        <f>'Data shares'!C148</f>
        <v>MIDCPNIFTY</v>
      </c>
      <c r="C153" s="4">
        <f>VLOOKUP($B153,'Data shares'!$C:$FB,7)</f>
        <v>12867.1</v>
      </c>
      <c r="D153" s="82">
        <f>VLOOKUP($B153,'Data shares'!$C:$FB,98)</f>
        <v>5482540</v>
      </c>
      <c r="E153" s="165">
        <f>VLOOKUP(B153,'Snapshot (Volume)'!$A$7:$G$168,7,0)</f>
        <v>37076340</v>
      </c>
      <c r="F153" s="165">
        <f>D153-E153</f>
        <v>-31593800</v>
      </c>
      <c r="G153" s="166">
        <f t="shared" si="50"/>
        <v>-0.85212833844980385</v>
      </c>
      <c r="H153" s="165">
        <f>VLOOKUP($B153,'Data shares'!$C:$FB,66)</f>
        <v>1537693500</v>
      </c>
      <c r="I153" s="165">
        <f>VLOOKUP($B153,'Data shares'!$C:$FB,67)</f>
        <v>417705540</v>
      </c>
      <c r="J153" s="81">
        <f t="shared" si="51"/>
        <v>268.12858646787402</v>
      </c>
      <c r="K153" s="5">
        <f>VLOOKUP($B153,'Data Vlaue (Cr)'!$C:$FB,99)</f>
        <v>7084</v>
      </c>
      <c r="L153" s="81">
        <f>VLOOKUP(B153,'OI(Value)'!$A$7:$C$209,3,0)</f>
        <v>-40821</v>
      </c>
      <c r="M153" s="33">
        <f t="shared" si="52"/>
        <v>-576.24223602484471</v>
      </c>
      <c r="N153" s="5">
        <f>VLOOKUP($B153,'Data Vlaue (Cr)'!$C:$FB,67)</f>
        <v>1986800</v>
      </c>
      <c r="O153" s="5">
        <f>VLOOKUP($B153,'Data Vlaue (Cr)'!$C:$FB,68)</f>
        <v>539703</v>
      </c>
      <c r="P153" s="5">
        <f>(N153-O153)/N153*100</f>
        <v>72.835564727199525</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Automobile</v>
      </c>
      <c r="B154" s="79" t="str">
        <f>'Data shares'!C149</f>
        <v>MOTHERSON</v>
      </c>
      <c r="C154" s="4">
        <f>VLOOKUP($B154,'Data shares'!$C:$FB,7)</f>
        <v>97.17</v>
      </c>
      <c r="D154" s="82">
        <f>VLOOKUP($B154,'Data shares'!$C:$FB,98)</f>
        <v>187827150</v>
      </c>
      <c r="E154" s="165">
        <f>VLOOKUP(B154,'Snapshot (Volume)'!$A$7:$G$168,7,0)</f>
        <v>230606550</v>
      </c>
      <c r="F154" s="165">
        <f t="shared" ref="F154:F166" si="54">D154-E154</f>
        <v>-42779400</v>
      </c>
      <c r="G154" s="166">
        <f t="shared" ref="G154:G166" si="55">F154/E154</f>
        <v>-0.18550817398725231</v>
      </c>
      <c r="H154" s="165">
        <f>VLOOKUP($B154,'Data shares'!$C:$FB,66)</f>
        <v>136726800</v>
      </c>
      <c r="I154" s="165">
        <f>VLOOKUP($B154,'Data shares'!$C:$FB,67)</f>
        <v>161572800</v>
      </c>
      <c r="J154" s="81">
        <f t="shared" ref="J154:J166" si="56">(H154-I154)/I154*100</f>
        <v>-15.377588306942751</v>
      </c>
      <c r="K154" s="5">
        <f>VLOOKUP($B154,'Data Vlaue (Cr)'!$C:$FB,99)</f>
        <v>1835</v>
      </c>
      <c r="L154" s="81">
        <f>VLOOKUP(B154,'OI(Value)'!$A$7:$C$209,3,0)</f>
        <v>-418</v>
      </c>
      <c r="M154" s="33">
        <f t="shared" ref="M154:M166" si="57">L154/K154*100</f>
        <v>-22.779291553133515</v>
      </c>
      <c r="N154" s="5">
        <f>VLOOKUP($B154,'Data Vlaue (Cr)'!$C:$FB,67)</f>
        <v>1336</v>
      </c>
      <c r="O154" s="5">
        <f>VLOOKUP($B154,'Data Vlaue (Cr)'!$C:$FB,68)</f>
        <v>1578</v>
      </c>
      <c r="P154" s="5">
        <f t="shared" ref="P154:P161" si="58">(N154-O154)/N154*100</f>
        <v>-18.113772455089823</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Technology</v>
      </c>
      <c r="B155" s="79" t="str">
        <f>'Data shares'!C150</f>
        <v>MPHASIS</v>
      </c>
      <c r="C155" s="4">
        <f>VLOOKUP($B155,'Data shares'!$C:$FB,7)</f>
        <v>2790.2</v>
      </c>
      <c r="D155" s="82">
        <f>VLOOKUP($B155,'Data shares'!$C:$FB,98)</f>
        <v>4690950</v>
      </c>
      <c r="E155" s="165">
        <f>VLOOKUP(B155,'Snapshot (Volume)'!$A$7:$G$168,7,0)</f>
        <v>6914600</v>
      </c>
      <c r="F155" s="165">
        <f t="shared" si="54"/>
        <v>-2223650</v>
      </c>
      <c r="G155" s="166">
        <f t="shared" si="55"/>
        <v>-0.32158765510658605</v>
      </c>
      <c r="H155" s="165">
        <f>VLOOKUP($B155,'Data shares'!$C:$FB,66)</f>
        <v>5339125</v>
      </c>
      <c r="I155" s="165">
        <f>VLOOKUP($B155,'Data shares'!$C:$FB,67)</f>
        <v>9847200</v>
      </c>
      <c r="J155" s="81">
        <f t="shared" si="56"/>
        <v>-45.780272564789989</v>
      </c>
      <c r="K155" s="5">
        <f>VLOOKUP($B155,'Data Vlaue (Cr)'!$C:$FB,99)</f>
        <v>1313</v>
      </c>
      <c r="L155" s="81">
        <f>VLOOKUP(B155,'OI(Value)'!$A$7:$C$209,3,0)</f>
        <v>-622</v>
      </c>
      <c r="M155" s="33">
        <f t="shared" si="57"/>
        <v>-47.372429550647368</v>
      </c>
      <c r="N155" s="5">
        <f>VLOOKUP($B155,'Data Vlaue (Cr)'!$C:$FB,67)</f>
        <v>1494</v>
      </c>
      <c r="O155" s="5">
        <f>VLOOKUP($B155,'Data Vlaue (Cr)'!$C:$FB,68)</f>
        <v>2756</v>
      </c>
      <c r="P155" s="5">
        <f t="shared" si="58"/>
        <v>-84.471218206157957</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Finance</v>
      </c>
      <c r="B156" s="79" t="str">
        <f>'Data shares'!C151</f>
        <v>MUTHOOTFIN</v>
      </c>
      <c r="C156" s="4">
        <f>VLOOKUP($B156,'Data shares'!$C:$FB,7)</f>
        <v>2612.3000000000002</v>
      </c>
      <c r="D156" s="82">
        <f>VLOOKUP($B156,'Data shares'!$C:$FB,98)</f>
        <v>4923325</v>
      </c>
      <c r="E156" s="165">
        <f>VLOOKUP(B156,'Snapshot (Volume)'!$A$7:$G$168,7,0)</f>
        <v>8865175</v>
      </c>
      <c r="F156" s="165">
        <f t="shared" si="54"/>
        <v>-3941850</v>
      </c>
      <c r="G156" s="166">
        <f t="shared" si="55"/>
        <v>-0.44464435276235381</v>
      </c>
      <c r="H156" s="165">
        <f>VLOOKUP($B156,'Data shares'!$C:$FB,66)</f>
        <v>6226550</v>
      </c>
      <c r="I156" s="165">
        <f>VLOOKUP($B156,'Data shares'!$C:$FB,67)</f>
        <v>5035250</v>
      </c>
      <c r="J156" s="81">
        <f t="shared" si="56"/>
        <v>23.659202621518297</v>
      </c>
      <c r="K156" s="5">
        <f>VLOOKUP($B156,'Data Vlaue (Cr)'!$C:$FB,99)</f>
        <v>1290</v>
      </c>
      <c r="L156" s="81">
        <f>VLOOKUP(B156,'OI(Value)'!$A$7:$C$209,3,0)</f>
        <v>-1033</v>
      </c>
      <c r="M156" s="33">
        <f t="shared" si="57"/>
        <v>-80.077519379844958</v>
      </c>
      <c r="N156" s="5">
        <f>VLOOKUP($B156,'Data Vlaue (Cr)'!$C:$FB,67)</f>
        <v>1631</v>
      </c>
      <c r="O156" s="5">
        <f>VLOOKUP($B156,'Data Vlaue (Cr)'!$C:$FB,68)</f>
        <v>1319</v>
      </c>
      <c r="P156" s="5">
        <f t="shared" si="58"/>
        <v>19.129368485591662</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Metals</v>
      </c>
      <c r="B157" s="79" t="str">
        <f>'Data shares'!C152</f>
        <v>NATIONALUM</v>
      </c>
      <c r="C157" s="4">
        <f>VLOOKUP($B157,'Data shares'!$C:$FB,7)</f>
        <v>185.06</v>
      </c>
      <c r="D157" s="82">
        <f>VLOOKUP($B157,'Data shares'!$C:$FB,98)</f>
        <v>90780000</v>
      </c>
      <c r="E157" s="165">
        <f>VLOOKUP(B157,'Snapshot (Volume)'!$A$7:$G$168,7,0)</f>
        <v>107493750</v>
      </c>
      <c r="F157" s="165">
        <f t="shared" si="54"/>
        <v>-16713750</v>
      </c>
      <c r="G157" s="166">
        <f t="shared" si="55"/>
        <v>-0.15548578405721264</v>
      </c>
      <c r="H157" s="165">
        <f>VLOOKUP($B157,'Data shares'!$C:$FB,66)</f>
        <v>96607500</v>
      </c>
      <c r="I157" s="165">
        <f>VLOOKUP($B157,'Data shares'!$C:$FB,67)</f>
        <v>74456250</v>
      </c>
      <c r="J157" s="81">
        <f t="shared" si="56"/>
        <v>29.750692520775623</v>
      </c>
      <c r="K157" s="5">
        <f>VLOOKUP($B157,'Data Vlaue (Cr)'!$C:$FB,99)</f>
        <v>1688</v>
      </c>
      <c r="L157" s="81">
        <f>VLOOKUP(B157,'OI(Value)'!$A$7:$C$209,3,0)</f>
        <v>-311</v>
      </c>
      <c r="M157" s="33">
        <f t="shared" si="57"/>
        <v>-18.424170616113745</v>
      </c>
      <c r="N157" s="5">
        <f>VLOOKUP($B157,'Data Vlaue (Cr)'!$C:$FB,67)</f>
        <v>1796</v>
      </c>
      <c r="O157" s="5">
        <f>VLOOKUP($B157,'Data Vlaue (Cr)'!$C:$FB,68)</f>
        <v>1384</v>
      </c>
      <c r="P157" s="5">
        <f t="shared" si="58"/>
        <v>22.939866369710469</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New_Age</v>
      </c>
      <c r="B158" s="79" t="str">
        <f>'Data shares'!C153</f>
        <v>NAUKRI</v>
      </c>
      <c r="C158" s="4">
        <f>VLOOKUP($B158,'Data shares'!$C:$FB,7)</f>
        <v>1392.3</v>
      </c>
      <c r="D158" s="82">
        <f>VLOOKUP($B158,'Data shares'!$C:$FB,98)</f>
        <v>11896500</v>
      </c>
      <c r="E158" s="165">
        <f>VLOOKUP(B158,'Snapshot (Volume)'!$A$7:$G$168,7,0)</f>
        <v>15359250</v>
      </c>
      <c r="F158" s="165">
        <f t="shared" si="54"/>
        <v>-3462750</v>
      </c>
      <c r="G158" s="166">
        <f t="shared" si="55"/>
        <v>-0.22545046144831291</v>
      </c>
      <c r="H158" s="165">
        <f>VLOOKUP($B158,'Data shares'!$C:$FB,66)</f>
        <v>4625250</v>
      </c>
      <c r="I158" s="165">
        <f>VLOOKUP($B158,'Data shares'!$C:$FB,67)</f>
        <v>14045625</v>
      </c>
      <c r="J158" s="81">
        <f t="shared" si="56"/>
        <v>-67.069817113869973</v>
      </c>
      <c r="K158" s="5">
        <f>VLOOKUP($B158,'Data Vlaue (Cr)'!$C:$FB,99)</f>
        <v>1664</v>
      </c>
      <c r="L158" s="81">
        <f>VLOOKUP(B158,'OI(Value)'!$A$7:$C$209,3,0)</f>
        <v>-484</v>
      </c>
      <c r="M158" s="33">
        <f t="shared" si="57"/>
        <v>-29.086538461538463</v>
      </c>
      <c r="N158" s="5">
        <f>VLOOKUP($B158,'Data Vlaue (Cr)'!$C:$FB,67)</f>
        <v>647</v>
      </c>
      <c r="O158" s="5">
        <f>VLOOKUP($B158,'Data Vlaue (Cr)'!$C:$FB,68)</f>
        <v>1965</v>
      </c>
      <c r="P158" s="5">
        <f t="shared" si="58"/>
        <v>-203.70942812983</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Realty</v>
      </c>
      <c r="B159" s="79" t="str">
        <f>'Data shares'!C154</f>
        <v>NBCC</v>
      </c>
      <c r="C159" s="4">
        <f>VLOOKUP($B159,'Data shares'!$C:$FB,7)</f>
        <v>108.18</v>
      </c>
      <c r="D159" s="82">
        <f>VLOOKUP($B159,'Data shares'!$C:$FB,98)</f>
        <v>63836500</v>
      </c>
      <c r="E159" s="165">
        <f>VLOOKUP(B159,'Snapshot (Volume)'!$A$7:$G$168,7,0)</f>
        <v>101497500</v>
      </c>
      <c r="F159" s="165">
        <f t="shared" si="54"/>
        <v>-37661000</v>
      </c>
      <c r="G159" s="166">
        <f t="shared" si="55"/>
        <v>-0.37105347422350304</v>
      </c>
      <c r="H159" s="165">
        <f>VLOOKUP($B159,'Data shares'!$C:$FB,66)</f>
        <v>61925500</v>
      </c>
      <c r="I159" s="165">
        <f>VLOOKUP($B159,'Data shares'!$C:$FB,67)</f>
        <v>42120000</v>
      </c>
      <c r="J159" s="81">
        <f t="shared" si="56"/>
        <v>47.021604938271608</v>
      </c>
      <c r="K159" s="5">
        <f>VLOOKUP($B159,'Data Vlaue (Cr)'!$C:$FB,99)</f>
        <v>694</v>
      </c>
      <c r="L159" s="81">
        <f>VLOOKUP(B159,'OI(Value)'!$A$7:$C$209,3,0)</f>
        <v>-409</v>
      </c>
      <c r="M159" s="33">
        <f t="shared" si="57"/>
        <v>-58.933717579250725</v>
      </c>
      <c r="N159" s="5">
        <f>VLOOKUP($B159,'Data Vlaue (Cr)'!$C:$FB,67)</f>
        <v>673</v>
      </c>
      <c r="O159" s="5">
        <f>VLOOKUP($B159,'Data Vlaue (Cr)'!$C:$FB,68)</f>
        <v>458</v>
      </c>
      <c r="P159" s="5">
        <f t="shared" si="58"/>
        <v>31.946508172362552</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Infrastructure</v>
      </c>
      <c r="B160" s="79" t="str">
        <f>'Data shares'!C155</f>
        <v>NCC</v>
      </c>
      <c r="C160" s="4">
        <f>VLOOKUP($B160,'Data shares'!$C:$FB,7)</f>
        <v>217.71</v>
      </c>
      <c r="D160" s="82">
        <f>VLOOKUP($B160,'Data shares'!$C:$FB,98)</f>
        <v>18227700</v>
      </c>
      <c r="E160" s="165">
        <f>VLOOKUP(B160,'Snapshot (Volume)'!$A$7:$G$168,7,0)</f>
        <v>28765800</v>
      </c>
      <c r="F160" s="165">
        <f t="shared" si="54"/>
        <v>-10538100</v>
      </c>
      <c r="G160" s="166">
        <f t="shared" si="55"/>
        <v>-0.36634128027032098</v>
      </c>
      <c r="H160" s="165">
        <f>VLOOKUP($B160,'Data shares'!$C:$FB,66)</f>
        <v>17034300</v>
      </c>
      <c r="I160" s="165">
        <f>VLOOKUP($B160,'Data shares'!$C:$FB,67)</f>
        <v>21354300</v>
      </c>
      <c r="J160" s="81">
        <f t="shared" si="56"/>
        <v>-20.230117587558478</v>
      </c>
      <c r="K160" s="5">
        <f>VLOOKUP($B160,'Data Vlaue (Cr)'!$C:$FB,99)</f>
        <v>396</v>
      </c>
      <c r="L160" s="81">
        <f>VLOOKUP(B160,'OI(Value)'!$A$7:$C$209,3,0)</f>
        <v>-229</v>
      </c>
      <c r="M160" s="33">
        <f t="shared" si="57"/>
        <v>-57.828282828282831</v>
      </c>
      <c r="N160" s="5">
        <f>VLOOKUP($B160,'Data Vlaue (Cr)'!$C:$FB,67)</f>
        <v>370</v>
      </c>
      <c r="O160" s="5">
        <f>VLOOKUP($B160,'Data Vlaue (Cr)'!$C:$FB,68)</f>
        <v>464</v>
      </c>
      <c r="P160" s="5">
        <f t="shared" si="58"/>
        <v>-25.405405405405407</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FMCG</v>
      </c>
      <c r="B161" s="79" t="str">
        <f>'Data shares'!C156</f>
        <v>NESTLEIND</v>
      </c>
      <c r="C161" s="4">
        <f>VLOOKUP($B161,'Data shares'!$C:$FB,7)</f>
        <v>2247.6999999999998</v>
      </c>
      <c r="D161" s="82">
        <f>VLOOKUP($B161,'Data shares'!$C:$FB,98)</f>
        <v>13100250</v>
      </c>
      <c r="E161" s="165">
        <f>VLOOKUP(B161,'Snapshot (Volume)'!$A$7:$G$168,7,0)</f>
        <v>17412000</v>
      </c>
      <c r="F161" s="165">
        <f t="shared" si="54"/>
        <v>-4311750</v>
      </c>
      <c r="G161" s="166">
        <f t="shared" si="55"/>
        <v>-0.24763094417643006</v>
      </c>
      <c r="H161" s="165">
        <f>VLOOKUP($B161,'Data shares'!$C:$FB,66)</f>
        <v>8693250</v>
      </c>
      <c r="I161" s="165">
        <f>VLOOKUP($B161,'Data shares'!$C:$FB,67)</f>
        <v>9592000</v>
      </c>
      <c r="J161" s="81">
        <f t="shared" si="56"/>
        <v>-9.3697873227689747</v>
      </c>
      <c r="K161" s="5">
        <f>VLOOKUP($B161,'Data Vlaue (Cr)'!$C:$FB,99)</f>
        <v>2958</v>
      </c>
      <c r="L161" s="81">
        <f>VLOOKUP(B161,'OI(Value)'!$A$7:$C$209,3,0)</f>
        <v>-974</v>
      </c>
      <c r="M161" s="33">
        <f t="shared" si="57"/>
        <v>-32.927653820148748</v>
      </c>
      <c r="N161" s="5">
        <f>VLOOKUP($B161,'Data Vlaue (Cr)'!$C:$FB,67)</f>
        <v>1963</v>
      </c>
      <c r="O161" s="5">
        <f>VLOOKUP($B161,'Data Vlaue (Cr)'!$C:$FB,68)</f>
        <v>2166</v>
      </c>
      <c r="P161" s="5">
        <f t="shared" si="58"/>
        <v>-10.341314314824249</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Power</v>
      </c>
      <c r="B162" s="79" t="str">
        <f>'Data shares'!C157</f>
        <v>NHPC</v>
      </c>
      <c r="C162" s="4">
        <f>VLOOKUP($B162,'Data shares'!$C:$FB,7)</f>
        <v>83.25</v>
      </c>
      <c r="D162" s="82">
        <f>VLOOKUP($B162,'Data shares'!$C:$FB,98)</f>
        <v>62572800</v>
      </c>
      <c r="E162" s="165">
        <f>VLOOKUP(B162,'Snapshot (Volume)'!$A$7:$G$168,7,0)</f>
        <v>98995200</v>
      </c>
      <c r="F162" s="165">
        <f t="shared" si="54"/>
        <v>-36422400</v>
      </c>
      <c r="G162" s="166">
        <f t="shared" si="55"/>
        <v>-0.36792086889061287</v>
      </c>
      <c r="H162" s="165">
        <f>VLOOKUP($B162,'Data shares'!$C:$FB,66)</f>
        <v>42150400</v>
      </c>
      <c r="I162" s="165">
        <f>VLOOKUP($B162,'Data shares'!$C:$FB,67)</f>
        <v>43481600</v>
      </c>
      <c r="J162" s="81">
        <f t="shared" si="56"/>
        <v>-3.0615248748896087</v>
      </c>
      <c r="K162" s="5">
        <f>VLOOKUP($B162,'Data Vlaue (Cr)'!$C:$FB,99)</f>
        <v>521</v>
      </c>
      <c r="L162" s="81">
        <f>VLOOKUP(B162,'OI(Value)'!$A$7:$C$209,3,0)</f>
        <v>-303</v>
      </c>
      <c r="M162" s="33">
        <f t="shared" si="57"/>
        <v>-58.157389635316704</v>
      </c>
      <c r="N162" s="5">
        <f>VLOOKUP($B162,'Data Vlaue (Cr)'!$C:$FB,67)</f>
        <v>351</v>
      </c>
      <c r="O162" s="5">
        <f>VLOOKUP($B162,'Data Vlaue (Cr)'!$C:$FB,68)</f>
        <v>362</v>
      </c>
      <c r="P162" s="5">
        <f>(N162-O162)/N162*100</f>
        <v>-3.133903133903134</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Index</v>
      </c>
      <c r="B163" s="79" t="str">
        <f>'Data shares'!C158</f>
        <v>NIFTY</v>
      </c>
      <c r="C163" s="4">
        <f>VLOOKUP($B163,'Data shares'!$C:$FB,7)</f>
        <v>24768.35</v>
      </c>
      <c r="D163" s="82">
        <f>VLOOKUP($B163,'Data shares'!$C:$FB,98)</f>
        <v>262017225</v>
      </c>
      <c r="E163" s="165">
        <f>VLOOKUP(B163,'Snapshot (Volume)'!$A$7:$G$168,7,0)</f>
        <v>519553250</v>
      </c>
      <c r="F163" s="165">
        <f t="shared" si="54"/>
        <v>-257536025</v>
      </c>
      <c r="G163" s="166">
        <f t="shared" si="55"/>
        <v>-0.49568744878412369</v>
      </c>
      <c r="H163" s="165">
        <f>VLOOKUP($B163,'Data shares'!$C:$FB,66)</f>
        <v>22012720575</v>
      </c>
      <c r="I163" s="165">
        <f>VLOOKUP($B163,'Data shares'!$C:$FB,67)</f>
        <v>7353876150</v>
      </c>
      <c r="J163" s="81">
        <f t="shared" si="56"/>
        <v>199.33493746695748</v>
      </c>
      <c r="K163" s="5">
        <f>VLOOKUP($B163,'Data Vlaue (Cr)'!$C:$FB,99)</f>
        <v>651679</v>
      </c>
      <c r="L163" s="81">
        <f>VLOOKUP(B163,'OI(Value)'!$A$7:$C$209,3,0)</f>
        <v>-640533</v>
      </c>
      <c r="M163" s="33">
        <f t="shared" si="57"/>
        <v>-98.289648738105726</v>
      </c>
      <c r="N163" s="5">
        <f>VLOOKUP($B163,'Data Vlaue (Cr)'!$C:$FB,67)</f>
        <v>54749158</v>
      </c>
      <c r="O163" s="5">
        <f>VLOOKUP($B163,'Data Vlaue (Cr)'!$C:$FB,68)</f>
        <v>18290267</v>
      </c>
      <c r="P163" s="5">
        <f>(N163-O163)/N163*100</f>
        <v>66.592605862541305</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Index</v>
      </c>
      <c r="B164" s="79" t="str">
        <f>'Data shares'!C159</f>
        <v>NIFTYNXT50</v>
      </c>
      <c r="C164" s="4">
        <f>VLOOKUP($B164,'Data shares'!$C:$FB,7)</f>
        <v>67096.149999999994</v>
      </c>
      <c r="D164" s="82">
        <f>VLOOKUP($B164,'Data shares'!$C:$FB,98)</f>
        <v>20425</v>
      </c>
      <c r="E164" s="165">
        <f>VLOOKUP(B164,'Snapshot (Volume)'!$A$7:$G$168,7,0)</f>
        <v>62175</v>
      </c>
      <c r="F164" s="165">
        <f t="shared" si="54"/>
        <v>-41750</v>
      </c>
      <c r="G164" s="166">
        <f t="shared" si="55"/>
        <v>-0.67149175713711295</v>
      </c>
      <c r="H164" s="165">
        <f>VLOOKUP($B164,'Data shares'!$C:$FB,66)</f>
        <v>493175</v>
      </c>
      <c r="I164" s="165">
        <f>VLOOKUP($B164,'Data shares'!$C:$FB,67)</f>
        <v>105075</v>
      </c>
      <c r="J164" s="81">
        <f t="shared" si="56"/>
        <v>369.3552224601475</v>
      </c>
      <c r="K164" s="5">
        <f>VLOOKUP($B164,'Data Vlaue (Cr)'!$C:$FB,99)</f>
        <v>137</v>
      </c>
      <c r="L164" s="81">
        <f>VLOOKUP(B164,'OI(Value)'!$A$7:$C$209,3,0)</f>
        <v>-281</v>
      </c>
      <c r="M164" s="33">
        <f t="shared" si="57"/>
        <v>-205.1094890510949</v>
      </c>
      <c r="N164" s="5">
        <f>VLOOKUP($B164,'Data Vlaue (Cr)'!$C:$FB,67)</f>
        <v>3316</v>
      </c>
      <c r="O164" s="5">
        <f>VLOOKUP($B164,'Data Vlaue (Cr)'!$C:$FB,68)</f>
        <v>706</v>
      </c>
      <c r="P164" s="5">
        <f>(N164-O164)/N164*100</f>
        <v>78.709288299155617</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shares'!B231</f>
        <v>Pharma</v>
      </c>
      <c r="B166" s="79" t="str">
        <f>'Data shares'!C231</f>
        <v>ZYDUSLIFE</v>
      </c>
      <c r="C166" s="4">
        <f>VLOOKUP($B166,'Data shares'!$C:$FB,7)</f>
        <v>969.8</v>
      </c>
      <c r="D166" s="82">
        <f>VLOOKUP($B166,'Data shares'!$C:$FB,98)</f>
        <v>10848600</v>
      </c>
      <c r="E166" s="165" t="e">
        <f>VLOOKUP(B166,'Snapshot (Volume)'!$A$7:$G$168,7,0)</f>
        <v>#N/A</v>
      </c>
      <c r="F166" s="165" t="e">
        <f t="shared" si="54"/>
        <v>#N/A</v>
      </c>
      <c r="G166" s="166" t="e">
        <f t="shared" si="55"/>
        <v>#N/A</v>
      </c>
      <c r="H166" s="165">
        <f>VLOOKUP($B166,'Data shares'!$C:$FB,66)</f>
        <v>12847500</v>
      </c>
      <c r="I166" s="165">
        <f>VLOOKUP($B166,'Data shares'!$C:$FB,67)</f>
        <v>8752500</v>
      </c>
      <c r="J166" s="81">
        <f t="shared" si="56"/>
        <v>46.786632390745503</v>
      </c>
      <c r="K166" s="5">
        <f>VLOOKUP($B166,'Data Vlaue (Cr)'!$C:$FB,99)</f>
        <v>1055</v>
      </c>
      <c r="L166" s="81">
        <f>VLOOKUP(B166,'OI(Value)'!$A$7:$C$209,3,0)</f>
        <v>-421</v>
      </c>
      <c r="M166" s="33">
        <f t="shared" si="57"/>
        <v>-39.905213270142184</v>
      </c>
      <c r="N166" s="5">
        <f>VLOOKUP($B166,'Data Vlaue (Cr)'!$C:$FB,67)</f>
        <v>1250</v>
      </c>
      <c r="O166" s="5">
        <f>VLOOKUP($B166,'Data Vlaue (Cr)'!$C:$FB,68)</f>
        <v>851</v>
      </c>
      <c r="P166" s="5">
        <f>(N166-O166)/N166*100</f>
        <v>31.919999999999998</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3" activePane="bottomLeft" state="frozen"/>
      <selection pane="bottomLeft" sqref="A1:XFD1"/>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45869</v>
      </c>
      <c r="C6" s="71" t="s">
        <v>333</v>
      </c>
      <c r="D6" s="71" t="s">
        <v>328</v>
      </c>
      <c r="E6" s="66">
        <f>B6</f>
        <v>45869</v>
      </c>
      <c r="F6" s="71" t="s">
        <v>333</v>
      </c>
      <c r="G6" s="71" t="s">
        <v>328</v>
      </c>
      <c r="H6" s="66">
        <f>B6</f>
        <v>45869</v>
      </c>
      <c r="I6" s="71" t="s">
        <v>333</v>
      </c>
      <c r="J6" s="71" t="s">
        <v>328</v>
      </c>
      <c r="K6" s="66">
        <f>B6</f>
        <v>45869</v>
      </c>
      <c r="L6" s="71" t="s">
        <v>333</v>
      </c>
      <c r="M6" s="71" t="s">
        <v>328</v>
      </c>
      <c r="N6" s="71" t="s">
        <v>339</v>
      </c>
      <c r="O6" s="71" t="s">
        <v>328</v>
      </c>
    </row>
    <row r="7" spans="1:15" x14ac:dyDescent="0.25">
      <c r="A7" s="100" t="str">
        <f>'OI(Value)'!A7</f>
        <v>360ONE</v>
      </c>
      <c r="B7" s="82">
        <f>VLOOKUP(A7,'Data shares'!$C$2:$CV$231,98,0)</f>
        <v>6214000</v>
      </c>
      <c r="C7" s="82">
        <f>VLOOKUP(A7,'Data shares'!$C$2:$CX$231,100,0)</f>
        <v>-3566000</v>
      </c>
      <c r="D7" s="141">
        <f>VLOOKUP(A7,'Data shares'!$C$2:$CY$554,101,0)</f>
        <v>-0.36459999999999998</v>
      </c>
      <c r="E7" s="86">
        <f>VLOOKUP($A7,'Data shares'!$C:$FA,74)</f>
        <v>4766000</v>
      </c>
      <c r="F7" s="86">
        <f>VLOOKUP($A7,'Data shares'!$C:$FA,76)</f>
        <v>-1453000</v>
      </c>
      <c r="G7" s="87">
        <f>VLOOKUP(A7,'Data shares'!$C$2:$CA$231,77,0)</f>
        <v>-0.2336</v>
      </c>
      <c r="H7" s="86">
        <f>VLOOKUP($A7,'Data shares'!$C:$FA,90)</f>
        <v>828500</v>
      </c>
      <c r="I7" s="86">
        <f>VLOOKUP($A7,'Data shares'!$C:$FA,92)</f>
        <v>-1426500</v>
      </c>
      <c r="J7" s="87">
        <f>VLOOKUP($A7,'Data shares'!$C:$FA,93)</f>
        <v>-0.63260000000000005</v>
      </c>
      <c r="K7" s="86">
        <f>VLOOKUP($A7,'Data shares'!$C:$FA,94)</f>
        <v>619500</v>
      </c>
      <c r="L7" s="86">
        <f>VLOOKUP($A7,'Data shares'!$C:$FA,96)</f>
        <v>-686500</v>
      </c>
      <c r="M7" s="87">
        <f>VLOOKUP($A7,'Data shares'!$C:$FA,97)</f>
        <v>-0.52569999999999995</v>
      </c>
      <c r="N7" s="86">
        <f>VLOOKUP($A7,'Data shares'!$C:$FA,78)</f>
        <v>1809000</v>
      </c>
      <c r="O7" s="87">
        <f>VLOOKUP($A7,'Data shares'!$C:$FA,81)</f>
        <v>-0.157</v>
      </c>
    </row>
    <row r="8" spans="1:15" x14ac:dyDescent="0.25">
      <c r="A8" s="100" t="str">
        <f>'OI(Value)'!A8</f>
        <v>AARTIIND</v>
      </c>
      <c r="B8" s="82">
        <f>VLOOKUP(A8,'Data shares'!$C$2:$CV$231,98,0)</f>
        <v>8407125</v>
      </c>
      <c r="C8" s="82">
        <f>VLOOKUP(A8,'Data shares'!$C$2:$CX$231,100,0)</f>
        <v>-7377600</v>
      </c>
      <c r="D8" s="141">
        <f>VLOOKUP(A8,'Data shares'!$C$2:$CY$554,101,0)</f>
        <v>-0.46739999999999998</v>
      </c>
      <c r="E8" s="86">
        <f>VLOOKUP($A8,'Data shares'!$C:$FA,74)</f>
        <v>0</v>
      </c>
      <c r="F8" s="86">
        <f>VLOOKUP($A8,'Data shares'!$C:$FA,76)</f>
        <v>-5784950</v>
      </c>
      <c r="G8" s="87">
        <f>VLOOKUP(A8,'Data shares'!$C$2:$CA$231,77,0)</f>
        <v>-1</v>
      </c>
      <c r="H8" s="86">
        <f>VLOOKUP($A8,'Data shares'!$C:$FA,90)</f>
        <v>6145350</v>
      </c>
      <c r="I8" s="86">
        <f>VLOOKUP($A8,'Data shares'!$C:$FA,92)</f>
        <v>-867875</v>
      </c>
      <c r="J8" s="87">
        <f>VLOOKUP($A8,'Data shares'!$C:$FA,93)</f>
        <v>-0.1237</v>
      </c>
      <c r="K8" s="86">
        <f>VLOOKUP($A8,'Data shares'!$C:$FA,94)</f>
        <v>2261775</v>
      </c>
      <c r="L8" s="86">
        <f>VLOOKUP($A8,'Data shares'!$C:$FA,96)</f>
        <v>-724775</v>
      </c>
      <c r="M8" s="87">
        <f>VLOOKUP($A8,'Data shares'!$C:$FA,97)</f>
        <v>-0.2427</v>
      </c>
      <c r="N8" s="86">
        <f>VLOOKUP($A8,'Data shares'!$C:$FA,78)</f>
        <v>2447275</v>
      </c>
      <c r="O8" s="87">
        <f>VLOOKUP($A8,'Data shares'!$C:$FA,81)</f>
        <v>-0.57699999999999996</v>
      </c>
    </row>
    <row r="9" spans="1:15" x14ac:dyDescent="0.25">
      <c r="A9" s="100" t="str">
        <f>'OI(Value)'!A9</f>
        <v>ABB</v>
      </c>
      <c r="B9" s="82">
        <f>VLOOKUP(A9,'Data shares'!$C$2:$CV$231,98,0)</f>
        <v>3622625</v>
      </c>
      <c r="C9" s="82">
        <f>VLOOKUP(A9,'Data shares'!$C$2:$CX$231,100,0)</f>
        <v>-1549375</v>
      </c>
      <c r="D9" s="141">
        <f>VLOOKUP(A9,'Data shares'!$C$2:$CY$554,101,0)</f>
        <v>-0.29959999999999998</v>
      </c>
      <c r="E9" s="86">
        <f>VLOOKUP($A9,'Data shares'!$C:$FA,74)</f>
        <v>2730875</v>
      </c>
      <c r="F9" s="86">
        <f>VLOOKUP($A9,'Data shares'!$C:$FA,76)</f>
        <v>-142750</v>
      </c>
      <c r="G9" s="87">
        <f>VLOOKUP(A9,'Data shares'!$C$2:$CA$231,77,0)</f>
        <v>-4.9700000000000001E-2</v>
      </c>
      <c r="H9" s="86">
        <f>VLOOKUP($A9,'Data shares'!$C:$FA,90)</f>
        <v>417375</v>
      </c>
      <c r="I9" s="86">
        <f>VLOOKUP($A9,'Data shares'!$C:$FA,92)</f>
        <v>-1025375</v>
      </c>
      <c r="J9" s="87">
        <f>VLOOKUP($A9,'Data shares'!$C:$FA,93)</f>
        <v>-0.7107</v>
      </c>
      <c r="K9" s="86">
        <f>VLOOKUP($A9,'Data shares'!$C:$FA,94)</f>
        <v>474375</v>
      </c>
      <c r="L9" s="86">
        <f>VLOOKUP($A9,'Data shares'!$C:$FA,96)</f>
        <v>-381250</v>
      </c>
      <c r="M9" s="87">
        <f>VLOOKUP($A9,'Data shares'!$C:$FA,97)</f>
        <v>-0.4456</v>
      </c>
      <c r="N9" s="86">
        <f>VLOOKUP($A9,'Data shares'!$C:$FA,78)</f>
        <v>168875</v>
      </c>
      <c r="O9" s="87">
        <f>VLOOKUP($A9,'Data shares'!$C:$FA,81)</f>
        <v>-0.68420000000000003</v>
      </c>
    </row>
    <row r="10" spans="1:15" x14ac:dyDescent="0.25">
      <c r="A10" s="100" t="str">
        <f>'OI(Value)'!A10</f>
        <v>ABCAPITAL</v>
      </c>
      <c r="B10" s="82">
        <f>VLOOKUP(A10,'Data shares'!$C$2:$CV$231,98,0)</f>
        <v>68317800</v>
      </c>
      <c r="C10" s="82">
        <f>VLOOKUP(A10,'Data shares'!$C$2:$CX$231,100,0)</f>
        <v>-23262400</v>
      </c>
      <c r="D10" s="141">
        <f>VLOOKUP(A10,'Data shares'!$C$2:$CY$554,101,0)</f>
        <v>-0.254</v>
      </c>
      <c r="E10" s="86">
        <f>VLOOKUP($A10,'Data shares'!$C:$FA,74)</f>
        <v>51379400</v>
      </c>
      <c r="F10" s="86">
        <f>VLOOKUP($A10,'Data shares'!$C:$FA,76)</f>
        <v>-5204900</v>
      </c>
      <c r="G10" s="87">
        <f>VLOOKUP(A10,'Data shares'!$C$2:$CA$231,77,0)</f>
        <v>-9.1999999999999998E-2</v>
      </c>
      <c r="H10" s="86">
        <f>VLOOKUP($A10,'Data shares'!$C:$FA,90)</f>
        <v>10766300</v>
      </c>
      <c r="I10" s="86">
        <f>VLOOKUP($A10,'Data shares'!$C:$FA,92)</f>
        <v>-12350400</v>
      </c>
      <c r="J10" s="87">
        <f>VLOOKUP($A10,'Data shares'!$C:$FA,93)</f>
        <v>-0.5343</v>
      </c>
      <c r="K10" s="86">
        <f>VLOOKUP($A10,'Data shares'!$C:$FA,94)</f>
        <v>6172100</v>
      </c>
      <c r="L10" s="86">
        <f>VLOOKUP($A10,'Data shares'!$C:$FA,96)</f>
        <v>-5707100</v>
      </c>
      <c r="M10" s="87">
        <f>VLOOKUP($A10,'Data shares'!$C:$FA,97)</f>
        <v>-0.48039999999999999</v>
      </c>
      <c r="N10" s="86">
        <f>VLOOKUP($A10,'Data shares'!$C:$FA,78)</f>
        <v>2077000</v>
      </c>
      <c r="O10" s="87">
        <f>VLOOKUP($A10,'Data shares'!$C:$FA,81)</f>
        <v>-0.72360000000000002</v>
      </c>
    </row>
    <row r="11" spans="1:15" x14ac:dyDescent="0.25">
      <c r="A11" s="100" t="str">
        <f>'OI(Value)'!A11</f>
        <v>ABFRL</v>
      </c>
      <c r="B11" s="82">
        <f>VLOOKUP(A11,'Data shares'!$C$2:$CV$231,98,0)</f>
        <v>64079600</v>
      </c>
      <c r="C11" s="82">
        <f>VLOOKUP(A11,'Data shares'!$C$2:$CX$231,100,0)</f>
        <v>-28880800</v>
      </c>
      <c r="D11" s="141">
        <f>VLOOKUP(A11,'Data shares'!$C$2:$CY$554,101,0)</f>
        <v>-0.31069999999999998</v>
      </c>
      <c r="E11" s="86">
        <f>VLOOKUP($A11,'Data shares'!$C:$FA,74)</f>
        <v>49870600</v>
      </c>
      <c r="F11" s="86">
        <f>VLOOKUP($A11,'Data shares'!$C:$FA,76)</f>
        <v>-2587000</v>
      </c>
      <c r="G11" s="87">
        <f>VLOOKUP(A11,'Data shares'!$C$2:$CA$231,77,0)</f>
        <v>-4.9299999999999997E-2</v>
      </c>
      <c r="H11" s="86">
        <f>VLOOKUP($A11,'Data shares'!$C:$FA,90)</f>
        <v>7256600</v>
      </c>
      <c r="I11" s="86">
        <f>VLOOKUP($A11,'Data shares'!$C:$FA,92)</f>
        <v>-16702400</v>
      </c>
      <c r="J11" s="87">
        <f>VLOOKUP($A11,'Data shares'!$C:$FA,93)</f>
        <v>-0.69710000000000005</v>
      </c>
      <c r="K11" s="86">
        <f>VLOOKUP($A11,'Data shares'!$C:$FA,94)</f>
        <v>6952400</v>
      </c>
      <c r="L11" s="86">
        <f>VLOOKUP($A11,'Data shares'!$C:$FA,96)</f>
        <v>-9591400</v>
      </c>
      <c r="M11" s="87">
        <f>VLOOKUP($A11,'Data shares'!$C:$FA,97)</f>
        <v>-0.57979999999999998</v>
      </c>
      <c r="N11" s="86">
        <f>VLOOKUP($A11,'Data shares'!$C:$FA,78)</f>
        <v>3239600</v>
      </c>
      <c r="O11" s="87">
        <f>VLOOKUP($A11,'Data shares'!$C:$FA,81)</f>
        <v>-0.78069999999999995</v>
      </c>
    </row>
    <row r="12" spans="1:15" x14ac:dyDescent="0.25">
      <c r="A12" s="100" t="str">
        <f>'OI(Value)'!A12</f>
        <v>ACC</v>
      </c>
      <c r="B12" s="82">
        <f>VLOOKUP(A12,'Data shares'!$C$2:$CV$231,98,0)</f>
        <v>1812000</v>
      </c>
      <c r="C12" s="82">
        <f>VLOOKUP(A12,'Data shares'!$C$2:$CX$231,100,0)</f>
        <v>-2682000</v>
      </c>
      <c r="D12" s="141">
        <f>VLOOKUP(A12,'Data shares'!$C$2:$CY$554,101,0)</f>
        <v>-0.5968</v>
      </c>
      <c r="E12" s="86">
        <f>VLOOKUP($A12,'Data shares'!$C:$FA,74)</f>
        <v>0</v>
      </c>
      <c r="F12" s="86">
        <f>VLOOKUP($A12,'Data shares'!$C:$FA,76)</f>
        <v>-1907400</v>
      </c>
      <c r="G12" s="87">
        <f>VLOOKUP(A12,'Data shares'!$C$2:$CA$231,77,0)</f>
        <v>-1</v>
      </c>
      <c r="H12" s="86">
        <f>VLOOKUP($A12,'Data shares'!$C:$FA,90)</f>
        <v>1215300</v>
      </c>
      <c r="I12" s="86">
        <f>VLOOKUP($A12,'Data shares'!$C:$FA,92)</f>
        <v>-411600</v>
      </c>
      <c r="J12" s="87">
        <f>VLOOKUP($A12,'Data shares'!$C:$FA,93)</f>
        <v>-0.253</v>
      </c>
      <c r="K12" s="86">
        <f>VLOOKUP($A12,'Data shares'!$C:$FA,94)</f>
        <v>596700</v>
      </c>
      <c r="L12" s="86">
        <f>VLOOKUP($A12,'Data shares'!$C:$FA,96)</f>
        <v>-363000</v>
      </c>
      <c r="M12" s="87">
        <f>VLOOKUP($A12,'Data shares'!$C:$FA,97)</f>
        <v>-0.37819999999999998</v>
      </c>
      <c r="N12" s="86">
        <f>VLOOKUP($A12,'Data shares'!$C:$FA,78)</f>
        <v>904800</v>
      </c>
      <c r="O12" s="87">
        <f>VLOOKUP($A12,'Data shares'!$C:$FA,81)</f>
        <v>-0.52559999999999996</v>
      </c>
    </row>
    <row r="13" spans="1:15" x14ac:dyDescent="0.25">
      <c r="A13" s="100" t="str">
        <f>'OI(Value)'!A13</f>
        <v>ADANIENSOL</v>
      </c>
      <c r="B13" s="82">
        <f>VLOOKUP(A13,'Data shares'!$C$2:$CV$231,98,0)</f>
        <v>22324950</v>
      </c>
      <c r="C13" s="82">
        <f>VLOOKUP(A13,'Data shares'!$C$2:$CX$231,100,0)</f>
        <v>-4309875</v>
      </c>
      <c r="D13" s="141">
        <f>VLOOKUP(A13,'Data shares'!$C$2:$CY$554,101,0)</f>
        <v>-0.1618</v>
      </c>
      <c r="E13" s="86">
        <f>VLOOKUP($A13,'Data shares'!$C:$FA,74)</f>
        <v>19510875</v>
      </c>
      <c r="F13" s="86">
        <f>VLOOKUP($A13,'Data shares'!$C:$FA,76)</f>
        <v>-398250</v>
      </c>
      <c r="G13" s="87">
        <f>VLOOKUP(A13,'Data shares'!$C$2:$CA$231,77,0)</f>
        <v>-0.02</v>
      </c>
      <c r="H13" s="86">
        <f>VLOOKUP($A13,'Data shares'!$C:$FA,90)</f>
        <v>1393875</v>
      </c>
      <c r="I13" s="86">
        <f>VLOOKUP($A13,'Data shares'!$C:$FA,92)</f>
        <v>-2506275</v>
      </c>
      <c r="J13" s="87">
        <f>VLOOKUP($A13,'Data shares'!$C:$FA,93)</f>
        <v>-0.64259999999999995</v>
      </c>
      <c r="K13" s="86">
        <f>VLOOKUP($A13,'Data shares'!$C:$FA,94)</f>
        <v>1420200</v>
      </c>
      <c r="L13" s="86">
        <f>VLOOKUP($A13,'Data shares'!$C:$FA,96)</f>
        <v>-1405350</v>
      </c>
      <c r="M13" s="87">
        <f>VLOOKUP($A13,'Data shares'!$C:$FA,97)</f>
        <v>-0.49740000000000001</v>
      </c>
      <c r="N13" s="86">
        <f>VLOOKUP($A13,'Data shares'!$C:$FA,78)</f>
        <v>762750</v>
      </c>
      <c r="O13" s="87">
        <f>VLOOKUP($A13,'Data shares'!$C:$FA,81)</f>
        <v>-0.64319999999999999</v>
      </c>
    </row>
    <row r="14" spans="1:15" x14ac:dyDescent="0.25">
      <c r="A14" s="100" t="str">
        <f>'OI(Value)'!A14</f>
        <v>ADANIENT</v>
      </c>
      <c r="B14" s="82">
        <f>VLOOKUP(A14,'Data shares'!$C$2:$CV$231,98,0)</f>
        <v>27541800</v>
      </c>
      <c r="C14" s="82">
        <f>VLOOKUP(A14,'Data shares'!$C$2:$CX$231,100,0)</f>
        <v>-5752800</v>
      </c>
      <c r="D14" s="141">
        <f>VLOOKUP(A14,'Data shares'!$C$2:$CY$554,101,0)</f>
        <v>-0.17280000000000001</v>
      </c>
      <c r="E14" s="86">
        <f>VLOOKUP($A14,'Data shares'!$C:$FA,74)</f>
        <v>18085200</v>
      </c>
      <c r="F14" s="86">
        <f>VLOOKUP($A14,'Data shares'!$C:$FA,76)</f>
        <v>-186300</v>
      </c>
      <c r="G14" s="87">
        <f>VLOOKUP(A14,'Data shares'!$C$2:$CA$231,77,0)</f>
        <v>-1.0200000000000001E-2</v>
      </c>
      <c r="H14" s="86">
        <f>VLOOKUP($A14,'Data shares'!$C:$FA,90)</f>
        <v>4551000</v>
      </c>
      <c r="I14" s="86">
        <f>VLOOKUP($A14,'Data shares'!$C:$FA,92)</f>
        <v>-3786900</v>
      </c>
      <c r="J14" s="87">
        <f>VLOOKUP($A14,'Data shares'!$C:$FA,93)</f>
        <v>-0.45419999999999999</v>
      </c>
      <c r="K14" s="86">
        <f>VLOOKUP($A14,'Data shares'!$C:$FA,94)</f>
        <v>4905600</v>
      </c>
      <c r="L14" s="86">
        <f>VLOOKUP($A14,'Data shares'!$C:$FA,96)</f>
        <v>-1779600</v>
      </c>
      <c r="M14" s="87">
        <f>VLOOKUP($A14,'Data shares'!$C:$FA,97)</f>
        <v>-0.26619999999999999</v>
      </c>
      <c r="N14" s="86">
        <f>VLOOKUP($A14,'Data shares'!$C:$FA,78)</f>
        <v>1176000</v>
      </c>
      <c r="O14" s="87">
        <f>VLOOKUP($A14,'Data shares'!$C:$FA,81)</f>
        <v>-0.64219999999999999</v>
      </c>
    </row>
    <row r="15" spans="1:15" x14ac:dyDescent="0.25">
      <c r="A15" s="100" t="str">
        <f>'OI(Value)'!A15</f>
        <v>ADANIGREEN</v>
      </c>
      <c r="B15" s="82">
        <f>VLOOKUP(A15,'Data shares'!$C$2:$CV$231,98,0)</f>
        <v>25468800</v>
      </c>
      <c r="C15" s="82">
        <f>VLOOKUP(A15,'Data shares'!$C$2:$CX$231,100,0)</f>
        <v>-7317600</v>
      </c>
      <c r="D15" s="141">
        <f>VLOOKUP(A15,'Data shares'!$C$2:$CY$554,101,0)</f>
        <v>-0.22320000000000001</v>
      </c>
      <c r="E15" s="86">
        <f>VLOOKUP($A15,'Data shares'!$C:$FA,74)</f>
        <v>19816200</v>
      </c>
      <c r="F15" s="86">
        <f>VLOOKUP($A15,'Data shares'!$C:$FA,76)</f>
        <v>-555000</v>
      </c>
      <c r="G15" s="87">
        <f>VLOOKUP(A15,'Data shares'!$C$2:$CA$231,77,0)</f>
        <v>-2.7199999999999998E-2</v>
      </c>
      <c r="H15" s="86">
        <f>VLOOKUP($A15,'Data shares'!$C:$FA,90)</f>
        <v>3477600</v>
      </c>
      <c r="I15" s="86">
        <f>VLOOKUP($A15,'Data shares'!$C:$FA,92)</f>
        <v>-4179000</v>
      </c>
      <c r="J15" s="87">
        <f>VLOOKUP($A15,'Data shares'!$C:$FA,93)</f>
        <v>-0.54579999999999995</v>
      </c>
      <c r="K15" s="86">
        <f>VLOOKUP($A15,'Data shares'!$C:$FA,94)</f>
        <v>2175000</v>
      </c>
      <c r="L15" s="86">
        <f>VLOOKUP($A15,'Data shares'!$C:$FA,96)</f>
        <v>-2583600</v>
      </c>
      <c r="M15" s="87">
        <f>VLOOKUP($A15,'Data shares'!$C:$FA,97)</f>
        <v>-0.54290000000000005</v>
      </c>
      <c r="N15" s="86">
        <f>VLOOKUP($A15,'Data shares'!$C:$FA,78)</f>
        <v>812400</v>
      </c>
      <c r="O15" s="87">
        <f>VLOOKUP($A15,'Data shares'!$C:$FA,81)</f>
        <v>-0.7873</v>
      </c>
    </row>
    <row r="16" spans="1:15" x14ac:dyDescent="0.25">
      <c r="A16" s="100" t="str">
        <f>'OI(Value)'!A16</f>
        <v>ADANIPORTS</v>
      </c>
      <c r="B16" s="82">
        <f>VLOOKUP(A16,'Data shares'!$C$2:$CV$231,98,0)</f>
        <v>27558075</v>
      </c>
      <c r="C16" s="82">
        <f>VLOOKUP(A16,'Data shares'!$C$2:$CX$231,100,0)</f>
        <v>-8137225</v>
      </c>
      <c r="D16" s="141">
        <f>VLOOKUP(A16,'Data shares'!$C$2:$CY$554,101,0)</f>
        <v>-0.22800000000000001</v>
      </c>
      <c r="E16" s="86">
        <f>VLOOKUP($A16,'Data shares'!$C:$FA,74)</f>
        <v>21720800</v>
      </c>
      <c r="F16" s="86">
        <f>VLOOKUP($A16,'Data shares'!$C:$FA,76)</f>
        <v>-723425</v>
      </c>
      <c r="G16" s="87">
        <f>VLOOKUP(A16,'Data shares'!$C$2:$CA$231,77,0)</f>
        <v>-3.2199999999999999E-2</v>
      </c>
      <c r="H16" s="86">
        <f>VLOOKUP($A16,'Data shares'!$C:$FA,90)</f>
        <v>2773525</v>
      </c>
      <c r="I16" s="86">
        <f>VLOOKUP($A16,'Data shares'!$C:$FA,92)</f>
        <v>-4621750</v>
      </c>
      <c r="J16" s="87">
        <f>VLOOKUP($A16,'Data shares'!$C:$FA,93)</f>
        <v>-0.625</v>
      </c>
      <c r="K16" s="86">
        <f>VLOOKUP($A16,'Data shares'!$C:$FA,94)</f>
        <v>3063750</v>
      </c>
      <c r="L16" s="86">
        <f>VLOOKUP($A16,'Data shares'!$C:$FA,96)</f>
        <v>-2792050</v>
      </c>
      <c r="M16" s="87">
        <f>VLOOKUP($A16,'Data shares'!$C:$FA,97)</f>
        <v>-0.4768</v>
      </c>
      <c r="N16" s="86">
        <f>VLOOKUP($A16,'Data shares'!$C:$FA,78)</f>
        <v>1335225</v>
      </c>
      <c r="O16" s="87">
        <f>VLOOKUP($A16,'Data shares'!$C:$FA,81)</f>
        <v>-0.62380000000000002</v>
      </c>
    </row>
    <row r="17" spans="1:15" x14ac:dyDescent="0.25">
      <c r="A17" s="100" t="str">
        <f>'OI(Value)'!A17</f>
        <v>ALKEM</v>
      </c>
      <c r="B17" s="82">
        <f>VLOOKUP(A17,'Data shares'!$C$2:$CV$231,98,0)</f>
        <v>1297250</v>
      </c>
      <c r="C17" s="82">
        <f>VLOOKUP(A17,'Data shares'!$C$2:$CX$231,100,0)</f>
        <v>-424875</v>
      </c>
      <c r="D17" s="141">
        <f>VLOOKUP(A17,'Data shares'!$C$2:$CY$554,101,0)</f>
        <v>-0.2467</v>
      </c>
      <c r="E17" s="86">
        <f>VLOOKUP($A17,'Data shares'!$C:$FA,74)</f>
        <v>1138500</v>
      </c>
      <c r="F17" s="86">
        <f>VLOOKUP($A17,'Data shares'!$C:$FA,76)</f>
        <v>-81875</v>
      </c>
      <c r="G17" s="87">
        <f>VLOOKUP(A17,'Data shares'!$C$2:$CA$231,77,0)</f>
        <v>-6.7100000000000007E-2</v>
      </c>
      <c r="H17" s="86">
        <f>VLOOKUP($A17,'Data shares'!$C:$FA,90)</f>
        <v>100125</v>
      </c>
      <c r="I17" s="86">
        <f>VLOOKUP($A17,'Data shares'!$C:$FA,92)</f>
        <v>-197500</v>
      </c>
      <c r="J17" s="87">
        <f>VLOOKUP($A17,'Data shares'!$C:$FA,93)</f>
        <v>-0.66359999999999997</v>
      </c>
      <c r="K17" s="86">
        <f>VLOOKUP($A17,'Data shares'!$C:$FA,94)</f>
        <v>58625</v>
      </c>
      <c r="L17" s="86">
        <f>VLOOKUP($A17,'Data shares'!$C:$FA,96)</f>
        <v>-145500</v>
      </c>
      <c r="M17" s="87">
        <f>VLOOKUP($A17,'Data shares'!$C:$FA,97)</f>
        <v>-0.71279999999999999</v>
      </c>
      <c r="N17" s="86">
        <f>VLOOKUP($A17,'Data shares'!$C:$FA,78)</f>
        <v>64500</v>
      </c>
      <c r="O17" s="87">
        <f>VLOOKUP($A17,'Data shares'!$C:$FA,81)</f>
        <v>-0.65139999999999998</v>
      </c>
    </row>
    <row r="18" spans="1:15" x14ac:dyDescent="0.25">
      <c r="A18" s="100" t="str">
        <f>'OI(Value)'!A18</f>
        <v>AMBER</v>
      </c>
      <c r="B18" s="82">
        <f>VLOOKUP(A18,'Data shares'!$C$2:$CV$231,98,0)</f>
        <v>856500</v>
      </c>
      <c r="C18" s="82">
        <f>VLOOKUP(A18,'Data shares'!$C$2:$CX$231,100,0)</f>
        <v>-543000</v>
      </c>
      <c r="D18" s="141">
        <f>VLOOKUP(A18,'Data shares'!$C$2:$CY$554,101,0)</f>
        <v>-0.38800000000000001</v>
      </c>
      <c r="E18" s="86">
        <f>VLOOKUP($A18,'Data shares'!$C:$FA,74)</f>
        <v>486700</v>
      </c>
      <c r="F18" s="86">
        <f>VLOOKUP($A18,'Data shares'!$C:$FA,76)</f>
        <v>-77500</v>
      </c>
      <c r="G18" s="87">
        <f>VLOOKUP(A18,'Data shares'!$C$2:$CA$231,77,0)</f>
        <v>-0.13739999999999999</v>
      </c>
      <c r="H18" s="86">
        <f>VLOOKUP($A18,'Data shares'!$C:$FA,90)</f>
        <v>227300</v>
      </c>
      <c r="I18" s="86">
        <f>VLOOKUP($A18,'Data shares'!$C:$FA,92)</f>
        <v>-235800</v>
      </c>
      <c r="J18" s="87">
        <f>VLOOKUP($A18,'Data shares'!$C:$FA,93)</f>
        <v>-0.50919999999999999</v>
      </c>
      <c r="K18" s="86">
        <f>VLOOKUP($A18,'Data shares'!$C:$FA,94)</f>
        <v>142500</v>
      </c>
      <c r="L18" s="86">
        <f>VLOOKUP($A18,'Data shares'!$C:$FA,96)</f>
        <v>-229700</v>
      </c>
      <c r="M18" s="87">
        <f>VLOOKUP($A18,'Data shares'!$C:$FA,97)</f>
        <v>-0.61709999999999998</v>
      </c>
      <c r="N18" s="86">
        <f>VLOOKUP($A18,'Data shares'!$C:$FA,78)</f>
        <v>26000</v>
      </c>
      <c r="O18" s="87">
        <f>VLOOKUP($A18,'Data shares'!$C:$FA,81)</f>
        <v>-0.65559999999999996</v>
      </c>
    </row>
    <row r="19" spans="1:15" x14ac:dyDescent="0.25">
      <c r="A19" s="100" t="str">
        <f>'OI(Value)'!A19</f>
        <v>AMBUJACEM</v>
      </c>
      <c r="B19" s="82">
        <f>VLOOKUP(A19,'Data shares'!$C$2:$CV$231,98,0)</f>
        <v>41697600</v>
      </c>
      <c r="C19" s="82">
        <f>VLOOKUP(A19,'Data shares'!$C$2:$CX$231,100,0)</f>
        <v>585900</v>
      </c>
      <c r="D19" s="141">
        <f>VLOOKUP(A19,'Data shares'!$C$2:$CY$554,101,0)</f>
        <v>1.43E-2</v>
      </c>
      <c r="E19" s="86">
        <f>VLOOKUP($A19,'Data shares'!$C:$FA,74)</f>
        <v>29384250</v>
      </c>
      <c r="F19" s="86">
        <f>VLOOKUP($A19,'Data shares'!$C:$FA,76)</f>
        <v>1954050</v>
      </c>
      <c r="G19" s="87">
        <f>VLOOKUP(A19,'Data shares'!$C$2:$CA$231,77,0)</f>
        <v>7.1199999999999999E-2</v>
      </c>
      <c r="H19" s="86">
        <f>VLOOKUP($A19,'Data shares'!$C:$FA,90)</f>
        <v>7826700</v>
      </c>
      <c r="I19" s="86">
        <f>VLOOKUP($A19,'Data shares'!$C:$FA,92)</f>
        <v>564900</v>
      </c>
      <c r="J19" s="87">
        <f>VLOOKUP($A19,'Data shares'!$C:$FA,93)</f>
        <v>7.7799999999999994E-2</v>
      </c>
      <c r="K19" s="86">
        <f>VLOOKUP($A19,'Data shares'!$C:$FA,94)</f>
        <v>4486650</v>
      </c>
      <c r="L19" s="86">
        <f>VLOOKUP($A19,'Data shares'!$C:$FA,96)</f>
        <v>-1933050</v>
      </c>
      <c r="M19" s="87">
        <f>VLOOKUP($A19,'Data shares'!$C:$FA,97)</f>
        <v>-0.30109999999999998</v>
      </c>
      <c r="N19" s="86">
        <f>VLOOKUP($A19,'Data shares'!$C:$FA,78)</f>
        <v>1720950</v>
      </c>
      <c r="O19" s="87">
        <f>VLOOKUP($A19,'Data shares'!$C:$FA,81)</f>
        <v>-0.56740000000000002</v>
      </c>
    </row>
    <row r="20" spans="1:15" x14ac:dyDescent="0.25">
      <c r="A20" s="100" t="str">
        <f>'OI(Value)'!A20</f>
        <v>ANGELONE</v>
      </c>
      <c r="B20" s="82">
        <f>VLOOKUP(A20,'Data shares'!$C$2:$CV$231,98,0)</f>
        <v>3337250</v>
      </c>
      <c r="C20" s="82">
        <f>VLOOKUP(A20,'Data shares'!$C$2:$CX$231,100,0)</f>
        <v>-3840000</v>
      </c>
      <c r="D20" s="141">
        <f>VLOOKUP(A20,'Data shares'!$C$2:$CY$554,101,0)</f>
        <v>-0.53500000000000003</v>
      </c>
      <c r="E20" s="86">
        <f>VLOOKUP($A20,'Data shares'!$C:$FA,74)</f>
        <v>2136000</v>
      </c>
      <c r="F20" s="86">
        <f>VLOOKUP($A20,'Data shares'!$C:$FA,76)</f>
        <v>-574250</v>
      </c>
      <c r="G20" s="87">
        <f>VLOOKUP(A20,'Data shares'!$C$2:$CA$231,77,0)</f>
        <v>-0.21190000000000001</v>
      </c>
      <c r="H20" s="86">
        <f>VLOOKUP($A20,'Data shares'!$C:$FA,90)</f>
        <v>660250</v>
      </c>
      <c r="I20" s="86">
        <f>VLOOKUP($A20,'Data shares'!$C:$FA,92)</f>
        <v>-2076750</v>
      </c>
      <c r="J20" s="87">
        <f>VLOOKUP($A20,'Data shares'!$C:$FA,93)</f>
        <v>-0.75880000000000003</v>
      </c>
      <c r="K20" s="86">
        <f>VLOOKUP($A20,'Data shares'!$C:$FA,94)</f>
        <v>541000</v>
      </c>
      <c r="L20" s="86">
        <f>VLOOKUP($A20,'Data shares'!$C:$FA,96)</f>
        <v>-1189000</v>
      </c>
      <c r="M20" s="87">
        <f>VLOOKUP($A20,'Data shares'!$C:$FA,97)</f>
        <v>-0.68730000000000002</v>
      </c>
      <c r="N20" s="86">
        <f>VLOOKUP($A20,'Data shares'!$C:$FA,78)</f>
        <v>406250</v>
      </c>
      <c r="O20" s="87">
        <f>VLOOKUP($A20,'Data shares'!$C:$FA,81)</f>
        <v>-0.45340000000000003</v>
      </c>
    </row>
    <row r="21" spans="1:15" x14ac:dyDescent="0.25">
      <c r="A21" s="100" t="str">
        <f>'OI(Value)'!A21</f>
        <v>APLAPOLLO</v>
      </c>
      <c r="B21" s="82">
        <f>VLOOKUP(A21,'Data shares'!$C$2:$CV$231,98,0)</f>
        <v>7509950</v>
      </c>
      <c r="C21" s="82">
        <f>VLOOKUP(A21,'Data shares'!$C$2:$CX$231,100,0)</f>
        <v>-4096400</v>
      </c>
      <c r="D21" s="141">
        <f>VLOOKUP(A21,'Data shares'!$C$2:$CY$554,101,0)</f>
        <v>-0.35289999999999999</v>
      </c>
      <c r="E21" s="86">
        <f>VLOOKUP($A21,'Data shares'!$C:$FA,74)</f>
        <v>4876200</v>
      </c>
      <c r="F21" s="86">
        <f>VLOOKUP($A21,'Data shares'!$C:$FA,76)</f>
        <v>-448350</v>
      </c>
      <c r="G21" s="87">
        <f>VLOOKUP(A21,'Data shares'!$C$2:$CA$231,77,0)</f>
        <v>-8.4199999999999997E-2</v>
      </c>
      <c r="H21" s="86">
        <f>VLOOKUP($A21,'Data shares'!$C:$FA,90)</f>
        <v>1258250</v>
      </c>
      <c r="I21" s="86">
        <f>VLOOKUP($A21,'Data shares'!$C:$FA,92)</f>
        <v>-2392950</v>
      </c>
      <c r="J21" s="87">
        <f>VLOOKUP($A21,'Data shares'!$C:$FA,93)</f>
        <v>-0.65539999999999998</v>
      </c>
      <c r="K21" s="86">
        <f>VLOOKUP($A21,'Data shares'!$C:$FA,94)</f>
        <v>1375500</v>
      </c>
      <c r="L21" s="86">
        <f>VLOOKUP($A21,'Data shares'!$C:$FA,96)</f>
        <v>-1255100</v>
      </c>
      <c r="M21" s="87">
        <f>VLOOKUP($A21,'Data shares'!$C:$FA,97)</f>
        <v>-0.47710000000000002</v>
      </c>
      <c r="N21" s="86">
        <f>VLOOKUP($A21,'Data shares'!$C:$FA,78)</f>
        <v>565250</v>
      </c>
      <c r="O21" s="87">
        <f>VLOOKUP($A21,'Data shares'!$C:$FA,81)</f>
        <v>-0.43569999999999998</v>
      </c>
    </row>
    <row r="22" spans="1:15" x14ac:dyDescent="0.25">
      <c r="A22" s="100" t="str">
        <f>'OI(Value)'!A22</f>
        <v>APOLLOHOSP</v>
      </c>
      <c r="B22" s="82">
        <f>VLOOKUP(A22,'Data shares'!$C$2:$CV$231,98,0)</f>
        <v>2810125</v>
      </c>
      <c r="C22" s="82">
        <f>VLOOKUP(A22,'Data shares'!$C$2:$CX$231,100,0)</f>
        <v>-2274750</v>
      </c>
      <c r="D22" s="141">
        <f>VLOOKUP(A22,'Data shares'!$C$2:$CY$554,101,0)</f>
        <v>-0.44740000000000002</v>
      </c>
      <c r="E22" s="86">
        <f>VLOOKUP($A22,'Data shares'!$C:$FA,74)</f>
        <v>2454125</v>
      </c>
      <c r="F22" s="86">
        <f>VLOOKUP($A22,'Data shares'!$C:$FA,76)</f>
        <v>-175500</v>
      </c>
      <c r="G22" s="87">
        <f>VLOOKUP(A22,'Data shares'!$C$2:$CA$231,77,0)</f>
        <v>-6.6699999999999995E-2</v>
      </c>
      <c r="H22" s="86">
        <f>VLOOKUP($A22,'Data shares'!$C:$FA,90)</f>
        <v>216750</v>
      </c>
      <c r="I22" s="86">
        <f>VLOOKUP($A22,'Data shares'!$C:$FA,92)</f>
        <v>-1361750</v>
      </c>
      <c r="J22" s="87">
        <f>VLOOKUP($A22,'Data shares'!$C:$FA,93)</f>
        <v>-0.86270000000000002</v>
      </c>
      <c r="K22" s="86">
        <f>VLOOKUP($A22,'Data shares'!$C:$FA,94)</f>
        <v>139250</v>
      </c>
      <c r="L22" s="86">
        <f>VLOOKUP($A22,'Data shares'!$C:$FA,96)</f>
        <v>-737500</v>
      </c>
      <c r="M22" s="87">
        <f>VLOOKUP($A22,'Data shares'!$C:$FA,97)</f>
        <v>-0.84119999999999995</v>
      </c>
      <c r="N22" s="86">
        <f>VLOOKUP($A22,'Data shares'!$C:$FA,78)</f>
        <v>180000</v>
      </c>
      <c r="O22" s="87">
        <f>VLOOKUP($A22,'Data shares'!$C:$FA,81)</f>
        <v>-0.59289999999999998</v>
      </c>
    </row>
    <row r="23" spans="1:15" x14ac:dyDescent="0.25">
      <c r="A23" s="100" t="str">
        <f>'OI(Value)'!A23</f>
        <v>ASHOKLEY</v>
      </c>
      <c r="B23" s="82">
        <f>VLOOKUP(A23,'Data shares'!$C$2:$CV$231,98,0)</f>
        <v>103720000</v>
      </c>
      <c r="C23" s="82">
        <f>VLOOKUP(A23,'Data shares'!$C$2:$CX$231,100,0)</f>
        <v>-38030000</v>
      </c>
      <c r="D23" s="141">
        <f>VLOOKUP(A23,'Data shares'!$C$2:$CY$554,101,0)</f>
        <v>-0.26829999999999998</v>
      </c>
      <c r="E23" s="86">
        <f>VLOOKUP($A23,'Data shares'!$C:$FA,74)</f>
        <v>84740000</v>
      </c>
      <c r="F23" s="86">
        <f>VLOOKUP($A23,'Data shares'!$C:$FA,76)</f>
        <v>-5975000</v>
      </c>
      <c r="G23" s="87">
        <f>VLOOKUP(A23,'Data shares'!$C$2:$CA$231,77,0)</f>
        <v>-6.59E-2</v>
      </c>
      <c r="H23" s="86">
        <f>VLOOKUP($A23,'Data shares'!$C:$FA,90)</f>
        <v>10595000</v>
      </c>
      <c r="I23" s="86">
        <f>VLOOKUP($A23,'Data shares'!$C:$FA,92)</f>
        <v>-19805000</v>
      </c>
      <c r="J23" s="87">
        <f>VLOOKUP($A23,'Data shares'!$C:$FA,93)</f>
        <v>-0.65149999999999997</v>
      </c>
      <c r="K23" s="86">
        <f>VLOOKUP($A23,'Data shares'!$C:$FA,94)</f>
        <v>8385000</v>
      </c>
      <c r="L23" s="86">
        <f>VLOOKUP($A23,'Data shares'!$C:$FA,96)</f>
        <v>-12250000</v>
      </c>
      <c r="M23" s="87">
        <f>VLOOKUP($A23,'Data shares'!$C:$FA,97)</f>
        <v>-0.59370000000000001</v>
      </c>
      <c r="N23" s="86">
        <f>VLOOKUP($A23,'Data shares'!$C:$FA,78)</f>
        <v>3420000</v>
      </c>
      <c r="O23" s="87">
        <f>VLOOKUP($A23,'Data shares'!$C:$FA,81)</f>
        <v>-0.79469999999999996</v>
      </c>
    </row>
    <row r="24" spans="1:15" x14ac:dyDescent="0.25">
      <c r="A24" s="100" t="str">
        <f>'OI(Value)'!A24</f>
        <v>ASIANPAINT</v>
      </c>
      <c r="B24" s="82">
        <f>VLOOKUP(A24,'Data shares'!$C$2:$CV$231,98,0)</f>
        <v>18668000</v>
      </c>
      <c r="C24" s="82">
        <f>VLOOKUP(A24,'Data shares'!$C$2:$CX$231,100,0)</f>
        <v>-9462750</v>
      </c>
      <c r="D24" s="141">
        <f>VLOOKUP(A24,'Data shares'!$C$2:$CY$554,101,0)</f>
        <v>-0.33639999999999998</v>
      </c>
      <c r="E24" s="86">
        <f>VLOOKUP($A24,'Data shares'!$C:$FA,74)</f>
        <v>13881750</v>
      </c>
      <c r="F24" s="86">
        <f>VLOOKUP($A24,'Data shares'!$C:$FA,76)</f>
        <v>-1427000</v>
      </c>
      <c r="G24" s="87">
        <f>VLOOKUP(A24,'Data shares'!$C$2:$CA$231,77,0)</f>
        <v>-9.3200000000000005E-2</v>
      </c>
      <c r="H24" s="86">
        <f>VLOOKUP($A24,'Data shares'!$C:$FA,90)</f>
        <v>2684000</v>
      </c>
      <c r="I24" s="86">
        <f>VLOOKUP($A24,'Data shares'!$C:$FA,92)</f>
        <v>-5461000</v>
      </c>
      <c r="J24" s="87">
        <f>VLOOKUP($A24,'Data shares'!$C:$FA,93)</f>
        <v>-0.67049999999999998</v>
      </c>
      <c r="K24" s="86">
        <f>VLOOKUP($A24,'Data shares'!$C:$FA,94)</f>
        <v>2102250</v>
      </c>
      <c r="L24" s="86">
        <f>VLOOKUP($A24,'Data shares'!$C:$FA,96)</f>
        <v>-2574750</v>
      </c>
      <c r="M24" s="87">
        <f>VLOOKUP($A24,'Data shares'!$C:$FA,97)</f>
        <v>-0.55049999999999999</v>
      </c>
      <c r="N24" s="86">
        <f>VLOOKUP($A24,'Data shares'!$C:$FA,78)</f>
        <v>1436250</v>
      </c>
      <c r="O24" s="87">
        <f>VLOOKUP($A24,'Data shares'!$C:$FA,81)</f>
        <v>-0.30030000000000001</v>
      </c>
    </row>
    <row r="25" spans="1:15" x14ac:dyDescent="0.25">
      <c r="A25" s="100" t="str">
        <f>'OI(Value)'!A25</f>
        <v>ASTRAL</v>
      </c>
      <c r="B25" s="82">
        <f>VLOOKUP(A25,'Data shares'!$C$2:$CV$231,98,0)</f>
        <v>7451100</v>
      </c>
      <c r="C25" s="82">
        <f>VLOOKUP(A25,'Data shares'!$C$2:$CX$231,100,0)</f>
        <v>-3293325</v>
      </c>
      <c r="D25" s="141">
        <f>VLOOKUP(A25,'Data shares'!$C$2:$CY$554,101,0)</f>
        <v>-0.30649999999999999</v>
      </c>
      <c r="E25" s="86">
        <f>VLOOKUP($A25,'Data shares'!$C:$FA,74)</f>
        <v>5674175</v>
      </c>
      <c r="F25" s="86">
        <f>VLOOKUP($A25,'Data shares'!$C:$FA,76)</f>
        <v>-537200</v>
      </c>
      <c r="G25" s="87">
        <f>VLOOKUP(A25,'Data shares'!$C$2:$CA$231,77,0)</f>
        <v>-8.6499999999999994E-2</v>
      </c>
      <c r="H25" s="86">
        <f>VLOOKUP($A25,'Data shares'!$C:$FA,90)</f>
        <v>1009800</v>
      </c>
      <c r="I25" s="86">
        <f>VLOOKUP($A25,'Data shares'!$C:$FA,92)</f>
        <v>-2131375</v>
      </c>
      <c r="J25" s="87">
        <f>VLOOKUP($A25,'Data shares'!$C:$FA,93)</f>
        <v>-0.67849999999999999</v>
      </c>
      <c r="K25" s="86">
        <f>VLOOKUP($A25,'Data shares'!$C:$FA,94)</f>
        <v>767125</v>
      </c>
      <c r="L25" s="86">
        <f>VLOOKUP($A25,'Data shares'!$C:$FA,96)</f>
        <v>-624750</v>
      </c>
      <c r="M25" s="87">
        <f>VLOOKUP($A25,'Data shares'!$C:$FA,97)</f>
        <v>-0.44890000000000002</v>
      </c>
      <c r="N25" s="86">
        <f>VLOOKUP($A25,'Data shares'!$C:$FA,78)</f>
        <v>521475</v>
      </c>
      <c r="O25" s="87">
        <f>VLOOKUP($A25,'Data shares'!$C:$FA,81)</f>
        <v>-0.45729999999999998</v>
      </c>
    </row>
    <row r="26" spans="1:15" x14ac:dyDescent="0.25">
      <c r="A26" s="100" t="str">
        <f>'OI(Value)'!A26</f>
        <v>ATGL</v>
      </c>
      <c r="B26" s="82">
        <f>VLOOKUP(A26,'Data shares'!$C$2:$CV$231,98,0)</f>
        <v>5103000</v>
      </c>
      <c r="C26" s="82">
        <f>VLOOKUP(A26,'Data shares'!$C$2:$CX$231,100,0)</f>
        <v>-4739000</v>
      </c>
      <c r="D26" s="141">
        <f>VLOOKUP(A26,'Data shares'!$C$2:$CY$554,101,0)</f>
        <v>-0.48149999999999998</v>
      </c>
      <c r="E26" s="86">
        <f>VLOOKUP($A26,'Data shares'!$C:$FA,74)</f>
        <v>3759000</v>
      </c>
      <c r="F26" s="86">
        <f>VLOOKUP($A26,'Data shares'!$C:$FA,76)</f>
        <v>-1342250</v>
      </c>
      <c r="G26" s="87">
        <f>VLOOKUP(A26,'Data shares'!$C$2:$CA$231,77,0)</f>
        <v>-0.2631</v>
      </c>
      <c r="H26" s="86">
        <f>VLOOKUP($A26,'Data shares'!$C:$FA,90)</f>
        <v>755125</v>
      </c>
      <c r="I26" s="86">
        <f>VLOOKUP($A26,'Data shares'!$C:$FA,92)</f>
        <v>-2366000</v>
      </c>
      <c r="J26" s="87">
        <f>VLOOKUP($A26,'Data shares'!$C:$FA,93)</f>
        <v>-0.7581</v>
      </c>
      <c r="K26" s="86">
        <f>VLOOKUP($A26,'Data shares'!$C:$FA,94)</f>
        <v>588875</v>
      </c>
      <c r="L26" s="86">
        <f>VLOOKUP($A26,'Data shares'!$C:$FA,96)</f>
        <v>-1030750</v>
      </c>
      <c r="M26" s="87">
        <f>VLOOKUP($A26,'Data shares'!$C:$FA,97)</f>
        <v>-0.63639999999999997</v>
      </c>
      <c r="N26" s="86">
        <f>VLOOKUP($A26,'Data shares'!$C:$FA,78)</f>
        <v>810250</v>
      </c>
      <c r="O26" s="87">
        <f>VLOOKUP($A26,'Data shares'!$C:$FA,81)</f>
        <v>-0.50480000000000003</v>
      </c>
    </row>
    <row r="27" spans="1:15" x14ac:dyDescent="0.25">
      <c r="A27" s="100" t="str">
        <f>'OI(Value)'!A27</f>
        <v>AUBANK</v>
      </c>
      <c r="B27" s="82">
        <f>VLOOKUP(A27,'Data shares'!$C$2:$CV$231,98,0)</f>
        <v>24544000</v>
      </c>
      <c r="C27" s="82">
        <f>VLOOKUP(A27,'Data shares'!$C$2:$CX$231,100,0)</f>
        <v>-8627000</v>
      </c>
      <c r="D27" s="141">
        <f>VLOOKUP(A27,'Data shares'!$C$2:$CY$554,101,0)</f>
        <v>-0.2601</v>
      </c>
      <c r="E27" s="86">
        <f>VLOOKUP($A27,'Data shares'!$C:$FA,74)</f>
        <v>18866000</v>
      </c>
      <c r="F27" s="86">
        <f>VLOOKUP($A27,'Data shares'!$C:$FA,76)</f>
        <v>-104000</v>
      </c>
      <c r="G27" s="87">
        <f>VLOOKUP(A27,'Data shares'!$C$2:$CA$231,77,0)</f>
        <v>-5.4999999999999997E-3</v>
      </c>
      <c r="H27" s="86">
        <f>VLOOKUP($A27,'Data shares'!$C:$FA,90)</f>
        <v>3031000</v>
      </c>
      <c r="I27" s="86">
        <f>VLOOKUP($A27,'Data shares'!$C:$FA,92)</f>
        <v>-5753000</v>
      </c>
      <c r="J27" s="87">
        <f>VLOOKUP($A27,'Data shares'!$C:$FA,93)</f>
        <v>-0.65490000000000004</v>
      </c>
      <c r="K27" s="86">
        <f>VLOOKUP($A27,'Data shares'!$C:$FA,94)</f>
        <v>2647000</v>
      </c>
      <c r="L27" s="86">
        <f>VLOOKUP($A27,'Data shares'!$C:$FA,96)</f>
        <v>-2770000</v>
      </c>
      <c r="M27" s="87">
        <f>VLOOKUP($A27,'Data shares'!$C:$FA,97)</f>
        <v>-0.51139999999999997</v>
      </c>
      <c r="N27" s="86">
        <f>VLOOKUP($A27,'Data shares'!$C:$FA,78)</f>
        <v>796000</v>
      </c>
      <c r="O27" s="87">
        <f>VLOOKUP($A27,'Data shares'!$C:$FA,81)</f>
        <v>-0.75819999999999999</v>
      </c>
    </row>
    <row r="28" spans="1:15" x14ac:dyDescent="0.25">
      <c r="A28" s="100" t="str">
        <f>'OI(Value)'!A28</f>
        <v>AUROPHARMA</v>
      </c>
      <c r="B28" s="82">
        <f>VLOOKUP(A28,'Data shares'!$C$2:$CV$231,98,0)</f>
        <v>21522050</v>
      </c>
      <c r="C28" s="82">
        <f>VLOOKUP(A28,'Data shares'!$C$2:$CX$231,100,0)</f>
        <v>-5304200</v>
      </c>
      <c r="D28" s="141">
        <f>VLOOKUP(A28,'Data shares'!$C$2:$CY$554,101,0)</f>
        <v>-0.19769999999999999</v>
      </c>
      <c r="E28" s="86">
        <f>VLOOKUP($A28,'Data shares'!$C:$FA,74)</f>
        <v>18579550</v>
      </c>
      <c r="F28" s="86">
        <f>VLOOKUP($A28,'Data shares'!$C:$FA,76)</f>
        <v>-1809500</v>
      </c>
      <c r="G28" s="87">
        <f>VLOOKUP(A28,'Data shares'!$C$2:$CA$231,77,0)</f>
        <v>-8.8700000000000001E-2</v>
      </c>
      <c r="H28" s="86">
        <f>VLOOKUP($A28,'Data shares'!$C:$FA,90)</f>
        <v>1371700</v>
      </c>
      <c r="I28" s="86">
        <f>VLOOKUP($A28,'Data shares'!$C:$FA,92)</f>
        <v>-2123000</v>
      </c>
      <c r="J28" s="87">
        <f>VLOOKUP($A28,'Data shares'!$C:$FA,93)</f>
        <v>-0.60750000000000004</v>
      </c>
      <c r="K28" s="86">
        <f>VLOOKUP($A28,'Data shares'!$C:$FA,94)</f>
        <v>1570800</v>
      </c>
      <c r="L28" s="86">
        <f>VLOOKUP($A28,'Data shares'!$C:$FA,96)</f>
        <v>-1371700</v>
      </c>
      <c r="M28" s="87">
        <f>VLOOKUP($A28,'Data shares'!$C:$FA,97)</f>
        <v>-0.4662</v>
      </c>
      <c r="N28" s="86">
        <f>VLOOKUP($A28,'Data shares'!$C:$FA,78)</f>
        <v>1951400</v>
      </c>
      <c r="O28" s="87">
        <f>VLOOKUP($A28,'Data shares'!$C:$FA,81)</f>
        <v>-0.45550000000000002</v>
      </c>
    </row>
    <row r="29" spans="1:15" x14ac:dyDescent="0.25">
      <c r="A29" s="100" t="str">
        <f>'OI(Value)'!A29</f>
        <v>AXISBANK</v>
      </c>
      <c r="B29" s="82">
        <f>VLOOKUP(A29,'Data shares'!$C$2:$CV$231,98,0)</f>
        <v>118940625</v>
      </c>
      <c r="C29" s="82">
        <f>VLOOKUP(A29,'Data shares'!$C$2:$CX$231,100,0)</f>
        <v>-40817500</v>
      </c>
      <c r="D29" s="141">
        <f>VLOOKUP(A29,'Data shares'!$C$2:$CY$554,101,0)</f>
        <v>-0.2555</v>
      </c>
      <c r="E29" s="86">
        <f>VLOOKUP($A29,'Data shares'!$C:$FA,74)</f>
        <v>97119375</v>
      </c>
      <c r="F29" s="86">
        <f>VLOOKUP($A29,'Data shares'!$C:$FA,76)</f>
        <v>-64375</v>
      </c>
      <c r="G29" s="87">
        <f>VLOOKUP(A29,'Data shares'!$C$2:$CA$231,77,0)</f>
        <v>-6.9999999999999999E-4</v>
      </c>
      <c r="H29" s="86">
        <f>VLOOKUP($A29,'Data shares'!$C:$FA,90)</f>
        <v>13629375</v>
      </c>
      <c r="I29" s="86">
        <f>VLOOKUP($A29,'Data shares'!$C:$FA,92)</f>
        <v>-31176875</v>
      </c>
      <c r="J29" s="87">
        <f>VLOOKUP($A29,'Data shares'!$C:$FA,93)</f>
        <v>-0.69579999999999997</v>
      </c>
      <c r="K29" s="86">
        <f>VLOOKUP($A29,'Data shares'!$C:$FA,94)</f>
        <v>8191875</v>
      </c>
      <c r="L29" s="86">
        <f>VLOOKUP($A29,'Data shares'!$C:$FA,96)</f>
        <v>-9576250</v>
      </c>
      <c r="M29" s="87">
        <f>VLOOKUP($A29,'Data shares'!$C:$FA,97)</f>
        <v>-0.53900000000000003</v>
      </c>
      <c r="N29" s="86">
        <f>VLOOKUP($A29,'Data shares'!$C:$FA,78)</f>
        <v>3285625</v>
      </c>
      <c r="O29" s="87">
        <f>VLOOKUP($A29,'Data shares'!$C:$FA,81)</f>
        <v>-0.68089999999999995</v>
      </c>
    </row>
    <row r="30" spans="1:15" x14ac:dyDescent="0.25">
      <c r="A30" s="100" t="str">
        <f>'OI(Value)'!A30</f>
        <v>BAJAJ-AUTO</v>
      </c>
      <c r="B30" s="82">
        <f>VLOOKUP(A30,'Data shares'!$C$2:$CV$231,98,0)</f>
        <v>3598575</v>
      </c>
      <c r="C30" s="82">
        <f>VLOOKUP(A30,'Data shares'!$C$2:$CX$231,100,0)</f>
        <v>-1614375</v>
      </c>
      <c r="D30" s="141">
        <f>VLOOKUP(A30,'Data shares'!$C$2:$CY$554,101,0)</f>
        <v>-0.30969999999999998</v>
      </c>
      <c r="E30" s="86">
        <f>VLOOKUP($A30,'Data shares'!$C:$FA,74)</f>
        <v>2737425</v>
      </c>
      <c r="F30" s="86">
        <f>VLOOKUP($A30,'Data shares'!$C:$FA,76)</f>
        <v>-164025</v>
      </c>
      <c r="G30" s="87">
        <f>VLOOKUP(A30,'Data shares'!$C$2:$CA$231,77,0)</f>
        <v>-5.6500000000000002E-2</v>
      </c>
      <c r="H30" s="86">
        <f>VLOOKUP($A30,'Data shares'!$C:$FA,90)</f>
        <v>444300</v>
      </c>
      <c r="I30" s="86">
        <f>VLOOKUP($A30,'Data shares'!$C:$FA,92)</f>
        <v>-950100</v>
      </c>
      <c r="J30" s="87">
        <f>VLOOKUP($A30,'Data shares'!$C:$FA,93)</f>
        <v>-0.68140000000000001</v>
      </c>
      <c r="K30" s="86">
        <f>VLOOKUP($A30,'Data shares'!$C:$FA,94)</f>
        <v>416850</v>
      </c>
      <c r="L30" s="86">
        <f>VLOOKUP($A30,'Data shares'!$C:$FA,96)</f>
        <v>-500250</v>
      </c>
      <c r="M30" s="87">
        <f>VLOOKUP($A30,'Data shares'!$C:$FA,97)</f>
        <v>-0.54549999999999998</v>
      </c>
      <c r="N30" s="86">
        <f>VLOOKUP($A30,'Data shares'!$C:$FA,78)</f>
        <v>221400</v>
      </c>
      <c r="O30" s="87">
        <f>VLOOKUP($A30,'Data shares'!$C:$FA,81)</f>
        <v>-0.55179999999999996</v>
      </c>
    </row>
    <row r="31" spans="1:15" x14ac:dyDescent="0.25">
      <c r="A31" s="100" t="str">
        <f>'OI(Value)'!A31</f>
        <v>BAJAJFINSV</v>
      </c>
      <c r="B31" s="82">
        <f>VLOOKUP(A31,'Data shares'!$C$2:$CV$231,98,0)</f>
        <v>21587500</v>
      </c>
      <c r="C31" s="82">
        <f>VLOOKUP(A31,'Data shares'!$C$2:$CX$231,100,0)</f>
        <v>-9482500</v>
      </c>
      <c r="D31" s="141">
        <f>VLOOKUP(A31,'Data shares'!$C$2:$CY$554,101,0)</f>
        <v>-0.30520000000000003</v>
      </c>
      <c r="E31" s="86">
        <f>VLOOKUP($A31,'Data shares'!$C:$FA,74)</f>
        <v>16236500</v>
      </c>
      <c r="F31" s="86">
        <f>VLOOKUP($A31,'Data shares'!$C:$FA,76)</f>
        <v>-316500</v>
      </c>
      <c r="G31" s="87">
        <f>VLOOKUP(A31,'Data shares'!$C$2:$CA$231,77,0)</f>
        <v>-1.9099999999999999E-2</v>
      </c>
      <c r="H31" s="86">
        <f>VLOOKUP($A31,'Data shares'!$C:$FA,90)</f>
        <v>3290500</v>
      </c>
      <c r="I31" s="86">
        <f>VLOOKUP($A31,'Data shares'!$C:$FA,92)</f>
        <v>-6778500</v>
      </c>
      <c r="J31" s="87">
        <f>VLOOKUP($A31,'Data shares'!$C:$FA,93)</f>
        <v>-0.67320000000000002</v>
      </c>
      <c r="K31" s="86">
        <f>VLOOKUP($A31,'Data shares'!$C:$FA,94)</f>
        <v>2060500</v>
      </c>
      <c r="L31" s="86">
        <f>VLOOKUP($A31,'Data shares'!$C:$FA,96)</f>
        <v>-2387500</v>
      </c>
      <c r="M31" s="87">
        <f>VLOOKUP($A31,'Data shares'!$C:$FA,97)</f>
        <v>-0.53680000000000005</v>
      </c>
      <c r="N31" s="86">
        <f>VLOOKUP($A31,'Data shares'!$C:$FA,78)</f>
        <v>992500</v>
      </c>
      <c r="O31" s="87">
        <f>VLOOKUP($A31,'Data shares'!$C:$FA,81)</f>
        <v>-0.5978</v>
      </c>
    </row>
    <row r="32" spans="1:15" x14ac:dyDescent="0.25">
      <c r="A32" s="100" t="str">
        <f>'OI(Value)'!A32</f>
        <v>BAJFINANCE</v>
      </c>
      <c r="B32" s="82">
        <f>VLOOKUP(A32,'Data shares'!$C$2:$CV$231,98,0)</f>
        <v>120872250</v>
      </c>
      <c r="C32" s="82">
        <f>VLOOKUP(A32,'Data shares'!$C$2:$CX$231,100,0)</f>
        <v>-23939250</v>
      </c>
      <c r="D32" s="141">
        <f>VLOOKUP(A32,'Data shares'!$C$2:$CY$554,101,0)</f>
        <v>-0.1653</v>
      </c>
      <c r="E32" s="86">
        <f>VLOOKUP($A32,'Data shares'!$C:$FA,74)</f>
        <v>92869500</v>
      </c>
      <c r="F32" s="86">
        <f>VLOOKUP($A32,'Data shares'!$C:$FA,76)</f>
        <v>-2103000</v>
      </c>
      <c r="G32" s="87">
        <f>VLOOKUP(A32,'Data shares'!$C$2:$CA$231,77,0)</f>
        <v>-2.2100000000000002E-2</v>
      </c>
      <c r="H32" s="86">
        <f>VLOOKUP($A32,'Data shares'!$C:$FA,90)</f>
        <v>18120750</v>
      </c>
      <c r="I32" s="86">
        <f>VLOOKUP($A32,'Data shares'!$C:$FA,92)</f>
        <v>-14925750</v>
      </c>
      <c r="J32" s="87">
        <f>VLOOKUP($A32,'Data shares'!$C:$FA,93)</f>
        <v>-0.45169999999999999</v>
      </c>
      <c r="K32" s="86">
        <f>VLOOKUP($A32,'Data shares'!$C:$FA,94)</f>
        <v>9882000</v>
      </c>
      <c r="L32" s="86">
        <f>VLOOKUP($A32,'Data shares'!$C:$FA,96)</f>
        <v>-6910500</v>
      </c>
      <c r="M32" s="87">
        <f>VLOOKUP($A32,'Data shares'!$C:$FA,97)</f>
        <v>-0.41149999999999998</v>
      </c>
      <c r="N32" s="86">
        <f>VLOOKUP($A32,'Data shares'!$C:$FA,78)</f>
        <v>2763750</v>
      </c>
      <c r="O32" s="87">
        <f>VLOOKUP($A32,'Data shares'!$C:$FA,81)</f>
        <v>-0.80210000000000004</v>
      </c>
    </row>
    <row r="33" spans="1:15" x14ac:dyDescent="0.25">
      <c r="A33" s="100" t="str">
        <f>'OI(Value)'!A33</f>
        <v>BALKRISIND</v>
      </c>
      <c r="B33" s="82">
        <f>VLOOKUP(A33,'Data shares'!$C$2:$CV$231,98,0)</f>
        <v>1370700</v>
      </c>
      <c r="C33" s="82">
        <f>VLOOKUP(A33,'Data shares'!$C$2:$CX$231,100,0)</f>
        <v>-1182900</v>
      </c>
      <c r="D33" s="141">
        <f>VLOOKUP(A33,'Data shares'!$C$2:$CY$554,101,0)</f>
        <v>-0.4632</v>
      </c>
      <c r="E33" s="86">
        <f>VLOOKUP($A33,'Data shares'!$C:$FA,74)</f>
        <v>0</v>
      </c>
      <c r="F33" s="86">
        <f>VLOOKUP($A33,'Data shares'!$C:$FA,76)</f>
        <v>-767400</v>
      </c>
      <c r="G33" s="87">
        <f>VLOOKUP(A33,'Data shares'!$C$2:$CA$231,77,0)</f>
        <v>-1</v>
      </c>
      <c r="H33" s="86">
        <f>VLOOKUP($A33,'Data shares'!$C:$FA,90)</f>
        <v>807000</v>
      </c>
      <c r="I33" s="86">
        <f>VLOOKUP($A33,'Data shares'!$C:$FA,92)</f>
        <v>-204000</v>
      </c>
      <c r="J33" s="87">
        <f>VLOOKUP($A33,'Data shares'!$C:$FA,93)</f>
        <v>-0.20180000000000001</v>
      </c>
      <c r="K33" s="86">
        <f>VLOOKUP($A33,'Data shares'!$C:$FA,94)</f>
        <v>563700</v>
      </c>
      <c r="L33" s="86">
        <f>VLOOKUP($A33,'Data shares'!$C:$FA,96)</f>
        <v>-211500</v>
      </c>
      <c r="M33" s="87">
        <f>VLOOKUP($A33,'Data shares'!$C:$FA,97)</f>
        <v>-0.27279999999999999</v>
      </c>
      <c r="N33" s="86">
        <f>VLOOKUP($A33,'Data shares'!$C:$FA,78)</f>
        <v>650700</v>
      </c>
      <c r="O33" s="87">
        <f>VLOOKUP($A33,'Data shares'!$C:$FA,81)</f>
        <v>-0.15210000000000001</v>
      </c>
    </row>
    <row r="34" spans="1:15" x14ac:dyDescent="0.25">
      <c r="A34" s="100" t="str">
        <f>'OI(Value)'!A34</f>
        <v>BANDHANBNK</v>
      </c>
      <c r="B34" s="82">
        <f>VLOOKUP(A34,'Data shares'!$C$2:$CV$231,98,0)</f>
        <v>107305200</v>
      </c>
      <c r="C34" s="82">
        <f>VLOOKUP(A34,'Data shares'!$C$2:$CX$231,100,0)</f>
        <v>-37976400</v>
      </c>
      <c r="D34" s="141">
        <f>VLOOKUP(A34,'Data shares'!$C$2:$CY$554,101,0)</f>
        <v>-0.26140000000000002</v>
      </c>
      <c r="E34" s="86">
        <f>VLOOKUP($A34,'Data shares'!$C:$FA,74)</f>
        <v>82087200</v>
      </c>
      <c r="F34" s="86">
        <f>VLOOKUP($A34,'Data shares'!$C:$FA,76)</f>
        <v>-3567600</v>
      </c>
      <c r="G34" s="87">
        <f>VLOOKUP(A34,'Data shares'!$C$2:$CA$231,77,0)</f>
        <v>-4.1700000000000001E-2</v>
      </c>
      <c r="H34" s="86">
        <f>VLOOKUP($A34,'Data shares'!$C:$FA,90)</f>
        <v>13996800</v>
      </c>
      <c r="I34" s="86">
        <f>VLOOKUP($A34,'Data shares'!$C:$FA,92)</f>
        <v>-25117200</v>
      </c>
      <c r="J34" s="87">
        <f>VLOOKUP($A34,'Data shares'!$C:$FA,93)</f>
        <v>-0.64219999999999999</v>
      </c>
      <c r="K34" s="86">
        <f>VLOOKUP($A34,'Data shares'!$C:$FA,94)</f>
        <v>11221200</v>
      </c>
      <c r="L34" s="86">
        <f>VLOOKUP($A34,'Data shares'!$C:$FA,96)</f>
        <v>-9291600</v>
      </c>
      <c r="M34" s="87">
        <f>VLOOKUP($A34,'Data shares'!$C:$FA,97)</f>
        <v>-0.45300000000000001</v>
      </c>
      <c r="N34" s="86">
        <f>VLOOKUP($A34,'Data shares'!$C:$FA,78)</f>
        <v>3024000</v>
      </c>
      <c r="O34" s="87">
        <f>VLOOKUP($A34,'Data shares'!$C:$FA,81)</f>
        <v>-0.79149999999999998</v>
      </c>
    </row>
    <row r="35" spans="1:15" x14ac:dyDescent="0.25">
      <c r="A35" s="100" t="str">
        <f>'OI(Value)'!A35</f>
        <v>BANKBARODA</v>
      </c>
      <c r="B35" s="82">
        <f>VLOOKUP(A35,'Data shares'!$C$2:$CV$231,98,0)</f>
        <v>151535475</v>
      </c>
      <c r="C35" s="82">
        <f>VLOOKUP(A35,'Data shares'!$C$2:$CX$231,100,0)</f>
        <v>-42365700</v>
      </c>
      <c r="D35" s="141">
        <f>VLOOKUP(A35,'Data shares'!$C$2:$CY$554,101,0)</f>
        <v>-0.2185</v>
      </c>
      <c r="E35" s="86">
        <f>VLOOKUP($A35,'Data shares'!$C:$FA,74)</f>
        <v>103784850</v>
      </c>
      <c r="F35" s="86">
        <f>VLOOKUP($A35,'Data shares'!$C:$FA,76)</f>
        <v>-3562650</v>
      </c>
      <c r="G35" s="87">
        <f>VLOOKUP(A35,'Data shares'!$C$2:$CA$231,77,0)</f>
        <v>-3.32E-2</v>
      </c>
      <c r="H35" s="86">
        <f>VLOOKUP($A35,'Data shares'!$C:$FA,90)</f>
        <v>23628150</v>
      </c>
      <c r="I35" s="86">
        <f>VLOOKUP($A35,'Data shares'!$C:$FA,92)</f>
        <v>-22326525</v>
      </c>
      <c r="J35" s="87">
        <f>VLOOKUP($A35,'Data shares'!$C:$FA,93)</f>
        <v>-0.48580000000000001</v>
      </c>
      <c r="K35" s="86">
        <f>VLOOKUP($A35,'Data shares'!$C:$FA,94)</f>
        <v>24122475</v>
      </c>
      <c r="L35" s="86">
        <f>VLOOKUP($A35,'Data shares'!$C:$FA,96)</f>
        <v>-16476525</v>
      </c>
      <c r="M35" s="87">
        <f>VLOOKUP($A35,'Data shares'!$C:$FA,97)</f>
        <v>-0.40579999999999999</v>
      </c>
      <c r="N35" s="86">
        <f>VLOOKUP($A35,'Data shares'!$C:$FA,78)</f>
        <v>5452200</v>
      </c>
      <c r="O35" s="87">
        <f>VLOOKUP($A35,'Data shares'!$C:$FA,81)</f>
        <v>-0.66990000000000005</v>
      </c>
    </row>
    <row r="36" spans="1:15" x14ac:dyDescent="0.25">
      <c r="A36" s="100" t="str">
        <f>'OI(Value)'!A36</f>
        <v>BANKINDIA</v>
      </c>
      <c r="B36" s="82">
        <f>VLOOKUP(A36,'Data shares'!$C$2:$CV$231,98,0)</f>
        <v>85607600</v>
      </c>
      <c r="C36" s="82">
        <f>VLOOKUP(A36,'Data shares'!$C$2:$CX$231,100,0)</f>
        <v>-34226400</v>
      </c>
      <c r="D36" s="141">
        <f>VLOOKUP(A36,'Data shares'!$C$2:$CY$554,101,0)</f>
        <v>-0.28560000000000002</v>
      </c>
      <c r="E36" s="86">
        <f>VLOOKUP($A36,'Data shares'!$C:$FA,74)</f>
        <v>64194000</v>
      </c>
      <c r="F36" s="86">
        <f>VLOOKUP($A36,'Data shares'!$C:$FA,76)</f>
        <v>582400</v>
      </c>
      <c r="G36" s="87">
        <f>VLOOKUP(A36,'Data shares'!$C$2:$CA$231,77,0)</f>
        <v>9.1999999999999998E-3</v>
      </c>
      <c r="H36" s="86">
        <f>VLOOKUP($A36,'Data shares'!$C:$FA,90)</f>
        <v>11892400</v>
      </c>
      <c r="I36" s="86">
        <f>VLOOKUP($A36,'Data shares'!$C:$FA,92)</f>
        <v>-22859200</v>
      </c>
      <c r="J36" s="87">
        <f>VLOOKUP($A36,'Data shares'!$C:$FA,93)</f>
        <v>-0.65780000000000005</v>
      </c>
      <c r="K36" s="86">
        <f>VLOOKUP($A36,'Data shares'!$C:$FA,94)</f>
        <v>9521200</v>
      </c>
      <c r="L36" s="86">
        <f>VLOOKUP($A36,'Data shares'!$C:$FA,96)</f>
        <v>-11949600</v>
      </c>
      <c r="M36" s="87">
        <f>VLOOKUP($A36,'Data shares'!$C:$FA,97)</f>
        <v>-0.55659999999999998</v>
      </c>
      <c r="N36" s="86">
        <f>VLOOKUP($A36,'Data shares'!$C:$FA,78)</f>
        <v>2740400</v>
      </c>
      <c r="O36" s="87">
        <f>VLOOKUP($A36,'Data shares'!$C:$FA,81)</f>
        <v>-0.79259999999999997</v>
      </c>
    </row>
    <row r="37" spans="1:15" x14ac:dyDescent="0.25">
      <c r="A37" s="100" t="str">
        <f>'OI(Value)'!A37</f>
        <v>BANKNIFTY</v>
      </c>
      <c r="B37" s="82">
        <f>VLOOKUP(A37,'Data shares'!$C$2:$CV$231,98,0)</f>
        <v>20836550</v>
      </c>
      <c r="C37" s="82">
        <f>VLOOKUP(A37,'Data shares'!$C$2:$CX$231,100,0)</f>
        <v>-40823695</v>
      </c>
      <c r="D37" s="141">
        <f>VLOOKUP(A37,'Data shares'!$C$2:$CY$554,101,0)</f>
        <v>-0.66210000000000002</v>
      </c>
      <c r="E37" s="86">
        <f>VLOOKUP($A37,'Data shares'!$C:$FA,74)</f>
        <v>1955520</v>
      </c>
      <c r="F37" s="86">
        <f>VLOOKUP($A37,'Data shares'!$C:$FA,76)</f>
        <v>-660310</v>
      </c>
      <c r="G37" s="87">
        <f>VLOOKUP(A37,'Data shares'!$C$2:$CA$231,77,0)</f>
        <v>-0.25240000000000001</v>
      </c>
      <c r="H37" s="86">
        <f>VLOOKUP($A37,'Data shares'!$C:$FA,90)</f>
        <v>9564050</v>
      </c>
      <c r="I37" s="86">
        <f>VLOOKUP($A37,'Data shares'!$C:$FA,92)</f>
        <v>-25535035</v>
      </c>
      <c r="J37" s="87">
        <f>VLOOKUP($A37,'Data shares'!$C:$FA,93)</f>
        <v>-0.72750000000000004</v>
      </c>
      <c r="K37" s="86">
        <f>VLOOKUP($A37,'Data shares'!$C:$FA,94)</f>
        <v>9316980</v>
      </c>
      <c r="L37" s="86">
        <f>VLOOKUP($A37,'Data shares'!$C:$FA,96)</f>
        <v>-14628350</v>
      </c>
      <c r="M37" s="87">
        <f>VLOOKUP($A37,'Data shares'!$C:$FA,97)</f>
        <v>-0.6109</v>
      </c>
      <c r="N37" s="86">
        <f>VLOOKUP($A37,'Data shares'!$C:$FA,78)</f>
        <v>552195</v>
      </c>
      <c r="O37" s="87">
        <f>VLOOKUP($A37,'Data shares'!$C:$FA,81)</f>
        <v>-0.50509999999999999</v>
      </c>
    </row>
    <row r="38" spans="1:15" x14ac:dyDescent="0.25">
      <c r="A38" s="100" t="str">
        <f>'OI(Value)'!A38</f>
        <v>BDL</v>
      </c>
      <c r="B38" s="82">
        <f>VLOOKUP(A38,'Data shares'!$C$2:$CV$231,98,0)</f>
        <v>5753150</v>
      </c>
      <c r="C38" s="82">
        <f>VLOOKUP(A38,'Data shares'!$C$2:$CX$231,100,0)</f>
        <v>-4105725</v>
      </c>
      <c r="D38" s="141">
        <f>VLOOKUP(A38,'Data shares'!$C$2:$CY$554,101,0)</f>
        <v>-0.41639999999999999</v>
      </c>
      <c r="E38" s="86">
        <f>VLOOKUP($A38,'Data shares'!$C:$FA,74)</f>
        <v>3879200</v>
      </c>
      <c r="F38" s="86">
        <f>VLOOKUP($A38,'Data shares'!$C:$FA,76)</f>
        <v>-333450</v>
      </c>
      <c r="G38" s="87">
        <f>VLOOKUP(A38,'Data shares'!$C$2:$CA$231,77,0)</f>
        <v>-7.9200000000000007E-2</v>
      </c>
      <c r="H38" s="86">
        <f>VLOOKUP($A38,'Data shares'!$C:$FA,90)</f>
        <v>1099800</v>
      </c>
      <c r="I38" s="86">
        <f>VLOOKUP($A38,'Data shares'!$C:$FA,92)</f>
        <v>-2862275</v>
      </c>
      <c r="J38" s="87">
        <f>VLOOKUP($A38,'Data shares'!$C:$FA,93)</f>
        <v>-0.72240000000000004</v>
      </c>
      <c r="K38" s="86">
        <f>VLOOKUP($A38,'Data shares'!$C:$FA,94)</f>
        <v>774150</v>
      </c>
      <c r="L38" s="86">
        <f>VLOOKUP($A38,'Data shares'!$C:$FA,96)</f>
        <v>-910000</v>
      </c>
      <c r="M38" s="87">
        <f>VLOOKUP($A38,'Data shares'!$C:$FA,97)</f>
        <v>-0.5403</v>
      </c>
      <c r="N38" s="86">
        <f>VLOOKUP($A38,'Data shares'!$C:$FA,78)</f>
        <v>313300</v>
      </c>
      <c r="O38" s="87">
        <f>VLOOKUP($A38,'Data shares'!$C:$FA,81)</f>
        <v>-0.69940000000000002</v>
      </c>
    </row>
    <row r="39" spans="1:15" x14ac:dyDescent="0.25">
      <c r="A39" s="100" t="str">
        <f>'OI(Value)'!A39</f>
        <v>BEL</v>
      </c>
      <c r="B39" s="82">
        <f>VLOOKUP(A39,'Data shares'!$C$2:$CV$231,98,0)</f>
        <v>193600500</v>
      </c>
      <c r="C39" s="82">
        <f>VLOOKUP(A39,'Data shares'!$C$2:$CX$231,100,0)</f>
        <v>-83952450</v>
      </c>
      <c r="D39" s="141">
        <f>VLOOKUP(A39,'Data shares'!$C$2:$CY$554,101,0)</f>
        <v>-0.30249999999999999</v>
      </c>
      <c r="E39" s="86">
        <f>VLOOKUP($A39,'Data shares'!$C:$FA,74)</f>
        <v>118175250</v>
      </c>
      <c r="F39" s="86">
        <f>VLOOKUP($A39,'Data shares'!$C:$FA,76)</f>
        <v>-7541100</v>
      </c>
      <c r="G39" s="87">
        <f>VLOOKUP(A39,'Data shares'!$C$2:$CA$231,77,0)</f>
        <v>-0.06</v>
      </c>
      <c r="H39" s="86">
        <f>VLOOKUP($A39,'Data shares'!$C:$FA,90)</f>
        <v>44340300</v>
      </c>
      <c r="I39" s="86">
        <f>VLOOKUP($A39,'Data shares'!$C:$FA,92)</f>
        <v>-55252950</v>
      </c>
      <c r="J39" s="87">
        <f>VLOOKUP($A39,'Data shares'!$C:$FA,93)</f>
        <v>-0.55479999999999996</v>
      </c>
      <c r="K39" s="86">
        <f>VLOOKUP($A39,'Data shares'!$C:$FA,94)</f>
        <v>31084950</v>
      </c>
      <c r="L39" s="86">
        <f>VLOOKUP($A39,'Data shares'!$C:$FA,96)</f>
        <v>-21158400</v>
      </c>
      <c r="M39" s="87">
        <f>VLOOKUP($A39,'Data shares'!$C:$FA,97)</f>
        <v>-0.40500000000000003</v>
      </c>
      <c r="N39" s="86">
        <f>VLOOKUP($A39,'Data shares'!$C:$FA,78)</f>
        <v>8299200</v>
      </c>
      <c r="O39" s="87">
        <f>VLOOKUP($A39,'Data shares'!$C:$FA,81)</f>
        <v>-0.67330000000000001</v>
      </c>
    </row>
    <row r="40" spans="1:15" x14ac:dyDescent="0.25">
      <c r="A40" s="100" t="str">
        <f>'OI(Value)'!A40</f>
        <v>BHARATFORG</v>
      </c>
      <c r="B40" s="82">
        <f>VLOOKUP(A40,'Data shares'!$C$2:$CV$231,98,0)</f>
        <v>14484500</v>
      </c>
      <c r="C40" s="82">
        <f>VLOOKUP(A40,'Data shares'!$C$2:$CX$231,100,0)</f>
        <v>-3927500</v>
      </c>
      <c r="D40" s="141">
        <f>VLOOKUP(A40,'Data shares'!$C$2:$CY$554,101,0)</f>
        <v>-0.21329999999999999</v>
      </c>
      <c r="E40" s="86">
        <f>VLOOKUP($A40,'Data shares'!$C:$FA,74)</f>
        <v>11190500</v>
      </c>
      <c r="F40" s="86">
        <f>VLOOKUP($A40,'Data shares'!$C:$FA,76)</f>
        <v>-782500</v>
      </c>
      <c r="G40" s="87">
        <f>VLOOKUP(A40,'Data shares'!$C$2:$CA$231,77,0)</f>
        <v>-6.54E-2</v>
      </c>
      <c r="H40" s="86">
        <f>VLOOKUP($A40,'Data shares'!$C:$FA,90)</f>
        <v>1520000</v>
      </c>
      <c r="I40" s="86">
        <f>VLOOKUP($A40,'Data shares'!$C:$FA,92)</f>
        <v>-2295000</v>
      </c>
      <c r="J40" s="87">
        <f>VLOOKUP($A40,'Data shares'!$C:$FA,93)</f>
        <v>-0.60160000000000002</v>
      </c>
      <c r="K40" s="86">
        <f>VLOOKUP($A40,'Data shares'!$C:$FA,94)</f>
        <v>1774000</v>
      </c>
      <c r="L40" s="86">
        <f>VLOOKUP($A40,'Data shares'!$C:$FA,96)</f>
        <v>-850000</v>
      </c>
      <c r="M40" s="87">
        <f>VLOOKUP($A40,'Data shares'!$C:$FA,97)</f>
        <v>-0.32390000000000002</v>
      </c>
      <c r="N40" s="86">
        <f>VLOOKUP($A40,'Data shares'!$C:$FA,78)</f>
        <v>596500</v>
      </c>
      <c r="O40" s="87">
        <f>VLOOKUP($A40,'Data shares'!$C:$FA,81)</f>
        <v>-0.68659999999999999</v>
      </c>
    </row>
    <row r="41" spans="1:15" x14ac:dyDescent="0.25">
      <c r="A41" s="100" t="str">
        <f>'OI(Value)'!A41</f>
        <v>BHARTIARTL</v>
      </c>
      <c r="B41" s="82">
        <f>VLOOKUP(A41,'Data shares'!$C$2:$CV$231,98,0)</f>
        <v>51979725</v>
      </c>
      <c r="C41" s="82">
        <f>VLOOKUP(A41,'Data shares'!$C$2:$CX$231,100,0)</f>
        <v>-20258275</v>
      </c>
      <c r="D41" s="141">
        <f>VLOOKUP(A41,'Data shares'!$C$2:$CY$554,101,0)</f>
        <v>-0.28039999999999998</v>
      </c>
      <c r="E41" s="86">
        <f>VLOOKUP($A41,'Data shares'!$C:$FA,74)</f>
        <v>44553575</v>
      </c>
      <c r="F41" s="86">
        <f>VLOOKUP($A41,'Data shares'!$C:$FA,76)</f>
        <v>-3109350</v>
      </c>
      <c r="G41" s="87">
        <f>VLOOKUP(A41,'Data shares'!$C$2:$CA$231,77,0)</f>
        <v>-6.5199999999999994E-2</v>
      </c>
      <c r="H41" s="86">
        <f>VLOOKUP($A41,'Data shares'!$C:$FA,90)</f>
        <v>4568075</v>
      </c>
      <c r="I41" s="86">
        <f>VLOOKUP($A41,'Data shares'!$C:$FA,92)</f>
        <v>-12263075</v>
      </c>
      <c r="J41" s="87">
        <f>VLOOKUP($A41,'Data shares'!$C:$FA,93)</f>
        <v>-0.72860000000000003</v>
      </c>
      <c r="K41" s="86">
        <f>VLOOKUP($A41,'Data shares'!$C:$FA,94)</f>
        <v>2858075</v>
      </c>
      <c r="L41" s="86">
        <f>VLOOKUP($A41,'Data shares'!$C:$FA,96)</f>
        <v>-4885850</v>
      </c>
      <c r="M41" s="87">
        <f>VLOOKUP($A41,'Data shares'!$C:$FA,97)</f>
        <v>-0.63090000000000002</v>
      </c>
      <c r="N41" s="86">
        <f>VLOOKUP($A41,'Data shares'!$C:$FA,78)</f>
        <v>3514525</v>
      </c>
      <c r="O41" s="87">
        <f>VLOOKUP($A41,'Data shares'!$C:$FA,81)</f>
        <v>-0.59299999999999997</v>
      </c>
    </row>
    <row r="42" spans="1:15" x14ac:dyDescent="0.25">
      <c r="A42" s="100" t="str">
        <f>'OI(Value)'!A42</f>
        <v>BHEL</v>
      </c>
      <c r="B42" s="82">
        <f>VLOOKUP(A42,'Data shares'!$C$2:$CV$231,98,0)</f>
        <v>76993875</v>
      </c>
      <c r="C42" s="82">
        <f>VLOOKUP(A42,'Data shares'!$C$2:$CX$231,100,0)</f>
        <v>-31870125</v>
      </c>
      <c r="D42" s="141">
        <f>VLOOKUP(A42,'Data shares'!$C$2:$CY$554,101,0)</f>
        <v>-0.2928</v>
      </c>
      <c r="E42" s="86">
        <f>VLOOKUP($A42,'Data shares'!$C:$FA,74)</f>
        <v>52198125</v>
      </c>
      <c r="F42" s="86">
        <f>VLOOKUP($A42,'Data shares'!$C:$FA,76)</f>
        <v>-4370625</v>
      </c>
      <c r="G42" s="87">
        <f>VLOOKUP(A42,'Data shares'!$C$2:$CA$231,77,0)</f>
        <v>-7.7299999999999994E-2</v>
      </c>
      <c r="H42" s="86">
        <f>VLOOKUP($A42,'Data shares'!$C:$FA,90)</f>
        <v>13487250</v>
      </c>
      <c r="I42" s="86">
        <f>VLOOKUP($A42,'Data shares'!$C:$FA,92)</f>
        <v>-20031375</v>
      </c>
      <c r="J42" s="87">
        <f>VLOOKUP($A42,'Data shares'!$C:$FA,93)</f>
        <v>-0.59760000000000002</v>
      </c>
      <c r="K42" s="86">
        <f>VLOOKUP($A42,'Data shares'!$C:$FA,94)</f>
        <v>11308500</v>
      </c>
      <c r="L42" s="86">
        <f>VLOOKUP($A42,'Data shares'!$C:$FA,96)</f>
        <v>-7468125</v>
      </c>
      <c r="M42" s="87">
        <f>VLOOKUP($A42,'Data shares'!$C:$FA,97)</f>
        <v>-0.3977</v>
      </c>
      <c r="N42" s="86">
        <f>VLOOKUP($A42,'Data shares'!$C:$FA,78)</f>
        <v>3640875</v>
      </c>
      <c r="O42" s="87">
        <f>VLOOKUP($A42,'Data shares'!$C:$FA,81)</f>
        <v>-0.73570000000000002</v>
      </c>
    </row>
    <row r="43" spans="1:15" x14ac:dyDescent="0.25">
      <c r="A43" s="100" t="str">
        <f>'OI(Value)'!A43</f>
        <v>BIOCON</v>
      </c>
      <c r="B43" s="82">
        <f>VLOOKUP(A43,'Data shares'!$C$2:$CV$231,98,0)</f>
        <v>50290000</v>
      </c>
      <c r="C43" s="82">
        <f>VLOOKUP(A43,'Data shares'!$C$2:$CX$231,100,0)</f>
        <v>-24475000</v>
      </c>
      <c r="D43" s="141">
        <f>VLOOKUP(A43,'Data shares'!$C$2:$CY$554,101,0)</f>
        <v>-0.32740000000000002</v>
      </c>
      <c r="E43" s="86">
        <f>VLOOKUP($A43,'Data shares'!$C:$FA,74)</f>
        <v>37530000</v>
      </c>
      <c r="F43" s="86">
        <f>VLOOKUP($A43,'Data shares'!$C:$FA,76)</f>
        <v>-3312500</v>
      </c>
      <c r="G43" s="87">
        <f>VLOOKUP(A43,'Data shares'!$C$2:$CA$231,77,0)</f>
        <v>-8.1100000000000005E-2</v>
      </c>
      <c r="H43" s="86">
        <f>VLOOKUP($A43,'Data shares'!$C:$FA,90)</f>
        <v>8167500</v>
      </c>
      <c r="I43" s="86">
        <f>VLOOKUP($A43,'Data shares'!$C:$FA,92)</f>
        <v>-12655000</v>
      </c>
      <c r="J43" s="87">
        <f>VLOOKUP($A43,'Data shares'!$C:$FA,93)</f>
        <v>-0.60780000000000001</v>
      </c>
      <c r="K43" s="86">
        <f>VLOOKUP($A43,'Data shares'!$C:$FA,94)</f>
        <v>4592500</v>
      </c>
      <c r="L43" s="86">
        <f>VLOOKUP($A43,'Data shares'!$C:$FA,96)</f>
        <v>-8507500</v>
      </c>
      <c r="M43" s="87">
        <f>VLOOKUP($A43,'Data shares'!$C:$FA,97)</f>
        <v>-0.64939999999999998</v>
      </c>
      <c r="N43" s="86">
        <f>VLOOKUP($A43,'Data shares'!$C:$FA,78)</f>
        <v>2920000</v>
      </c>
      <c r="O43" s="87">
        <f>VLOOKUP($A43,'Data shares'!$C:$FA,81)</f>
        <v>-0.6855</v>
      </c>
    </row>
    <row r="44" spans="1:15" x14ac:dyDescent="0.25">
      <c r="A44" s="100" t="str">
        <f>'OI(Value)'!A44</f>
        <v>BLUESTARCO</v>
      </c>
      <c r="B44" s="82">
        <f>VLOOKUP(A44,'Data shares'!$C$2:$CV$231,98,0)</f>
        <v>1559675</v>
      </c>
      <c r="C44" s="82">
        <f>VLOOKUP(A44,'Data shares'!$C$2:$CX$231,100,0)</f>
        <v>-1919125</v>
      </c>
      <c r="D44" s="141">
        <f>VLOOKUP(A44,'Data shares'!$C$2:$CY$554,101,0)</f>
        <v>-0.55169999999999997</v>
      </c>
      <c r="E44" s="86">
        <f>VLOOKUP($A44,'Data shares'!$C:$FA,74)</f>
        <v>1258400</v>
      </c>
      <c r="F44" s="86">
        <f>VLOOKUP($A44,'Data shares'!$C:$FA,76)</f>
        <v>-223275</v>
      </c>
      <c r="G44" s="87">
        <f>VLOOKUP(A44,'Data shares'!$C$2:$CA$231,77,0)</f>
        <v>-0.1507</v>
      </c>
      <c r="H44" s="86">
        <f>VLOOKUP($A44,'Data shares'!$C:$FA,90)</f>
        <v>201500</v>
      </c>
      <c r="I44" s="86">
        <f>VLOOKUP($A44,'Data shares'!$C:$FA,92)</f>
        <v>-837525</v>
      </c>
      <c r="J44" s="87">
        <f>VLOOKUP($A44,'Data shares'!$C:$FA,93)</f>
        <v>-0.80610000000000004</v>
      </c>
      <c r="K44" s="86">
        <f>VLOOKUP($A44,'Data shares'!$C:$FA,94)</f>
        <v>99775</v>
      </c>
      <c r="L44" s="86">
        <f>VLOOKUP($A44,'Data shares'!$C:$FA,96)</f>
        <v>-858325</v>
      </c>
      <c r="M44" s="87">
        <f>VLOOKUP($A44,'Data shares'!$C:$FA,97)</f>
        <v>-0.89590000000000003</v>
      </c>
      <c r="N44" s="86">
        <f>VLOOKUP($A44,'Data shares'!$C:$FA,78)</f>
        <v>156000</v>
      </c>
      <c r="O44" s="87">
        <f>VLOOKUP($A44,'Data shares'!$C:$FA,81)</f>
        <v>-0.10780000000000001</v>
      </c>
    </row>
    <row r="45" spans="1:15" x14ac:dyDescent="0.25">
      <c r="A45" s="100" t="str">
        <f>'OI(Value)'!A45</f>
        <v>BOSCHLTD</v>
      </c>
      <c r="B45" s="82">
        <f>VLOOKUP(A45,'Data shares'!$C$2:$CV$231,98,0)</f>
        <v>423200</v>
      </c>
      <c r="C45" s="82">
        <f>VLOOKUP(A45,'Data shares'!$C$2:$CX$231,100,0)</f>
        <v>-600275</v>
      </c>
      <c r="D45" s="141">
        <f>VLOOKUP(A45,'Data shares'!$C$2:$CY$554,101,0)</f>
        <v>-0.58650000000000002</v>
      </c>
      <c r="E45" s="86">
        <f>VLOOKUP($A45,'Data shares'!$C:$FA,74)</f>
        <v>325850</v>
      </c>
      <c r="F45" s="86">
        <f>VLOOKUP($A45,'Data shares'!$C:$FA,76)</f>
        <v>-41275</v>
      </c>
      <c r="G45" s="87">
        <f>VLOOKUP(A45,'Data shares'!$C$2:$CA$231,77,0)</f>
        <v>-0.1124</v>
      </c>
      <c r="H45" s="86">
        <f>VLOOKUP($A45,'Data shares'!$C:$FA,90)</f>
        <v>61700</v>
      </c>
      <c r="I45" s="86">
        <f>VLOOKUP($A45,'Data shares'!$C:$FA,92)</f>
        <v>-336925</v>
      </c>
      <c r="J45" s="87">
        <f>VLOOKUP($A45,'Data shares'!$C:$FA,93)</f>
        <v>-0.84519999999999995</v>
      </c>
      <c r="K45" s="86">
        <f>VLOOKUP($A45,'Data shares'!$C:$FA,94)</f>
        <v>35650</v>
      </c>
      <c r="L45" s="86">
        <f>VLOOKUP($A45,'Data shares'!$C:$FA,96)</f>
        <v>-222075</v>
      </c>
      <c r="M45" s="87">
        <f>VLOOKUP($A45,'Data shares'!$C:$FA,97)</f>
        <v>-0.86170000000000002</v>
      </c>
      <c r="N45" s="86">
        <f>VLOOKUP($A45,'Data shares'!$C:$FA,78)</f>
        <v>29075</v>
      </c>
      <c r="O45" s="87">
        <f>VLOOKUP($A45,'Data shares'!$C:$FA,81)</f>
        <v>-0.51319999999999999</v>
      </c>
    </row>
    <row r="46" spans="1:15" x14ac:dyDescent="0.25">
      <c r="A46" s="100" t="str">
        <f>'OI(Value)'!A46</f>
        <v>BPCL</v>
      </c>
      <c r="B46" s="82">
        <f>VLOOKUP(A46,'Data shares'!$C$2:$CV$231,98,0)</f>
        <v>50350650</v>
      </c>
      <c r="C46" s="82">
        <f>VLOOKUP(A46,'Data shares'!$C$2:$CX$231,100,0)</f>
        <v>-37218875</v>
      </c>
      <c r="D46" s="141">
        <f>VLOOKUP(A46,'Data shares'!$C$2:$CY$554,101,0)</f>
        <v>-0.42499999999999999</v>
      </c>
      <c r="E46" s="86">
        <f>VLOOKUP($A46,'Data shares'!$C:$FA,74)</f>
        <v>37398600</v>
      </c>
      <c r="F46" s="86">
        <f>VLOOKUP($A46,'Data shares'!$C:$FA,76)</f>
        <v>-13564300</v>
      </c>
      <c r="G46" s="87">
        <f>VLOOKUP(A46,'Data shares'!$C$2:$CA$231,77,0)</f>
        <v>-0.26619999999999999</v>
      </c>
      <c r="H46" s="86">
        <f>VLOOKUP($A46,'Data shares'!$C:$FA,90)</f>
        <v>7990850</v>
      </c>
      <c r="I46" s="86">
        <f>VLOOKUP($A46,'Data shares'!$C:$FA,92)</f>
        <v>-16949450</v>
      </c>
      <c r="J46" s="87">
        <f>VLOOKUP($A46,'Data shares'!$C:$FA,93)</f>
        <v>-0.67959999999999998</v>
      </c>
      <c r="K46" s="86">
        <f>VLOOKUP($A46,'Data shares'!$C:$FA,94)</f>
        <v>4961200</v>
      </c>
      <c r="L46" s="86">
        <f>VLOOKUP($A46,'Data shares'!$C:$FA,96)</f>
        <v>-6705125</v>
      </c>
      <c r="M46" s="87">
        <f>VLOOKUP($A46,'Data shares'!$C:$FA,97)</f>
        <v>-0.57469999999999999</v>
      </c>
      <c r="N46" s="86">
        <f>VLOOKUP($A46,'Data shares'!$C:$FA,78)</f>
        <v>10412200</v>
      </c>
      <c r="O46" s="87">
        <f>VLOOKUP($A46,'Data shares'!$C:$FA,81)</f>
        <v>-0.161</v>
      </c>
    </row>
    <row r="47" spans="1:15" x14ac:dyDescent="0.25">
      <c r="A47" s="100" t="str">
        <f>'OI(Value)'!A47</f>
        <v>BRITANNIA</v>
      </c>
      <c r="B47" s="82">
        <f>VLOOKUP(A47,'Data shares'!$C$2:$CV$231,98,0)</f>
        <v>3374500</v>
      </c>
      <c r="C47" s="82">
        <f>VLOOKUP(A47,'Data shares'!$C$2:$CX$231,100,0)</f>
        <v>-844250</v>
      </c>
      <c r="D47" s="141">
        <f>VLOOKUP(A47,'Data shares'!$C$2:$CY$554,101,0)</f>
        <v>-0.2001</v>
      </c>
      <c r="E47" s="86">
        <f>VLOOKUP($A47,'Data shares'!$C:$FA,74)</f>
        <v>3069125</v>
      </c>
      <c r="F47" s="86">
        <f>VLOOKUP($A47,'Data shares'!$C:$FA,76)</f>
        <v>-82500</v>
      </c>
      <c r="G47" s="87">
        <f>VLOOKUP(A47,'Data shares'!$C$2:$CA$231,77,0)</f>
        <v>-2.6200000000000001E-2</v>
      </c>
      <c r="H47" s="86">
        <f>VLOOKUP($A47,'Data shares'!$C:$FA,90)</f>
        <v>202375</v>
      </c>
      <c r="I47" s="86">
        <f>VLOOKUP($A47,'Data shares'!$C:$FA,92)</f>
        <v>-440625</v>
      </c>
      <c r="J47" s="87">
        <f>VLOOKUP($A47,'Data shares'!$C:$FA,93)</f>
        <v>-0.68530000000000002</v>
      </c>
      <c r="K47" s="86">
        <f>VLOOKUP($A47,'Data shares'!$C:$FA,94)</f>
        <v>103000</v>
      </c>
      <c r="L47" s="86">
        <f>VLOOKUP($A47,'Data shares'!$C:$FA,96)</f>
        <v>-321125</v>
      </c>
      <c r="M47" s="87">
        <f>VLOOKUP($A47,'Data shares'!$C:$FA,97)</f>
        <v>-0.7571</v>
      </c>
      <c r="N47" s="86">
        <f>VLOOKUP($A47,'Data shares'!$C:$FA,78)</f>
        <v>114750</v>
      </c>
      <c r="O47" s="87">
        <f>VLOOKUP($A47,'Data shares'!$C:$FA,81)</f>
        <v>-0.82410000000000005</v>
      </c>
    </row>
    <row r="48" spans="1:15" x14ac:dyDescent="0.25">
      <c r="A48" s="100" t="str">
        <f>'OI(Value)'!A48</f>
        <v>BSE</v>
      </c>
      <c r="B48" s="82">
        <f>VLOOKUP(A48,'Data shares'!$C$2:$CV$231,98,0)</f>
        <v>17468625</v>
      </c>
      <c r="C48" s="82">
        <f>VLOOKUP(A48,'Data shares'!$C$2:$CX$231,100,0)</f>
        <v>-17068125</v>
      </c>
      <c r="D48" s="141">
        <f>VLOOKUP(A48,'Data shares'!$C$2:$CY$554,101,0)</f>
        <v>-0.49419999999999997</v>
      </c>
      <c r="E48" s="86">
        <f>VLOOKUP($A48,'Data shares'!$C:$FA,74)</f>
        <v>10953750</v>
      </c>
      <c r="F48" s="86">
        <f>VLOOKUP($A48,'Data shares'!$C:$FA,76)</f>
        <v>-2242125</v>
      </c>
      <c r="G48" s="87">
        <f>VLOOKUP(A48,'Data shares'!$C$2:$CA$231,77,0)</f>
        <v>-0.1699</v>
      </c>
      <c r="H48" s="86">
        <f>VLOOKUP($A48,'Data shares'!$C:$FA,90)</f>
        <v>3528000</v>
      </c>
      <c r="I48" s="86">
        <f>VLOOKUP($A48,'Data shares'!$C:$FA,92)</f>
        <v>-9698250</v>
      </c>
      <c r="J48" s="87">
        <f>VLOOKUP($A48,'Data shares'!$C:$FA,93)</f>
        <v>-0.73329999999999995</v>
      </c>
      <c r="K48" s="86">
        <f>VLOOKUP($A48,'Data shares'!$C:$FA,94)</f>
        <v>2986875</v>
      </c>
      <c r="L48" s="86">
        <f>VLOOKUP($A48,'Data shares'!$C:$FA,96)</f>
        <v>-5127750</v>
      </c>
      <c r="M48" s="87">
        <f>VLOOKUP($A48,'Data shares'!$C:$FA,97)</f>
        <v>-0.63190000000000002</v>
      </c>
      <c r="N48" s="86">
        <f>VLOOKUP($A48,'Data shares'!$C:$FA,78)</f>
        <v>1564500</v>
      </c>
      <c r="O48" s="87">
        <f>VLOOKUP($A48,'Data shares'!$C:$FA,81)</f>
        <v>-0.628</v>
      </c>
    </row>
    <row r="49" spans="1:15" x14ac:dyDescent="0.25">
      <c r="A49" s="100" t="str">
        <f>'OI(Value)'!A49</f>
        <v>BSOFT</v>
      </c>
      <c r="B49" s="82">
        <f>VLOOKUP(A49,'Data shares'!$C$2:$CV$231,98,0)</f>
        <v>7593300</v>
      </c>
      <c r="C49" s="82">
        <f>VLOOKUP(A49,'Data shares'!$C$2:$CX$231,100,0)</f>
        <v>-4880200</v>
      </c>
      <c r="D49" s="141">
        <f>VLOOKUP(A49,'Data shares'!$C$2:$CY$554,101,0)</f>
        <v>-0.39119999999999999</v>
      </c>
      <c r="E49" s="86">
        <f>VLOOKUP($A49,'Data shares'!$C:$FA,74)</f>
        <v>0</v>
      </c>
      <c r="F49" s="86">
        <f>VLOOKUP($A49,'Data shares'!$C:$FA,76)</f>
        <v>-3571100</v>
      </c>
      <c r="G49" s="87">
        <f>VLOOKUP(A49,'Data shares'!$C$2:$CA$231,77,0)</f>
        <v>-1</v>
      </c>
      <c r="H49" s="86">
        <f>VLOOKUP($A49,'Data shares'!$C:$FA,90)</f>
        <v>5255900</v>
      </c>
      <c r="I49" s="86">
        <f>VLOOKUP($A49,'Data shares'!$C:$FA,92)</f>
        <v>-783900</v>
      </c>
      <c r="J49" s="87">
        <f>VLOOKUP($A49,'Data shares'!$C:$FA,93)</f>
        <v>-0.1298</v>
      </c>
      <c r="K49" s="86">
        <f>VLOOKUP($A49,'Data shares'!$C:$FA,94)</f>
        <v>2337400</v>
      </c>
      <c r="L49" s="86">
        <f>VLOOKUP($A49,'Data shares'!$C:$FA,96)</f>
        <v>-525200</v>
      </c>
      <c r="M49" s="87">
        <f>VLOOKUP($A49,'Data shares'!$C:$FA,97)</f>
        <v>-0.1835</v>
      </c>
      <c r="N49" s="86">
        <f>VLOOKUP($A49,'Data shares'!$C:$FA,78)</f>
        <v>1463800</v>
      </c>
      <c r="O49" s="87">
        <f>VLOOKUP($A49,'Data shares'!$C:$FA,81)</f>
        <v>-0.59009999999999996</v>
      </c>
    </row>
    <row r="50" spans="1:15" x14ac:dyDescent="0.25">
      <c r="A50" s="100" t="str">
        <f>'OI(Value)'!A50</f>
        <v>CAMS</v>
      </c>
      <c r="B50" s="82">
        <f>VLOOKUP(A50,'Data shares'!$C$2:$CV$231,98,0)</f>
        <v>3247050</v>
      </c>
      <c r="C50" s="82">
        <f>VLOOKUP(A50,'Data shares'!$C$2:$CX$231,100,0)</f>
        <v>-1598400</v>
      </c>
      <c r="D50" s="141">
        <f>VLOOKUP(A50,'Data shares'!$C$2:$CY$554,101,0)</f>
        <v>-0.32990000000000003</v>
      </c>
      <c r="E50" s="86">
        <f>VLOOKUP($A50,'Data shares'!$C:$FA,74)</f>
        <v>2137500</v>
      </c>
      <c r="F50" s="86">
        <f>VLOOKUP($A50,'Data shares'!$C:$FA,76)</f>
        <v>-355350</v>
      </c>
      <c r="G50" s="87">
        <f>VLOOKUP(A50,'Data shares'!$C$2:$CA$231,77,0)</f>
        <v>-0.14249999999999999</v>
      </c>
      <c r="H50" s="86">
        <f>VLOOKUP($A50,'Data shares'!$C:$FA,90)</f>
        <v>666600</v>
      </c>
      <c r="I50" s="86">
        <f>VLOOKUP($A50,'Data shares'!$C:$FA,92)</f>
        <v>-698100</v>
      </c>
      <c r="J50" s="87">
        <f>VLOOKUP($A50,'Data shares'!$C:$FA,93)</f>
        <v>-0.51149999999999995</v>
      </c>
      <c r="K50" s="86">
        <f>VLOOKUP($A50,'Data shares'!$C:$FA,94)</f>
        <v>442950</v>
      </c>
      <c r="L50" s="86">
        <f>VLOOKUP($A50,'Data shares'!$C:$FA,96)</f>
        <v>-544950</v>
      </c>
      <c r="M50" s="87">
        <f>VLOOKUP($A50,'Data shares'!$C:$FA,97)</f>
        <v>-0.55159999999999998</v>
      </c>
      <c r="N50" s="86">
        <f>VLOOKUP($A50,'Data shares'!$C:$FA,78)</f>
        <v>507000</v>
      </c>
      <c r="O50" s="87">
        <f>VLOOKUP($A50,'Data shares'!$C:$FA,81)</f>
        <v>-0.53259999999999996</v>
      </c>
    </row>
    <row r="51" spans="1:15" x14ac:dyDescent="0.25">
      <c r="A51" s="100" t="str">
        <f>'OI(Value)'!A51</f>
        <v>CANBK</v>
      </c>
      <c r="B51" s="82">
        <f>VLOOKUP(A51,'Data shares'!$C$2:$CV$231,98,0)</f>
        <v>351769500</v>
      </c>
      <c r="C51" s="82">
        <f>VLOOKUP(A51,'Data shares'!$C$2:$CX$231,100,0)</f>
        <v>-125631000</v>
      </c>
      <c r="D51" s="141">
        <f>VLOOKUP(A51,'Data shares'!$C$2:$CY$554,101,0)</f>
        <v>-0.26319999999999999</v>
      </c>
      <c r="E51" s="86">
        <f>VLOOKUP($A51,'Data shares'!$C:$FA,74)</f>
        <v>225247500</v>
      </c>
      <c r="F51" s="86">
        <f>VLOOKUP($A51,'Data shares'!$C:$FA,76)</f>
        <v>2625750</v>
      </c>
      <c r="G51" s="87">
        <f>VLOOKUP(A51,'Data shares'!$C$2:$CA$231,77,0)</f>
        <v>1.18E-2</v>
      </c>
      <c r="H51" s="86">
        <f>VLOOKUP($A51,'Data shares'!$C:$FA,90)</f>
        <v>71921250</v>
      </c>
      <c r="I51" s="86">
        <f>VLOOKUP($A51,'Data shares'!$C:$FA,92)</f>
        <v>-82485000</v>
      </c>
      <c r="J51" s="87">
        <f>VLOOKUP($A51,'Data shares'!$C:$FA,93)</f>
        <v>-0.53420000000000001</v>
      </c>
      <c r="K51" s="86">
        <f>VLOOKUP($A51,'Data shares'!$C:$FA,94)</f>
        <v>54600750</v>
      </c>
      <c r="L51" s="86">
        <f>VLOOKUP($A51,'Data shares'!$C:$FA,96)</f>
        <v>-45771750</v>
      </c>
      <c r="M51" s="87">
        <f>VLOOKUP($A51,'Data shares'!$C:$FA,97)</f>
        <v>-0.45600000000000002</v>
      </c>
      <c r="N51" s="86">
        <f>VLOOKUP($A51,'Data shares'!$C:$FA,78)</f>
        <v>33601500</v>
      </c>
      <c r="O51" s="87">
        <f>VLOOKUP($A51,'Data shares'!$C:$FA,81)</f>
        <v>-0.1648</v>
      </c>
    </row>
    <row r="52" spans="1:15" x14ac:dyDescent="0.25">
      <c r="A52" s="100" t="str">
        <f>'OI(Value)'!A52</f>
        <v>CDSL</v>
      </c>
      <c r="B52" s="82">
        <f>VLOOKUP(A52,'Data shares'!$C$2:$CV$231,98,0)</f>
        <v>17290000</v>
      </c>
      <c r="C52" s="82">
        <f>VLOOKUP(A52,'Data shares'!$C$2:$CX$231,100,0)</f>
        <v>-8009925</v>
      </c>
      <c r="D52" s="141">
        <f>VLOOKUP(A52,'Data shares'!$C$2:$CY$554,101,0)</f>
        <v>-0.31659999999999999</v>
      </c>
      <c r="E52" s="86">
        <f>VLOOKUP($A52,'Data shares'!$C:$FA,74)</f>
        <v>9327575</v>
      </c>
      <c r="F52" s="86">
        <f>VLOOKUP($A52,'Data shares'!$C:$FA,76)</f>
        <v>-1580325</v>
      </c>
      <c r="G52" s="87">
        <f>VLOOKUP(A52,'Data shares'!$C$2:$CA$231,77,0)</f>
        <v>-0.1449</v>
      </c>
      <c r="H52" s="86">
        <f>VLOOKUP($A52,'Data shares'!$C:$FA,90)</f>
        <v>4680650</v>
      </c>
      <c r="I52" s="86">
        <f>VLOOKUP($A52,'Data shares'!$C:$FA,92)</f>
        <v>-4513925</v>
      </c>
      <c r="J52" s="87">
        <f>VLOOKUP($A52,'Data shares'!$C:$FA,93)</f>
        <v>-0.4909</v>
      </c>
      <c r="K52" s="86">
        <f>VLOOKUP($A52,'Data shares'!$C:$FA,94)</f>
        <v>3281775</v>
      </c>
      <c r="L52" s="86">
        <f>VLOOKUP($A52,'Data shares'!$C:$FA,96)</f>
        <v>-1915675</v>
      </c>
      <c r="M52" s="87">
        <f>VLOOKUP($A52,'Data shares'!$C:$FA,97)</f>
        <v>-0.36859999999999998</v>
      </c>
      <c r="N52" s="86">
        <f>VLOOKUP($A52,'Data shares'!$C:$FA,78)</f>
        <v>888250</v>
      </c>
      <c r="O52" s="87">
        <f>VLOOKUP($A52,'Data shares'!$C:$FA,81)</f>
        <v>-0.63739999999999997</v>
      </c>
    </row>
    <row r="53" spans="1:15" x14ac:dyDescent="0.25">
      <c r="A53" s="100" t="str">
        <f>'OI(Value)'!A53</f>
        <v>CESC</v>
      </c>
      <c r="B53" s="82">
        <f>VLOOKUP(A53,'Data shares'!$C$2:$CV$231,98,0)</f>
        <v>21557875</v>
      </c>
      <c r="C53" s="82">
        <f>VLOOKUP(A53,'Data shares'!$C$2:$CX$231,100,0)</f>
        <v>-12325000</v>
      </c>
      <c r="D53" s="141">
        <f>VLOOKUP(A53,'Data shares'!$C$2:$CY$554,101,0)</f>
        <v>-0.36380000000000001</v>
      </c>
      <c r="E53" s="86">
        <f>VLOOKUP($A53,'Data shares'!$C:$FA,74)</f>
        <v>15714375</v>
      </c>
      <c r="F53" s="86">
        <f>VLOOKUP($A53,'Data shares'!$C:$FA,76)</f>
        <v>-1678375</v>
      </c>
      <c r="G53" s="87">
        <f>VLOOKUP(A53,'Data shares'!$C$2:$CA$231,77,0)</f>
        <v>-9.6500000000000002E-2</v>
      </c>
      <c r="H53" s="86">
        <f>VLOOKUP($A53,'Data shares'!$C:$FA,90)</f>
        <v>3965750</v>
      </c>
      <c r="I53" s="86">
        <f>VLOOKUP($A53,'Data shares'!$C:$FA,92)</f>
        <v>-6474250</v>
      </c>
      <c r="J53" s="87">
        <f>VLOOKUP($A53,'Data shares'!$C:$FA,93)</f>
        <v>-0.62009999999999998</v>
      </c>
      <c r="K53" s="86">
        <f>VLOOKUP($A53,'Data shares'!$C:$FA,94)</f>
        <v>1877750</v>
      </c>
      <c r="L53" s="86">
        <f>VLOOKUP($A53,'Data shares'!$C:$FA,96)</f>
        <v>-4172375</v>
      </c>
      <c r="M53" s="87">
        <f>VLOOKUP($A53,'Data shares'!$C:$FA,97)</f>
        <v>-0.68959999999999999</v>
      </c>
      <c r="N53" s="86">
        <f>VLOOKUP($A53,'Data shares'!$C:$FA,78)</f>
        <v>1210750</v>
      </c>
      <c r="O53" s="87">
        <f>VLOOKUP($A53,'Data shares'!$C:$FA,81)</f>
        <v>-0.72209999999999996</v>
      </c>
    </row>
    <row r="54" spans="1:15" x14ac:dyDescent="0.25">
      <c r="A54" s="100" t="str">
        <f>'OI(Value)'!A54</f>
        <v>CGPOWER</v>
      </c>
      <c r="B54" s="82">
        <f>VLOOKUP(A54,'Data shares'!$C$2:$CV$231,98,0)</f>
        <v>20635450</v>
      </c>
      <c r="C54" s="82">
        <f>VLOOKUP(A54,'Data shares'!$C$2:$CX$231,100,0)</f>
        <v>-7976400</v>
      </c>
      <c r="D54" s="141">
        <f>VLOOKUP(A54,'Data shares'!$C$2:$CY$554,101,0)</f>
        <v>-0.27879999999999999</v>
      </c>
      <c r="E54" s="86">
        <f>VLOOKUP($A54,'Data shares'!$C:$FA,74)</f>
        <v>17855100</v>
      </c>
      <c r="F54" s="86">
        <f>VLOOKUP($A54,'Data shares'!$C:$FA,76)</f>
        <v>-2660500</v>
      </c>
      <c r="G54" s="87">
        <f>VLOOKUP(A54,'Data shares'!$C$2:$CA$231,77,0)</f>
        <v>-0.12970000000000001</v>
      </c>
      <c r="H54" s="86">
        <f>VLOOKUP($A54,'Data shares'!$C:$FA,90)</f>
        <v>1467100</v>
      </c>
      <c r="I54" s="86">
        <f>VLOOKUP($A54,'Data shares'!$C:$FA,92)</f>
        <v>-3426350</v>
      </c>
      <c r="J54" s="87">
        <f>VLOOKUP($A54,'Data shares'!$C:$FA,93)</f>
        <v>-0.70020000000000004</v>
      </c>
      <c r="K54" s="86">
        <f>VLOOKUP($A54,'Data shares'!$C:$FA,94)</f>
        <v>1313250</v>
      </c>
      <c r="L54" s="86">
        <f>VLOOKUP($A54,'Data shares'!$C:$FA,96)</f>
        <v>-1889550</v>
      </c>
      <c r="M54" s="87">
        <f>VLOOKUP($A54,'Data shares'!$C:$FA,97)</f>
        <v>-0.59</v>
      </c>
      <c r="N54" s="86">
        <f>VLOOKUP($A54,'Data shares'!$C:$FA,78)</f>
        <v>3546200</v>
      </c>
      <c r="O54" s="87">
        <f>VLOOKUP($A54,'Data shares'!$C:$FA,81)</f>
        <v>-0.12520000000000001</v>
      </c>
    </row>
    <row r="55" spans="1:15" x14ac:dyDescent="0.25">
      <c r="A55" s="100" t="str">
        <f>'OI(Value)'!A55</f>
        <v>CHAMBLFERT</v>
      </c>
      <c r="B55" s="82">
        <f>VLOOKUP(A55,'Data shares'!$C$2:$CV$231,98,0)</f>
        <v>5408350</v>
      </c>
      <c r="C55" s="82">
        <f>VLOOKUP(A55,'Data shares'!$C$2:$CX$231,100,0)</f>
        <v>-6924550</v>
      </c>
      <c r="D55" s="141">
        <f>VLOOKUP(A55,'Data shares'!$C$2:$CY$554,101,0)</f>
        <v>-0.5615</v>
      </c>
      <c r="E55" s="86">
        <f>VLOOKUP($A55,'Data shares'!$C:$FA,74)</f>
        <v>0</v>
      </c>
      <c r="F55" s="86">
        <f>VLOOKUP($A55,'Data shares'!$C:$FA,76)</f>
        <v>-5671500</v>
      </c>
      <c r="G55" s="87">
        <f>VLOOKUP(A55,'Data shares'!$C$2:$CA$231,77,0)</f>
        <v>-1</v>
      </c>
      <c r="H55" s="86">
        <f>VLOOKUP($A55,'Data shares'!$C:$FA,90)</f>
        <v>3632800</v>
      </c>
      <c r="I55" s="86">
        <f>VLOOKUP($A55,'Data shares'!$C:$FA,92)</f>
        <v>-786600</v>
      </c>
      <c r="J55" s="87">
        <f>VLOOKUP($A55,'Data shares'!$C:$FA,93)</f>
        <v>-0.17799999999999999</v>
      </c>
      <c r="K55" s="86">
        <f>VLOOKUP($A55,'Data shares'!$C:$FA,94)</f>
        <v>1775550</v>
      </c>
      <c r="L55" s="86">
        <f>VLOOKUP($A55,'Data shares'!$C:$FA,96)</f>
        <v>-466450</v>
      </c>
      <c r="M55" s="87">
        <f>VLOOKUP($A55,'Data shares'!$C:$FA,97)</f>
        <v>-0.20810000000000001</v>
      </c>
      <c r="N55" s="86">
        <f>VLOOKUP($A55,'Data shares'!$C:$FA,78)</f>
        <v>2045350</v>
      </c>
      <c r="O55" s="87">
        <f>VLOOKUP($A55,'Data shares'!$C:$FA,81)</f>
        <v>-0.63939999999999997</v>
      </c>
    </row>
    <row r="56" spans="1:15" x14ac:dyDescent="0.25">
      <c r="A56" s="100" t="str">
        <f>'OI(Value)'!A56</f>
        <v>CHOLAFIN</v>
      </c>
      <c r="B56" s="82">
        <f>VLOOKUP(A56,'Data shares'!$C$2:$CV$231,98,0)</f>
        <v>16531875</v>
      </c>
      <c r="C56" s="82">
        <f>VLOOKUP(A56,'Data shares'!$C$2:$CX$231,100,0)</f>
        <v>-2988750</v>
      </c>
      <c r="D56" s="141">
        <f>VLOOKUP(A56,'Data shares'!$C$2:$CY$554,101,0)</f>
        <v>-0.15310000000000001</v>
      </c>
      <c r="E56" s="86">
        <f>VLOOKUP($A56,'Data shares'!$C:$FA,74)</f>
        <v>13189375</v>
      </c>
      <c r="F56" s="86">
        <f>VLOOKUP($A56,'Data shares'!$C:$FA,76)</f>
        <v>1019375</v>
      </c>
      <c r="G56" s="87">
        <f>VLOOKUP(A56,'Data shares'!$C$2:$CA$231,77,0)</f>
        <v>8.3799999999999999E-2</v>
      </c>
      <c r="H56" s="86">
        <f>VLOOKUP($A56,'Data shares'!$C:$FA,90)</f>
        <v>1916875</v>
      </c>
      <c r="I56" s="86">
        <f>VLOOKUP($A56,'Data shares'!$C:$FA,92)</f>
        <v>-2565625</v>
      </c>
      <c r="J56" s="87">
        <f>VLOOKUP($A56,'Data shares'!$C:$FA,93)</f>
        <v>-0.57240000000000002</v>
      </c>
      <c r="K56" s="86">
        <f>VLOOKUP($A56,'Data shares'!$C:$FA,94)</f>
        <v>1425625</v>
      </c>
      <c r="L56" s="86">
        <f>VLOOKUP($A56,'Data shares'!$C:$FA,96)</f>
        <v>-1442500</v>
      </c>
      <c r="M56" s="87">
        <f>VLOOKUP($A56,'Data shares'!$C:$FA,97)</f>
        <v>-0.50290000000000001</v>
      </c>
      <c r="N56" s="86">
        <f>VLOOKUP($A56,'Data shares'!$C:$FA,78)</f>
        <v>742500</v>
      </c>
      <c r="O56" s="87">
        <f>VLOOKUP($A56,'Data shares'!$C:$FA,81)</f>
        <v>-0.5514</v>
      </c>
    </row>
    <row r="57" spans="1:15" x14ac:dyDescent="0.25">
      <c r="A57" s="100" t="str">
        <f>'OI(Value)'!A57</f>
        <v>CIPLA</v>
      </c>
      <c r="B57" s="82">
        <f>VLOOKUP(A57,'Data shares'!$C$2:$CV$231,98,0)</f>
        <v>14310375</v>
      </c>
      <c r="C57" s="82">
        <f>VLOOKUP(A57,'Data shares'!$C$2:$CX$231,100,0)</f>
        <v>-8030625</v>
      </c>
      <c r="D57" s="141">
        <f>VLOOKUP(A57,'Data shares'!$C$2:$CY$554,101,0)</f>
        <v>-0.35949999999999999</v>
      </c>
      <c r="E57" s="86">
        <f>VLOOKUP($A57,'Data shares'!$C:$FA,74)</f>
        <v>11882250</v>
      </c>
      <c r="F57" s="86">
        <f>VLOOKUP($A57,'Data shares'!$C:$FA,76)</f>
        <v>-643500</v>
      </c>
      <c r="G57" s="87">
        <f>VLOOKUP(A57,'Data shares'!$C$2:$CA$231,77,0)</f>
        <v>-5.1400000000000001E-2</v>
      </c>
      <c r="H57" s="86">
        <f>VLOOKUP($A57,'Data shares'!$C:$FA,90)</f>
        <v>1464750</v>
      </c>
      <c r="I57" s="86">
        <f>VLOOKUP($A57,'Data shares'!$C:$FA,92)</f>
        <v>-4412625</v>
      </c>
      <c r="J57" s="87">
        <f>VLOOKUP($A57,'Data shares'!$C:$FA,93)</f>
        <v>-0.75080000000000002</v>
      </c>
      <c r="K57" s="86">
        <f>VLOOKUP($A57,'Data shares'!$C:$FA,94)</f>
        <v>963375</v>
      </c>
      <c r="L57" s="86">
        <f>VLOOKUP($A57,'Data shares'!$C:$FA,96)</f>
        <v>-2974500</v>
      </c>
      <c r="M57" s="87">
        <f>VLOOKUP($A57,'Data shares'!$C:$FA,97)</f>
        <v>-0.75539999999999996</v>
      </c>
      <c r="N57" s="86">
        <f>VLOOKUP($A57,'Data shares'!$C:$FA,78)</f>
        <v>496125</v>
      </c>
      <c r="O57" s="87">
        <f>VLOOKUP($A57,'Data shares'!$C:$FA,81)</f>
        <v>-0.69679999999999997</v>
      </c>
    </row>
    <row r="58" spans="1:15" x14ac:dyDescent="0.25">
      <c r="A58" s="100" t="str">
        <f>'OI(Value)'!A58</f>
        <v>COALINDIA</v>
      </c>
      <c r="B58" s="82">
        <f>VLOOKUP(A58,'Data shares'!$C$2:$CV$231,98,0)</f>
        <v>113387850</v>
      </c>
      <c r="C58" s="82">
        <f>VLOOKUP(A58,'Data shares'!$C$2:$CX$231,100,0)</f>
        <v>-32101650</v>
      </c>
      <c r="D58" s="141">
        <f>VLOOKUP(A58,'Data shares'!$C$2:$CY$554,101,0)</f>
        <v>-0.22059999999999999</v>
      </c>
      <c r="E58" s="86">
        <f>VLOOKUP($A58,'Data shares'!$C:$FA,74)</f>
        <v>72334350</v>
      </c>
      <c r="F58" s="86">
        <f>VLOOKUP($A58,'Data shares'!$C:$FA,76)</f>
        <v>-4603500</v>
      </c>
      <c r="G58" s="87">
        <f>VLOOKUP(A58,'Data shares'!$C$2:$CA$231,77,0)</f>
        <v>-5.9799999999999999E-2</v>
      </c>
      <c r="H58" s="86">
        <f>VLOOKUP($A58,'Data shares'!$C:$FA,90)</f>
        <v>20359350</v>
      </c>
      <c r="I58" s="86">
        <f>VLOOKUP($A58,'Data shares'!$C:$FA,92)</f>
        <v>-18821700</v>
      </c>
      <c r="J58" s="87">
        <f>VLOOKUP($A58,'Data shares'!$C:$FA,93)</f>
        <v>-0.48039999999999999</v>
      </c>
      <c r="K58" s="86">
        <f>VLOOKUP($A58,'Data shares'!$C:$FA,94)</f>
        <v>20694150</v>
      </c>
      <c r="L58" s="86">
        <f>VLOOKUP($A58,'Data shares'!$C:$FA,96)</f>
        <v>-8676450</v>
      </c>
      <c r="M58" s="87">
        <f>VLOOKUP($A58,'Data shares'!$C:$FA,97)</f>
        <v>-0.2954</v>
      </c>
      <c r="N58" s="86">
        <f>VLOOKUP($A58,'Data shares'!$C:$FA,78)</f>
        <v>10071000</v>
      </c>
      <c r="O58" s="87">
        <f>VLOOKUP($A58,'Data shares'!$C:$FA,81)</f>
        <v>-0.20760000000000001</v>
      </c>
    </row>
    <row r="59" spans="1:15" x14ac:dyDescent="0.25">
      <c r="A59" s="100" t="str">
        <f>'OI(Value)'!A59</f>
        <v>COFORGE</v>
      </c>
      <c r="B59" s="82">
        <f>VLOOKUP(A59,'Data shares'!$C$2:$CV$231,98,0)</f>
        <v>19190250</v>
      </c>
      <c r="C59" s="82">
        <f>VLOOKUP(A59,'Data shares'!$C$2:$CX$231,100,0)</f>
        <v>-11056500</v>
      </c>
      <c r="D59" s="141">
        <f>VLOOKUP(A59,'Data shares'!$C$2:$CY$554,101,0)</f>
        <v>-0.36549999999999999</v>
      </c>
      <c r="E59" s="86">
        <f>VLOOKUP($A59,'Data shares'!$C:$FA,74)</f>
        <v>14785500</v>
      </c>
      <c r="F59" s="86">
        <f>VLOOKUP($A59,'Data shares'!$C:$FA,76)</f>
        <v>-2776875</v>
      </c>
      <c r="G59" s="87">
        <f>VLOOKUP(A59,'Data shares'!$C$2:$CA$231,77,0)</f>
        <v>-0.15809999999999999</v>
      </c>
      <c r="H59" s="86">
        <f>VLOOKUP($A59,'Data shares'!$C:$FA,90)</f>
        <v>2685375</v>
      </c>
      <c r="I59" s="86">
        <f>VLOOKUP($A59,'Data shares'!$C:$FA,92)</f>
        <v>-6172125</v>
      </c>
      <c r="J59" s="87">
        <f>VLOOKUP($A59,'Data shares'!$C:$FA,93)</f>
        <v>-0.69679999999999997</v>
      </c>
      <c r="K59" s="86">
        <f>VLOOKUP($A59,'Data shares'!$C:$FA,94)</f>
        <v>1719375</v>
      </c>
      <c r="L59" s="86">
        <f>VLOOKUP($A59,'Data shares'!$C:$FA,96)</f>
        <v>-2107500</v>
      </c>
      <c r="M59" s="87">
        <f>VLOOKUP($A59,'Data shares'!$C:$FA,97)</f>
        <v>-0.55069999999999997</v>
      </c>
      <c r="N59" s="86">
        <f>VLOOKUP($A59,'Data shares'!$C:$FA,78)</f>
        <v>1191000</v>
      </c>
      <c r="O59" s="87">
        <f>VLOOKUP($A59,'Data shares'!$C:$FA,81)</f>
        <v>-0.68820000000000003</v>
      </c>
    </row>
    <row r="60" spans="1:15" x14ac:dyDescent="0.25">
      <c r="A60" s="100" t="str">
        <f>'OI(Value)'!A60</f>
        <v>COLPAL</v>
      </c>
      <c r="B60" s="82">
        <f>VLOOKUP(A60,'Data shares'!$C$2:$CV$231,98,0)</f>
        <v>7679250</v>
      </c>
      <c r="C60" s="82">
        <f>VLOOKUP(A60,'Data shares'!$C$2:$CX$231,100,0)</f>
        <v>-2410650</v>
      </c>
      <c r="D60" s="141">
        <f>VLOOKUP(A60,'Data shares'!$C$2:$CY$554,101,0)</f>
        <v>-0.2389</v>
      </c>
      <c r="E60" s="86">
        <f>VLOOKUP($A60,'Data shares'!$C:$FA,74)</f>
        <v>5520375</v>
      </c>
      <c r="F60" s="86">
        <f>VLOOKUP($A60,'Data shares'!$C:$FA,76)</f>
        <v>-289575</v>
      </c>
      <c r="G60" s="87">
        <f>VLOOKUP(A60,'Data shares'!$C$2:$CA$231,77,0)</f>
        <v>-4.9799999999999997E-2</v>
      </c>
      <c r="H60" s="86">
        <f>VLOOKUP($A60,'Data shares'!$C:$FA,90)</f>
        <v>1155825</v>
      </c>
      <c r="I60" s="86">
        <f>VLOOKUP($A60,'Data shares'!$C:$FA,92)</f>
        <v>-1430775</v>
      </c>
      <c r="J60" s="87">
        <f>VLOOKUP($A60,'Data shares'!$C:$FA,93)</f>
        <v>-0.55310000000000004</v>
      </c>
      <c r="K60" s="86">
        <f>VLOOKUP($A60,'Data shares'!$C:$FA,94)</f>
        <v>1003050</v>
      </c>
      <c r="L60" s="86">
        <f>VLOOKUP($A60,'Data shares'!$C:$FA,96)</f>
        <v>-690300</v>
      </c>
      <c r="M60" s="87">
        <f>VLOOKUP($A60,'Data shares'!$C:$FA,97)</f>
        <v>-0.40770000000000001</v>
      </c>
      <c r="N60" s="86">
        <f>VLOOKUP($A60,'Data shares'!$C:$FA,78)</f>
        <v>217575</v>
      </c>
      <c r="O60" s="87">
        <f>VLOOKUP($A60,'Data shares'!$C:$FA,81)</f>
        <v>-0.77880000000000005</v>
      </c>
    </row>
    <row r="61" spans="1:15" x14ac:dyDescent="0.25">
      <c r="A61" s="100" t="str">
        <f>'OI(Value)'!A61</f>
        <v>CONCOR</v>
      </c>
      <c r="B61" s="82">
        <f>VLOOKUP(A61,'Data shares'!$C$2:$CV$231,98,0)</f>
        <v>25741250</v>
      </c>
      <c r="C61" s="82">
        <f>VLOOKUP(A61,'Data shares'!$C$2:$CX$231,100,0)</f>
        <v>-10236250</v>
      </c>
      <c r="D61" s="141">
        <f>VLOOKUP(A61,'Data shares'!$C$2:$CY$554,101,0)</f>
        <v>-0.28449999999999998</v>
      </c>
      <c r="E61" s="86">
        <f>VLOOKUP($A61,'Data shares'!$C:$FA,74)</f>
        <v>19470000</v>
      </c>
      <c r="F61" s="86">
        <f>VLOOKUP($A61,'Data shares'!$C:$FA,76)</f>
        <v>-2023750</v>
      </c>
      <c r="G61" s="87">
        <f>VLOOKUP(A61,'Data shares'!$C$2:$CA$231,77,0)</f>
        <v>-9.4200000000000006E-2</v>
      </c>
      <c r="H61" s="86">
        <f>VLOOKUP($A61,'Data shares'!$C:$FA,90)</f>
        <v>3230000</v>
      </c>
      <c r="I61" s="86">
        <f>VLOOKUP($A61,'Data shares'!$C:$FA,92)</f>
        <v>-5375000</v>
      </c>
      <c r="J61" s="87">
        <f>VLOOKUP($A61,'Data shares'!$C:$FA,93)</f>
        <v>-0.62460000000000004</v>
      </c>
      <c r="K61" s="86">
        <f>VLOOKUP($A61,'Data shares'!$C:$FA,94)</f>
        <v>3041250</v>
      </c>
      <c r="L61" s="86">
        <f>VLOOKUP($A61,'Data shares'!$C:$FA,96)</f>
        <v>-2837500</v>
      </c>
      <c r="M61" s="87">
        <f>VLOOKUP($A61,'Data shares'!$C:$FA,97)</f>
        <v>-0.48270000000000002</v>
      </c>
      <c r="N61" s="86">
        <f>VLOOKUP($A61,'Data shares'!$C:$FA,78)</f>
        <v>1306250</v>
      </c>
      <c r="O61" s="87">
        <f>VLOOKUP($A61,'Data shares'!$C:$FA,81)</f>
        <v>-0.61180000000000001</v>
      </c>
    </row>
    <row r="62" spans="1:15" x14ac:dyDescent="0.25">
      <c r="A62" s="100" t="str">
        <f>'OI(Value)'!A62</f>
        <v>CROMPTON</v>
      </c>
      <c r="B62" s="82">
        <f>VLOOKUP(A62,'Data shares'!$C$2:$CV$231,98,0)</f>
        <v>44370000</v>
      </c>
      <c r="C62" s="82">
        <f>VLOOKUP(A62,'Data shares'!$C$2:$CX$231,100,0)</f>
        <v>-8231400</v>
      </c>
      <c r="D62" s="141">
        <f>VLOOKUP(A62,'Data shares'!$C$2:$CY$554,101,0)</f>
        <v>-0.1565</v>
      </c>
      <c r="E62" s="86">
        <f>VLOOKUP($A62,'Data shares'!$C:$FA,74)</f>
        <v>39115800</v>
      </c>
      <c r="F62" s="86">
        <f>VLOOKUP($A62,'Data shares'!$C:$FA,76)</f>
        <v>-1009800</v>
      </c>
      <c r="G62" s="87">
        <f>VLOOKUP(A62,'Data shares'!$C$2:$CA$231,77,0)</f>
        <v>-2.52E-2</v>
      </c>
      <c r="H62" s="86">
        <f>VLOOKUP($A62,'Data shares'!$C:$FA,90)</f>
        <v>2388600</v>
      </c>
      <c r="I62" s="86">
        <f>VLOOKUP($A62,'Data shares'!$C:$FA,92)</f>
        <v>-5092200</v>
      </c>
      <c r="J62" s="87">
        <f>VLOOKUP($A62,'Data shares'!$C:$FA,93)</f>
        <v>-0.68069999999999997</v>
      </c>
      <c r="K62" s="86">
        <f>VLOOKUP($A62,'Data shares'!$C:$FA,94)</f>
        <v>2865600</v>
      </c>
      <c r="L62" s="86">
        <f>VLOOKUP($A62,'Data shares'!$C:$FA,96)</f>
        <v>-2129400</v>
      </c>
      <c r="M62" s="87">
        <f>VLOOKUP($A62,'Data shares'!$C:$FA,97)</f>
        <v>-0.42630000000000001</v>
      </c>
      <c r="N62" s="86">
        <f>VLOOKUP($A62,'Data shares'!$C:$FA,78)</f>
        <v>698400</v>
      </c>
      <c r="O62" s="87">
        <f>VLOOKUP($A62,'Data shares'!$C:$FA,81)</f>
        <v>-0.79600000000000004</v>
      </c>
    </row>
    <row r="63" spans="1:15" x14ac:dyDescent="0.25">
      <c r="A63" s="100" t="str">
        <f>'OI(Value)'!A63</f>
        <v>CUMMINSIND</v>
      </c>
      <c r="B63" s="82">
        <f>VLOOKUP(A63,'Data shares'!$C$2:$CV$231,98,0)</f>
        <v>3710000</v>
      </c>
      <c r="C63" s="82">
        <f>VLOOKUP(A63,'Data shares'!$C$2:$CX$231,100,0)</f>
        <v>-1103200</v>
      </c>
      <c r="D63" s="141">
        <f>VLOOKUP(A63,'Data shares'!$C$2:$CY$554,101,0)</f>
        <v>-0.22919999999999999</v>
      </c>
      <c r="E63" s="86">
        <f>VLOOKUP($A63,'Data shares'!$C:$FA,74)</f>
        <v>3363400</v>
      </c>
      <c r="F63" s="86">
        <f>VLOOKUP($A63,'Data shares'!$C:$FA,76)</f>
        <v>-259200</v>
      </c>
      <c r="G63" s="87">
        <f>VLOOKUP(A63,'Data shares'!$C$2:$CA$231,77,0)</f>
        <v>-7.1599999999999997E-2</v>
      </c>
      <c r="H63" s="86">
        <f>VLOOKUP($A63,'Data shares'!$C:$FA,90)</f>
        <v>168000</v>
      </c>
      <c r="I63" s="86">
        <f>VLOOKUP($A63,'Data shares'!$C:$FA,92)</f>
        <v>-454200</v>
      </c>
      <c r="J63" s="87">
        <f>VLOOKUP($A63,'Data shares'!$C:$FA,93)</f>
        <v>-0.73</v>
      </c>
      <c r="K63" s="86">
        <f>VLOOKUP($A63,'Data shares'!$C:$FA,94)</f>
        <v>178600</v>
      </c>
      <c r="L63" s="86">
        <f>VLOOKUP($A63,'Data shares'!$C:$FA,96)</f>
        <v>-389800</v>
      </c>
      <c r="M63" s="87">
        <f>VLOOKUP($A63,'Data shares'!$C:$FA,97)</f>
        <v>-0.68579999999999997</v>
      </c>
      <c r="N63" s="86">
        <f>VLOOKUP($A63,'Data shares'!$C:$FA,78)</f>
        <v>179000</v>
      </c>
      <c r="O63" s="87">
        <f>VLOOKUP($A63,'Data shares'!$C:$FA,81)</f>
        <v>-0.60880000000000001</v>
      </c>
    </row>
    <row r="64" spans="1:15" x14ac:dyDescent="0.25">
      <c r="A64" s="100" t="str">
        <f>'OI(Value)'!A64</f>
        <v>CYIENT</v>
      </c>
      <c r="B64" s="82">
        <f>VLOOKUP(A64,'Data shares'!$C$2:$CV$231,98,0)</f>
        <v>3610800</v>
      </c>
      <c r="C64" s="82">
        <f>VLOOKUP(A64,'Data shares'!$C$2:$CX$231,100,0)</f>
        <v>-1837700</v>
      </c>
      <c r="D64" s="141">
        <f>VLOOKUP(A64,'Data shares'!$C$2:$CY$554,101,0)</f>
        <v>-0.33729999999999999</v>
      </c>
      <c r="E64" s="86">
        <f>VLOOKUP($A64,'Data shares'!$C:$FA,74)</f>
        <v>2838150</v>
      </c>
      <c r="F64" s="86">
        <f>VLOOKUP($A64,'Data shares'!$C:$FA,76)</f>
        <v>-199750</v>
      </c>
      <c r="G64" s="87">
        <f>VLOOKUP(A64,'Data shares'!$C$2:$CA$231,77,0)</f>
        <v>-6.5799999999999997E-2</v>
      </c>
      <c r="H64" s="86">
        <f>VLOOKUP($A64,'Data shares'!$C:$FA,90)</f>
        <v>373575</v>
      </c>
      <c r="I64" s="86">
        <f>VLOOKUP($A64,'Data shares'!$C:$FA,92)</f>
        <v>-1048900</v>
      </c>
      <c r="J64" s="87">
        <f>VLOOKUP($A64,'Data shares'!$C:$FA,93)</f>
        <v>-0.73740000000000006</v>
      </c>
      <c r="K64" s="86">
        <f>VLOOKUP($A64,'Data shares'!$C:$FA,94)</f>
        <v>399075</v>
      </c>
      <c r="L64" s="86">
        <f>VLOOKUP($A64,'Data shares'!$C:$FA,96)</f>
        <v>-589050</v>
      </c>
      <c r="M64" s="87">
        <f>VLOOKUP($A64,'Data shares'!$C:$FA,97)</f>
        <v>-0.59609999999999996</v>
      </c>
      <c r="N64" s="86">
        <f>VLOOKUP($A64,'Data shares'!$C:$FA,78)</f>
        <v>142375</v>
      </c>
      <c r="O64" s="87">
        <f>VLOOKUP($A64,'Data shares'!$C:$FA,81)</f>
        <v>-0.78480000000000005</v>
      </c>
    </row>
    <row r="65" spans="1:15" x14ac:dyDescent="0.25">
      <c r="A65" s="100" t="str">
        <f>'OI(Value)'!A65</f>
        <v>DABUR</v>
      </c>
      <c r="B65" s="82">
        <f>VLOOKUP(A65,'Data shares'!$C$2:$CV$231,98,0)</f>
        <v>25108750</v>
      </c>
      <c r="C65" s="82">
        <f>VLOOKUP(A65,'Data shares'!$C$2:$CX$231,100,0)</f>
        <v>-17396250</v>
      </c>
      <c r="D65" s="141">
        <f>VLOOKUP(A65,'Data shares'!$C$2:$CY$554,101,0)</f>
        <v>-0.4093</v>
      </c>
      <c r="E65" s="86">
        <f>VLOOKUP($A65,'Data shares'!$C:$FA,74)</f>
        <v>16286250</v>
      </c>
      <c r="F65" s="86">
        <f>VLOOKUP($A65,'Data shares'!$C:$FA,76)</f>
        <v>-1782500</v>
      </c>
      <c r="G65" s="87">
        <f>VLOOKUP(A65,'Data shares'!$C$2:$CA$231,77,0)</f>
        <v>-9.8699999999999996E-2</v>
      </c>
      <c r="H65" s="86">
        <f>VLOOKUP($A65,'Data shares'!$C:$FA,90)</f>
        <v>5380000</v>
      </c>
      <c r="I65" s="86">
        <f>VLOOKUP($A65,'Data shares'!$C:$FA,92)</f>
        <v>-6625000</v>
      </c>
      <c r="J65" s="87">
        <f>VLOOKUP($A65,'Data shares'!$C:$FA,93)</f>
        <v>-0.55189999999999995</v>
      </c>
      <c r="K65" s="86">
        <f>VLOOKUP($A65,'Data shares'!$C:$FA,94)</f>
        <v>3442500</v>
      </c>
      <c r="L65" s="86">
        <f>VLOOKUP($A65,'Data shares'!$C:$FA,96)</f>
        <v>-8988750</v>
      </c>
      <c r="M65" s="87">
        <f>VLOOKUP($A65,'Data shares'!$C:$FA,97)</f>
        <v>-0.72309999999999997</v>
      </c>
      <c r="N65" s="86">
        <f>VLOOKUP($A65,'Data shares'!$C:$FA,78)</f>
        <v>943750</v>
      </c>
      <c r="O65" s="87">
        <f>VLOOKUP($A65,'Data shares'!$C:$FA,81)</f>
        <v>-0.52</v>
      </c>
    </row>
    <row r="66" spans="1:15" x14ac:dyDescent="0.25">
      <c r="A66" s="100" t="str">
        <f>'OI(Value)'!A66</f>
        <v>DALBHARAT</v>
      </c>
      <c r="B66" s="82">
        <f>VLOOKUP(A66,'Data shares'!$C$2:$CV$231,98,0)</f>
        <v>2965300</v>
      </c>
      <c r="C66" s="82">
        <f>VLOOKUP(A66,'Data shares'!$C$2:$CX$231,100,0)</f>
        <v>-1661725</v>
      </c>
      <c r="D66" s="141">
        <f>VLOOKUP(A66,'Data shares'!$C$2:$CY$554,101,0)</f>
        <v>-0.35909999999999997</v>
      </c>
      <c r="E66" s="86">
        <f>VLOOKUP($A66,'Data shares'!$C:$FA,74)</f>
        <v>2697825</v>
      </c>
      <c r="F66" s="86">
        <f>VLOOKUP($A66,'Data shares'!$C:$FA,76)</f>
        <v>-539825</v>
      </c>
      <c r="G66" s="87">
        <f>VLOOKUP(A66,'Data shares'!$C$2:$CA$231,77,0)</f>
        <v>-0.16669999999999999</v>
      </c>
      <c r="H66" s="86">
        <f>VLOOKUP($A66,'Data shares'!$C:$FA,90)</f>
        <v>164775</v>
      </c>
      <c r="I66" s="86">
        <f>VLOOKUP($A66,'Data shares'!$C:$FA,92)</f>
        <v>-713375</v>
      </c>
      <c r="J66" s="87">
        <f>VLOOKUP($A66,'Data shares'!$C:$FA,93)</f>
        <v>-0.81240000000000001</v>
      </c>
      <c r="K66" s="86">
        <f>VLOOKUP($A66,'Data shares'!$C:$FA,94)</f>
        <v>102700</v>
      </c>
      <c r="L66" s="86">
        <f>VLOOKUP($A66,'Data shares'!$C:$FA,96)</f>
        <v>-408525</v>
      </c>
      <c r="M66" s="87">
        <f>VLOOKUP($A66,'Data shares'!$C:$FA,97)</f>
        <v>-0.79910000000000003</v>
      </c>
      <c r="N66" s="86">
        <f>VLOOKUP($A66,'Data shares'!$C:$FA,78)</f>
        <v>478400</v>
      </c>
      <c r="O66" s="87">
        <f>VLOOKUP($A66,'Data shares'!$C:$FA,81)</f>
        <v>-0.28299999999999997</v>
      </c>
    </row>
    <row r="67" spans="1:15" x14ac:dyDescent="0.25">
      <c r="A67" s="100" t="str">
        <f>'OI(Value)'!A67</f>
        <v>DELHIVERY</v>
      </c>
      <c r="B67" s="82">
        <f>VLOOKUP(A67,'Data shares'!$C$2:$CV$231,98,0)</f>
        <v>18936450</v>
      </c>
      <c r="C67" s="82">
        <f>VLOOKUP(A67,'Data shares'!$C$2:$CX$231,100,0)</f>
        <v>-6000900</v>
      </c>
      <c r="D67" s="141">
        <f>VLOOKUP(A67,'Data shares'!$C$2:$CY$554,101,0)</f>
        <v>-0.24060000000000001</v>
      </c>
      <c r="E67" s="86">
        <f>VLOOKUP($A67,'Data shares'!$C:$FA,74)</f>
        <v>11869000</v>
      </c>
      <c r="F67" s="86">
        <f>VLOOKUP($A67,'Data shares'!$C:$FA,76)</f>
        <v>-734550</v>
      </c>
      <c r="G67" s="87">
        <f>VLOOKUP(A67,'Data shares'!$C$2:$CA$231,77,0)</f>
        <v>-5.8299999999999998E-2</v>
      </c>
      <c r="H67" s="86">
        <f>VLOOKUP($A67,'Data shares'!$C:$FA,90)</f>
        <v>4787025</v>
      </c>
      <c r="I67" s="86">
        <f>VLOOKUP($A67,'Data shares'!$C:$FA,92)</f>
        <v>-3031575</v>
      </c>
      <c r="J67" s="87">
        <f>VLOOKUP($A67,'Data shares'!$C:$FA,93)</f>
        <v>-0.38769999999999999</v>
      </c>
      <c r="K67" s="86">
        <f>VLOOKUP($A67,'Data shares'!$C:$FA,94)</f>
        <v>2280425</v>
      </c>
      <c r="L67" s="86">
        <f>VLOOKUP($A67,'Data shares'!$C:$FA,96)</f>
        <v>-2234775</v>
      </c>
      <c r="M67" s="87">
        <f>VLOOKUP($A67,'Data shares'!$C:$FA,97)</f>
        <v>-0.49490000000000001</v>
      </c>
      <c r="N67" s="86">
        <f>VLOOKUP($A67,'Data shares'!$C:$FA,78)</f>
        <v>500075</v>
      </c>
      <c r="O67" s="87">
        <f>VLOOKUP($A67,'Data shares'!$C:$FA,81)</f>
        <v>-0.78859999999999997</v>
      </c>
    </row>
    <row r="68" spans="1:15" x14ac:dyDescent="0.25">
      <c r="A68" s="100" t="str">
        <f>'OI(Value)'!A68</f>
        <v>DIVISLAB</v>
      </c>
      <c r="B68" s="82">
        <f>VLOOKUP(A68,'Data shares'!$C$2:$CV$231,98,0)</f>
        <v>3533400</v>
      </c>
      <c r="C68" s="82">
        <f>VLOOKUP(A68,'Data shares'!$C$2:$CX$231,100,0)</f>
        <v>-1171300</v>
      </c>
      <c r="D68" s="141">
        <f>VLOOKUP(A68,'Data shares'!$C$2:$CY$554,101,0)</f>
        <v>-0.249</v>
      </c>
      <c r="E68" s="86">
        <f>VLOOKUP($A68,'Data shares'!$C:$FA,74)</f>
        <v>2970800</v>
      </c>
      <c r="F68" s="86">
        <f>VLOOKUP($A68,'Data shares'!$C:$FA,76)</f>
        <v>-77800</v>
      </c>
      <c r="G68" s="87">
        <f>VLOOKUP(A68,'Data shares'!$C$2:$CA$231,77,0)</f>
        <v>-2.5499999999999998E-2</v>
      </c>
      <c r="H68" s="86">
        <f>VLOOKUP($A68,'Data shares'!$C:$FA,90)</f>
        <v>337500</v>
      </c>
      <c r="I68" s="86">
        <f>VLOOKUP($A68,'Data shares'!$C:$FA,92)</f>
        <v>-711500</v>
      </c>
      <c r="J68" s="87">
        <f>VLOOKUP($A68,'Data shares'!$C:$FA,93)</f>
        <v>-0.67830000000000001</v>
      </c>
      <c r="K68" s="86">
        <f>VLOOKUP($A68,'Data shares'!$C:$FA,94)</f>
        <v>225100</v>
      </c>
      <c r="L68" s="86">
        <f>VLOOKUP($A68,'Data shares'!$C:$FA,96)</f>
        <v>-382000</v>
      </c>
      <c r="M68" s="87">
        <f>VLOOKUP($A68,'Data shares'!$C:$FA,97)</f>
        <v>-0.62919999999999998</v>
      </c>
      <c r="N68" s="86">
        <f>VLOOKUP($A68,'Data shares'!$C:$FA,78)</f>
        <v>61400</v>
      </c>
      <c r="O68" s="87">
        <f>VLOOKUP($A68,'Data shares'!$C:$FA,81)</f>
        <v>-0.71289999999999998</v>
      </c>
    </row>
    <row r="69" spans="1:15" x14ac:dyDescent="0.25">
      <c r="A69" s="100" t="str">
        <f>'OI(Value)'!A69</f>
        <v>DIXON</v>
      </c>
      <c r="B69" s="82">
        <f>VLOOKUP(A69,'Data shares'!$C$2:$CV$231,98,0)</f>
        <v>2149000</v>
      </c>
      <c r="C69" s="82">
        <f>VLOOKUP(A69,'Data shares'!$C$2:$CX$231,100,0)</f>
        <v>-1466100</v>
      </c>
      <c r="D69" s="141">
        <f>VLOOKUP(A69,'Data shares'!$C$2:$CY$554,101,0)</f>
        <v>-0.40550000000000003</v>
      </c>
      <c r="E69" s="86">
        <f>VLOOKUP($A69,'Data shares'!$C:$FA,74)</f>
        <v>1362800</v>
      </c>
      <c r="F69" s="86">
        <f>VLOOKUP($A69,'Data shares'!$C:$FA,76)</f>
        <v>-261200</v>
      </c>
      <c r="G69" s="87">
        <f>VLOOKUP(A69,'Data shares'!$C$2:$CA$231,77,0)</f>
        <v>-0.1608</v>
      </c>
      <c r="H69" s="86">
        <f>VLOOKUP($A69,'Data shares'!$C:$FA,90)</f>
        <v>404100</v>
      </c>
      <c r="I69" s="86">
        <f>VLOOKUP($A69,'Data shares'!$C:$FA,92)</f>
        <v>-652950</v>
      </c>
      <c r="J69" s="87">
        <f>VLOOKUP($A69,'Data shares'!$C:$FA,93)</f>
        <v>-0.61770000000000003</v>
      </c>
      <c r="K69" s="86">
        <f>VLOOKUP($A69,'Data shares'!$C:$FA,94)</f>
        <v>382100</v>
      </c>
      <c r="L69" s="86">
        <f>VLOOKUP($A69,'Data shares'!$C:$FA,96)</f>
        <v>-551950</v>
      </c>
      <c r="M69" s="87">
        <f>VLOOKUP($A69,'Data shares'!$C:$FA,97)</f>
        <v>-0.59089999999999998</v>
      </c>
      <c r="N69" s="86">
        <f>VLOOKUP($A69,'Data shares'!$C:$FA,78)</f>
        <v>189200</v>
      </c>
      <c r="O69" s="87">
        <f>VLOOKUP($A69,'Data shares'!$C:$FA,81)</f>
        <v>-0.55759999999999998</v>
      </c>
    </row>
    <row r="70" spans="1:15" x14ac:dyDescent="0.25">
      <c r="A70" s="100" t="str">
        <f>'OI(Value)'!A70</f>
        <v>DLF</v>
      </c>
      <c r="B70" s="82">
        <f>VLOOKUP(A70,'Data shares'!$C$2:$CV$231,98,0)</f>
        <v>49237650</v>
      </c>
      <c r="C70" s="82">
        <f>VLOOKUP(A70,'Data shares'!$C$2:$CX$231,100,0)</f>
        <v>-15050475</v>
      </c>
      <c r="D70" s="141">
        <f>VLOOKUP(A70,'Data shares'!$C$2:$CY$554,101,0)</f>
        <v>-0.2341</v>
      </c>
      <c r="E70" s="86">
        <f>VLOOKUP($A70,'Data shares'!$C:$FA,74)</f>
        <v>34889250</v>
      </c>
      <c r="F70" s="86">
        <f>VLOOKUP($A70,'Data shares'!$C:$FA,76)</f>
        <v>-1781175</v>
      </c>
      <c r="G70" s="87">
        <f>VLOOKUP(A70,'Data shares'!$C$2:$CA$231,77,0)</f>
        <v>-4.8599999999999997E-2</v>
      </c>
      <c r="H70" s="86">
        <f>VLOOKUP($A70,'Data shares'!$C:$FA,90)</f>
        <v>7730250</v>
      </c>
      <c r="I70" s="86">
        <f>VLOOKUP($A70,'Data shares'!$C:$FA,92)</f>
        <v>-9287850</v>
      </c>
      <c r="J70" s="87">
        <f>VLOOKUP($A70,'Data shares'!$C:$FA,93)</f>
        <v>-0.54579999999999995</v>
      </c>
      <c r="K70" s="86">
        <f>VLOOKUP($A70,'Data shares'!$C:$FA,94)</f>
        <v>6618150</v>
      </c>
      <c r="L70" s="86">
        <f>VLOOKUP($A70,'Data shares'!$C:$FA,96)</f>
        <v>-3981450</v>
      </c>
      <c r="M70" s="87">
        <f>VLOOKUP($A70,'Data shares'!$C:$FA,97)</f>
        <v>-0.37559999999999999</v>
      </c>
      <c r="N70" s="86">
        <f>VLOOKUP($A70,'Data shares'!$C:$FA,78)</f>
        <v>1766325</v>
      </c>
      <c r="O70" s="87">
        <f>VLOOKUP($A70,'Data shares'!$C:$FA,81)</f>
        <v>-0.71109999999999995</v>
      </c>
    </row>
    <row r="71" spans="1:15" x14ac:dyDescent="0.25">
      <c r="A71" s="100" t="str">
        <f>'OI(Value)'!A71</f>
        <v>DMART</v>
      </c>
      <c r="B71" s="82">
        <f>VLOOKUP(A71,'Data shares'!$C$2:$CV$231,98,0)</f>
        <v>6952950</v>
      </c>
      <c r="C71" s="82">
        <f>VLOOKUP(A71,'Data shares'!$C$2:$CX$231,100,0)</f>
        <v>-4357650</v>
      </c>
      <c r="D71" s="141">
        <f>VLOOKUP(A71,'Data shares'!$C$2:$CY$554,101,0)</f>
        <v>-0.38529999999999998</v>
      </c>
      <c r="E71" s="86">
        <f>VLOOKUP($A71,'Data shares'!$C:$FA,74)</f>
        <v>5244150</v>
      </c>
      <c r="F71" s="86">
        <f>VLOOKUP($A71,'Data shares'!$C:$FA,76)</f>
        <v>-1201500</v>
      </c>
      <c r="G71" s="87">
        <f>VLOOKUP(A71,'Data shares'!$C$2:$CA$231,77,0)</f>
        <v>-0.18640000000000001</v>
      </c>
      <c r="H71" s="86">
        <f>VLOOKUP($A71,'Data shares'!$C:$FA,90)</f>
        <v>1029900</v>
      </c>
      <c r="I71" s="86">
        <f>VLOOKUP($A71,'Data shares'!$C:$FA,92)</f>
        <v>-1686600</v>
      </c>
      <c r="J71" s="87">
        <f>VLOOKUP($A71,'Data shares'!$C:$FA,93)</f>
        <v>-0.62090000000000001</v>
      </c>
      <c r="K71" s="86">
        <f>VLOOKUP($A71,'Data shares'!$C:$FA,94)</f>
        <v>678900</v>
      </c>
      <c r="L71" s="86">
        <f>VLOOKUP($A71,'Data shares'!$C:$FA,96)</f>
        <v>-1469550</v>
      </c>
      <c r="M71" s="87">
        <f>VLOOKUP($A71,'Data shares'!$C:$FA,97)</f>
        <v>-0.68400000000000005</v>
      </c>
      <c r="N71" s="86">
        <f>VLOOKUP($A71,'Data shares'!$C:$FA,78)</f>
        <v>877050</v>
      </c>
      <c r="O71" s="87">
        <f>VLOOKUP($A71,'Data shares'!$C:$FA,81)</f>
        <v>-0.24229999999999999</v>
      </c>
    </row>
    <row r="72" spans="1:15" x14ac:dyDescent="0.25">
      <c r="A72" s="100" t="str">
        <f>'OI(Value)'!A72</f>
        <v>DRREDDY</v>
      </c>
      <c r="B72" s="82">
        <f>VLOOKUP(A72,'Data shares'!$C$2:$CV$231,98,0)</f>
        <v>15224375</v>
      </c>
      <c r="C72" s="82">
        <f>VLOOKUP(A72,'Data shares'!$C$2:$CX$231,100,0)</f>
        <v>-14740000</v>
      </c>
      <c r="D72" s="141">
        <f>VLOOKUP(A72,'Data shares'!$C$2:$CY$554,101,0)</f>
        <v>-0.4919</v>
      </c>
      <c r="E72" s="86">
        <f>VLOOKUP($A72,'Data shares'!$C:$FA,74)</f>
        <v>11280000</v>
      </c>
      <c r="F72" s="86">
        <f>VLOOKUP($A72,'Data shares'!$C:$FA,76)</f>
        <v>-1005625</v>
      </c>
      <c r="G72" s="87">
        <f>VLOOKUP(A72,'Data shares'!$C$2:$CA$231,77,0)</f>
        <v>-8.1900000000000001E-2</v>
      </c>
      <c r="H72" s="86">
        <f>VLOOKUP($A72,'Data shares'!$C:$FA,90)</f>
        <v>2474375</v>
      </c>
      <c r="I72" s="86">
        <f>VLOOKUP($A72,'Data shares'!$C:$FA,92)</f>
        <v>-9687500</v>
      </c>
      <c r="J72" s="87">
        <f>VLOOKUP($A72,'Data shares'!$C:$FA,93)</f>
        <v>-0.79649999999999999</v>
      </c>
      <c r="K72" s="86">
        <f>VLOOKUP($A72,'Data shares'!$C:$FA,94)</f>
        <v>1470000</v>
      </c>
      <c r="L72" s="86">
        <f>VLOOKUP($A72,'Data shares'!$C:$FA,96)</f>
        <v>-4046875</v>
      </c>
      <c r="M72" s="87">
        <f>VLOOKUP($A72,'Data shares'!$C:$FA,97)</f>
        <v>-0.73350000000000004</v>
      </c>
      <c r="N72" s="86">
        <f>VLOOKUP($A72,'Data shares'!$C:$FA,78)</f>
        <v>1113125</v>
      </c>
      <c r="O72" s="87">
        <f>VLOOKUP($A72,'Data shares'!$C:$FA,81)</f>
        <v>-0.43669999999999998</v>
      </c>
    </row>
    <row r="73" spans="1:15" x14ac:dyDescent="0.25">
      <c r="A73" s="100" t="str">
        <f>'OI(Value)'!A73</f>
        <v>EICHERMOT</v>
      </c>
      <c r="B73" s="82">
        <f>VLOOKUP(A73,'Data shares'!$C$2:$CV$231,98,0)</f>
        <v>4248125</v>
      </c>
      <c r="C73" s="82">
        <f>VLOOKUP(A73,'Data shares'!$C$2:$CX$231,100,0)</f>
        <v>-2045925</v>
      </c>
      <c r="D73" s="141">
        <f>VLOOKUP(A73,'Data shares'!$C$2:$CY$554,101,0)</f>
        <v>-0.3251</v>
      </c>
      <c r="E73" s="86">
        <f>VLOOKUP($A73,'Data shares'!$C:$FA,74)</f>
        <v>3021550</v>
      </c>
      <c r="F73" s="86">
        <f>VLOOKUP($A73,'Data shares'!$C:$FA,76)</f>
        <v>-279650</v>
      </c>
      <c r="G73" s="87">
        <f>VLOOKUP(A73,'Data shares'!$C$2:$CA$231,77,0)</f>
        <v>-8.4699999999999998E-2</v>
      </c>
      <c r="H73" s="86">
        <f>VLOOKUP($A73,'Data shares'!$C:$FA,90)</f>
        <v>707175</v>
      </c>
      <c r="I73" s="86">
        <f>VLOOKUP($A73,'Data shares'!$C:$FA,92)</f>
        <v>-1250200</v>
      </c>
      <c r="J73" s="87">
        <f>VLOOKUP($A73,'Data shares'!$C:$FA,93)</f>
        <v>-0.63870000000000005</v>
      </c>
      <c r="K73" s="86">
        <f>VLOOKUP($A73,'Data shares'!$C:$FA,94)</f>
        <v>519400</v>
      </c>
      <c r="L73" s="86">
        <f>VLOOKUP($A73,'Data shares'!$C:$FA,96)</f>
        <v>-516075</v>
      </c>
      <c r="M73" s="87">
        <f>VLOOKUP($A73,'Data shares'!$C:$FA,97)</f>
        <v>-0.49840000000000001</v>
      </c>
      <c r="N73" s="86">
        <f>VLOOKUP($A73,'Data shares'!$C:$FA,78)</f>
        <v>222600</v>
      </c>
      <c r="O73" s="87">
        <f>VLOOKUP($A73,'Data shares'!$C:$FA,81)</f>
        <v>-0.44600000000000001</v>
      </c>
    </row>
    <row r="74" spans="1:15" x14ac:dyDescent="0.25">
      <c r="A74" s="100" t="str">
        <f>'OI(Value)'!A74</f>
        <v>ETERNAL</v>
      </c>
      <c r="B74" s="82">
        <f>VLOOKUP(A74,'Data shares'!$C$2:$CV$231,98,0)</f>
        <v>228895750</v>
      </c>
      <c r="C74" s="82">
        <f>VLOOKUP(A74,'Data shares'!$C$2:$CX$231,100,0)</f>
        <v>-98930300</v>
      </c>
      <c r="D74" s="141">
        <f>VLOOKUP(A74,'Data shares'!$C$2:$CY$554,101,0)</f>
        <v>-0.30180000000000001</v>
      </c>
      <c r="E74" s="86">
        <f>VLOOKUP($A74,'Data shares'!$C:$FA,74)</f>
        <v>160205200</v>
      </c>
      <c r="F74" s="86">
        <f>VLOOKUP($A74,'Data shares'!$C:$FA,76)</f>
        <v>-9843075</v>
      </c>
      <c r="G74" s="87">
        <f>VLOOKUP(A74,'Data shares'!$C$2:$CA$231,77,0)</f>
        <v>-5.79E-2</v>
      </c>
      <c r="H74" s="86">
        <f>VLOOKUP($A74,'Data shares'!$C:$FA,90)</f>
        <v>38501725</v>
      </c>
      <c r="I74" s="86">
        <f>VLOOKUP($A74,'Data shares'!$C:$FA,92)</f>
        <v>-42743050</v>
      </c>
      <c r="J74" s="87">
        <f>VLOOKUP($A74,'Data shares'!$C:$FA,93)</f>
        <v>-0.52610000000000001</v>
      </c>
      <c r="K74" s="86">
        <f>VLOOKUP($A74,'Data shares'!$C:$FA,94)</f>
        <v>30188825</v>
      </c>
      <c r="L74" s="86">
        <f>VLOOKUP($A74,'Data shares'!$C:$FA,96)</f>
        <v>-46344175</v>
      </c>
      <c r="M74" s="87">
        <f>VLOOKUP($A74,'Data shares'!$C:$FA,97)</f>
        <v>-0.60550000000000004</v>
      </c>
      <c r="N74" s="86">
        <f>VLOOKUP($A74,'Data shares'!$C:$FA,78)</f>
        <v>11807325</v>
      </c>
      <c r="O74" s="87">
        <f>VLOOKUP($A74,'Data shares'!$C:$FA,81)</f>
        <v>-0.56100000000000005</v>
      </c>
    </row>
    <row r="75" spans="1:15" x14ac:dyDescent="0.25">
      <c r="A75" s="100" t="str">
        <f>'OI(Value)'!A75</f>
        <v>EXIDEIND</v>
      </c>
      <c r="B75" s="82">
        <f>VLOOKUP(A75,'Data shares'!$C$2:$CV$231,98,0)</f>
        <v>31415400</v>
      </c>
      <c r="C75" s="82">
        <f>VLOOKUP(A75,'Data shares'!$C$2:$CX$231,100,0)</f>
        <v>-10764000</v>
      </c>
      <c r="D75" s="141">
        <f>VLOOKUP(A75,'Data shares'!$C$2:$CY$554,101,0)</f>
        <v>-0.25519999999999998</v>
      </c>
      <c r="E75" s="86">
        <f>VLOOKUP($A75,'Data shares'!$C:$FA,74)</f>
        <v>21457800</v>
      </c>
      <c r="F75" s="86">
        <f>VLOOKUP($A75,'Data shares'!$C:$FA,76)</f>
        <v>-1220400</v>
      </c>
      <c r="G75" s="87">
        <f>VLOOKUP(A75,'Data shares'!$C$2:$CA$231,77,0)</f>
        <v>-5.3800000000000001E-2</v>
      </c>
      <c r="H75" s="86">
        <f>VLOOKUP($A75,'Data shares'!$C:$FA,90)</f>
        <v>5401800</v>
      </c>
      <c r="I75" s="86">
        <f>VLOOKUP($A75,'Data shares'!$C:$FA,92)</f>
        <v>-6287400</v>
      </c>
      <c r="J75" s="87">
        <f>VLOOKUP($A75,'Data shares'!$C:$FA,93)</f>
        <v>-0.53790000000000004</v>
      </c>
      <c r="K75" s="86">
        <f>VLOOKUP($A75,'Data shares'!$C:$FA,94)</f>
        <v>4555800</v>
      </c>
      <c r="L75" s="86">
        <f>VLOOKUP($A75,'Data shares'!$C:$FA,96)</f>
        <v>-3256200</v>
      </c>
      <c r="M75" s="87">
        <f>VLOOKUP($A75,'Data shares'!$C:$FA,97)</f>
        <v>-0.4168</v>
      </c>
      <c r="N75" s="86">
        <f>VLOOKUP($A75,'Data shares'!$C:$FA,78)</f>
        <v>1234800</v>
      </c>
      <c r="O75" s="87">
        <f>VLOOKUP($A75,'Data shares'!$C:$FA,81)</f>
        <v>-0.75609999999999999</v>
      </c>
    </row>
    <row r="76" spans="1:15" x14ac:dyDescent="0.25">
      <c r="A76" s="100" t="str">
        <f>'OI(Value)'!A76</f>
        <v>FEDERALBNK</v>
      </c>
      <c r="B76" s="82">
        <f>VLOOKUP(A76,'Data shares'!$C$2:$CV$231,98,0)</f>
        <v>112940000</v>
      </c>
      <c r="C76" s="82">
        <f>VLOOKUP(A76,'Data shares'!$C$2:$CX$231,100,0)</f>
        <v>-43175000</v>
      </c>
      <c r="D76" s="141">
        <f>VLOOKUP(A76,'Data shares'!$C$2:$CY$554,101,0)</f>
        <v>-0.27660000000000001</v>
      </c>
      <c r="E76" s="86">
        <f>VLOOKUP($A76,'Data shares'!$C:$FA,74)</f>
        <v>77280000</v>
      </c>
      <c r="F76" s="86">
        <f>VLOOKUP($A76,'Data shares'!$C:$FA,76)</f>
        <v>-4900000</v>
      </c>
      <c r="G76" s="87">
        <f>VLOOKUP(A76,'Data shares'!$C$2:$CA$231,77,0)</f>
        <v>-5.96E-2</v>
      </c>
      <c r="H76" s="86">
        <f>VLOOKUP($A76,'Data shares'!$C:$FA,90)</f>
        <v>18240000</v>
      </c>
      <c r="I76" s="86">
        <f>VLOOKUP($A76,'Data shares'!$C:$FA,92)</f>
        <v>-26045000</v>
      </c>
      <c r="J76" s="87">
        <f>VLOOKUP($A76,'Data shares'!$C:$FA,93)</f>
        <v>-0.58809999999999996</v>
      </c>
      <c r="K76" s="86">
        <f>VLOOKUP($A76,'Data shares'!$C:$FA,94)</f>
        <v>17420000</v>
      </c>
      <c r="L76" s="86">
        <f>VLOOKUP($A76,'Data shares'!$C:$FA,96)</f>
        <v>-12230000</v>
      </c>
      <c r="M76" s="87">
        <f>VLOOKUP($A76,'Data shares'!$C:$FA,97)</f>
        <v>-0.41249999999999998</v>
      </c>
      <c r="N76" s="86">
        <f>VLOOKUP($A76,'Data shares'!$C:$FA,78)</f>
        <v>6950000</v>
      </c>
      <c r="O76" s="87">
        <f>VLOOKUP($A76,'Data shares'!$C:$FA,81)</f>
        <v>-0.56679999999999997</v>
      </c>
    </row>
    <row r="77" spans="1:15" x14ac:dyDescent="0.25">
      <c r="A77" s="100" t="str">
        <f>'OI(Value)'!A77</f>
        <v>FINNIFTY</v>
      </c>
      <c r="B77" s="82">
        <f>VLOOKUP(A77,'Data shares'!$C$2:$CV$231,98,0)</f>
        <v>195130</v>
      </c>
      <c r="C77" s="82">
        <f>VLOOKUP(A77,'Data shares'!$C$2:$CX$231,100,0)</f>
        <v>-5544175</v>
      </c>
      <c r="D77" s="141">
        <f>VLOOKUP(A77,'Data shares'!$C$2:$CY$554,101,0)</f>
        <v>-0.96599999999999997</v>
      </c>
      <c r="E77" s="86">
        <f>VLOOKUP($A77,'Data shares'!$C:$FA,74)</f>
        <v>75140</v>
      </c>
      <c r="F77" s="86">
        <f>VLOOKUP($A77,'Data shares'!$C:$FA,76)</f>
        <v>-20865</v>
      </c>
      <c r="G77" s="87">
        <f>VLOOKUP(A77,'Data shares'!$C$2:$CA$231,77,0)</f>
        <v>-0.21729999999999999</v>
      </c>
      <c r="H77" s="86">
        <f>VLOOKUP($A77,'Data shares'!$C:$FA,90)</f>
        <v>58955</v>
      </c>
      <c r="I77" s="86">
        <f>VLOOKUP($A77,'Data shares'!$C:$FA,92)</f>
        <v>-3266965</v>
      </c>
      <c r="J77" s="87">
        <f>VLOOKUP($A77,'Data shares'!$C:$FA,93)</f>
        <v>-0.98229999999999995</v>
      </c>
      <c r="K77" s="86">
        <f>VLOOKUP($A77,'Data shares'!$C:$FA,94)</f>
        <v>61035</v>
      </c>
      <c r="L77" s="86">
        <f>VLOOKUP($A77,'Data shares'!$C:$FA,96)</f>
        <v>-2256345</v>
      </c>
      <c r="M77" s="87">
        <f>VLOOKUP($A77,'Data shares'!$C:$FA,97)</f>
        <v>-0.97370000000000001</v>
      </c>
      <c r="N77" s="86">
        <f>VLOOKUP($A77,'Data shares'!$C:$FA,78)</f>
        <v>26065</v>
      </c>
      <c r="O77" s="87">
        <f>VLOOKUP($A77,'Data shares'!$C:$FA,81)</f>
        <v>-0.36849999999999999</v>
      </c>
    </row>
    <row r="78" spans="1:15" x14ac:dyDescent="0.25">
      <c r="A78" s="100" t="str">
        <f>'OI(Value)'!A78</f>
        <v>FORTIS</v>
      </c>
      <c r="B78" s="82">
        <f>VLOOKUP(A78,'Data shares'!$C$2:$CV$231,98,0)</f>
        <v>10599675</v>
      </c>
      <c r="C78" s="82">
        <f>VLOOKUP(A78,'Data shares'!$C$2:$CX$231,100,0)</f>
        <v>-4322175</v>
      </c>
      <c r="D78" s="141">
        <f>VLOOKUP(A78,'Data shares'!$C$2:$CY$554,101,0)</f>
        <v>-0.28970000000000001</v>
      </c>
      <c r="E78" s="86">
        <f>VLOOKUP($A78,'Data shares'!$C:$FA,74)</f>
        <v>9466625</v>
      </c>
      <c r="F78" s="86">
        <f>VLOOKUP($A78,'Data shares'!$C:$FA,76)</f>
        <v>-828475</v>
      </c>
      <c r="G78" s="87">
        <f>VLOOKUP(A78,'Data shares'!$C$2:$CA$231,77,0)</f>
        <v>-8.0500000000000002E-2</v>
      </c>
      <c r="H78" s="86">
        <f>VLOOKUP($A78,'Data shares'!$C:$FA,90)</f>
        <v>700600</v>
      </c>
      <c r="I78" s="86">
        <f>VLOOKUP($A78,'Data shares'!$C:$FA,92)</f>
        <v>-1937500</v>
      </c>
      <c r="J78" s="87">
        <f>VLOOKUP($A78,'Data shares'!$C:$FA,93)</f>
        <v>-0.73440000000000005</v>
      </c>
      <c r="K78" s="86">
        <f>VLOOKUP($A78,'Data shares'!$C:$FA,94)</f>
        <v>432450</v>
      </c>
      <c r="L78" s="86">
        <f>VLOOKUP($A78,'Data shares'!$C:$FA,96)</f>
        <v>-1556200</v>
      </c>
      <c r="M78" s="87">
        <f>VLOOKUP($A78,'Data shares'!$C:$FA,97)</f>
        <v>-0.78249999999999997</v>
      </c>
      <c r="N78" s="86">
        <f>VLOOKUP($A78,'Data shares'!$C:$FA,78)</f>
        <v>942400</v>
      </c>
      <c r="O78" s="87">
        <f>VLOOKUP($A78,'Data shares'!$C:$FA,81)</f>
        <v>-0.2661</v>
      </c>
    </row>
    <row r="79" spans="1:15" x14ac:dyDescent="0.25">
      <c r="A79" s="100" t="str">
        <f>'OI(Value)'!A79</f>
        <v>GAIL</v>
      </c>
      <c r="B79" s="82">
        <f>VLOOKUP(A79,'Data shares'!$C$2:$CV$231,98,0)</f>
        <v>142843050</v>
      </c>
      <c r="C79" s="82">
        <f>VLOOKUP(A79,'Data shares'!$C$2:$CX$231,100,0)</f>
        <v>-32435550</v>
      </c>
      <c r="D79" s="141">
        <f>VLOOKUP(A79,'Data shares'!$C$2:$CY$554,101,0)</f>
        <v>-0.18509999999999999</v>
      </c>
      <c r="E79" s="86">
        <f>VLOOKUP($A79,'Data shares'!$C:$FA,74)</f>
        <v>91715400</v>
      </c>
      <c r="F79" s="86">
        <f>VLOOKUP($A79,'Data shares'!$C:$FA,76)</f>
        <v>-2192400</v>
      </c>
      <c r="G79" s="87">
        <f>VLOOKUP(A79,'Data shares'!$C$2:$CA$231,77,0)</f>
        <v>-2.3300000000000001E-2</v>
      </c>
      <c r="H79" s="86">
        <f>VLOOKUP($A79,'Data shares'!$C:$FA,90)</f>
        <v>26885250</v>
      </c>
      <c r="I79" s="86">
        <f>VLOOKUP($A79,'Data shares'!$C:$FA,92)</f>
        <v>-21325500</v>
      </c>
      <c r="J79" s="87">
        <f>VLOOKUP($A79,'Data shares'!$C:$FA,93)</f>
        <v>-0.44230000000000003</v>
      </c>
      <c r="K79" s="86">
        <f>VLOOKUP($A79,'Data shares'!$C:$FA,94)</f>
        <v>24242400</v>
      </c>
      <c r="L79" s="86">
        <f>VLOOKUP($A79,'Data shares'!$C:$FA,96)</f>
        <v>-8917650</v>
      </c>
      <c r="M79" s="87">
        <f>VLOOKUP($A79,'Data shares'!$C:$FA,97)</f>
        <v>-0.26889999999999997</v>
      </c>
      <c r="N79" s="86">
        <f>VLOOKUP($A79,'Data shares'!$C:$FA,78)</f>
        <v>6536250</v>
      </c>
      <c r="O79" s="87">
        <f>VLOOKUP($A79,'Data shares'!$C:$FA,81)</f>
        <v>-0.56399999999999995</v>
      </c>
    </row>
    <row r="80" spans="1:15" x14ac:dyDescent="0.25">
      <c r="A80" s="100" t="str">
        <f>'OI(Value)'!A80</f>
        <v>GLENMARK</v>
      </c>
      <c r="B80" s="82">
        <f>VLOOKUP(A80,'Data shares'!$C$2:$CV$231,98,0)</f>
        <v>8580750</v>
      </c>
      <c r="C80" s="82">
        <f>VLOOKUP(A80,'Data shares'!$C$2:$CX$231,100,0)</f>
        <v>-10564125</v>
      </c>
      <c r="D80" s="141">
        <f>VLOOKUP(A80,'Data shares'!$C$2:$CY$554,101,0)</f>
        <v>-0.55179999999999996</v>
      </c>
      <c r="E80" s="86">
        <f>VLOOKUP($A80,'Data shares'!$C:$FA,74)</f>
        <v>7309500</v>
      </c>
      <c r="F80" s="86">
        <f>VLOOKUP($A80,'Data shares'!$C:$FA,76)</f>
        <v>-1293000</v>
      </c>
      <c r="G80" s="87">
        <f>VLOOKUP(A80,'Data shares'!$C$2:$CA$231,77,0)</f>
        <v>-0.15029999999999999</v>
      </c>
      <c r="H80" s="86">
        <f>VLOOKUP($A80,'Data shares'!$C:$FA,90)</f>
        <v>733125</v>
      </c>
      <c r="I80" s="86">
        <f>VLOOKUP($A80,'Data shares'!$C:$FA,92)</f>
        <v>-5108625</v>
      </c>
      <c r="J80" s="87">
        <f>VLOOKUP($A80,'Data shares'!$C:$FA,93)</f>
        <v>-0.87450000000000006</v>
      </c>
      <c r="K80" s="86">
        <f>VLOOKUP($A80,'Data shares'!$C:$FA,94)</f>
        <v>538125</v>
      </c>
      <c r="L80" s="86">
        <f>VLOOKUP($A80,'Data shares'!$C:$FA,96)</f>
        <v>-4162500</v>
      </c>
      <c r="M80" s="87">
        <f>VLOOKUP($A80,'Data shares'!$C:$FA,97)</f>
        <v>-0.88549999999999995</v>
      </c>
      <c r="N80" s="86">
        <f>VLOOKUP($A80,'Data shares'!$C:$FA,78)</f>
        <v>910125</v>
      </c>
      <c r="O80" s="87">
        <f>VLOOKUP($A80,'Data shares'!$C:$FA,81)</f>
        <v>-0.54859999999999998</v>
      </c>
    </row>
    <row r="81" spans="1:15" x14ac:dyDescent="0.25">
      <c r="A81" s="100" t="str">
        <f>'OI(Value)'!A81</f>
        <v>GMRAIRPORT</v>
      </c>
      <c r="B81" s="82">
        <f>VLOOKUP(A81,'Data shares'!$C$2:$CV$231,98,0)</f>
        <v>257816925</v>
      </c>
      <c r="C81" s="82">
        <f>VLOOKUP(A81,'Data shares'!$C$2:$CX$231,100,0)</f>
        <v>-87027075</v>
      </c>
      <c r="D81" s="141">
        <f>VLOOKUP(A81,'Data shares'!$C$2:$CY$554,101,0)</f>
        <v>-0.25240000000000001</v>
      </c>
      <c r="E81" s="86">
        <f>VLOOKUP($A81,'Data shares'!$C:$FA,74)</f>
        <v>186588225</v>
      </c>
      <c r="F81" s="86">
        <f>VLOOKUP($A81,'Data shares'!$C:$FA,76)</f>
        <v>-6919200</v>
      </c>
      <c r="G81" s="87">
        <f>VLOOKUP(A81,'Data shares'!$C$2:$CA$231,77,0)</f>
        <v>-3.5799999999999998E-2</v>
      </c>
      <c r="H81" s="86">
        <f>VLOOKUP($A81,'Data shares'!$C:$FA,90)</f>
        <v>47485800</v>
      </c>
      <c r="I81" s="86">
        <f>VLOOKUP($A81,'Data shares'!$C:$FA,92)</f>
        <v>-56546325</v>
      </c>
      <c r="J81" s="87">
        <f>VLOOKUP($A81,'Data shares'!$C:$FA,93)</f>
        <v>-0.54349999999999998</v>
      </c>
      <c r="K81" s="86">
        <f>VLOOKUP($A81,'Data shares'!$C:$FA,94)</f>
        <v>23742900</v>
      </c>
      <c r="L81" s="86">
        <f>VLOOKUP($A81,'Data shares'!$C:$FA,96)</f>
        <v>-23561550</v>
      </c>
      <c r="M81" s="87">
        <f>VLOOKUP($A81,'Data shares'!$C:$FA,97)</f>
        <v>-0.49809999999999999</v>
      </c>
      <c r="N81" s="86">
        <f>VLOOKUP($A81,'Data shares'!$C:$FA,78)</f>
        <v>5747400</v>
      </c>
      <c r="O81" s="87">
        <f>VLOOKUP($A81,'Data shares'!$C:$FA,81)</f>
        <v>-0.84350000000000003</v>
      </c>
    </row>
    <row r="82" spans="1:15" x14ac:dyDescent="0.25">
      <c r="A82" s="100" t="str">
        <f>'OI(Value)'!A82</f>
        <v>GODREJCP</v>
      </c>
      <c r="B82" s="82">
        <f>VLOOKUP(A82,'Data shares'!$C$2:$CV$231,98,0)</f>
        <v>10273000</v>
      </c>
      <c r="C82" s="82">
        <f>VLOOKUP(A82,'Data shares'!$C$2:$CX$231,100,0)</f>
        <v>-5204000</v>
      </c>
      <c r="D82" s="141">
        <f>VLOOKUP(A82,'Data shares'!$C$2:$CY$554,101,0)</f>
        <v>-0.3362</v>
      </c>
      <c r="E82" s="86">
        <f>VLOOKUP($A82,'Data shares'!$C:$FA,74)</f>
        <v>9317500</v>
      </c>
      <c r="F82" s="86">
        <f>VLOOKUP($A82,'Data shares'!$C:$FA,76)</f>
        <v>-2606500</v>
      </c>
      <c r="G82" s="87">
        <f>VLOOKUP(A82,'Data shares'!$C$2:$CA$231,77,0)</f>
        <v>-0.21859999999999999</v>
      </c>
      <c r="H82" s="86">
        <f>VLOOKUP($A82,'Data shares'!$C:$FA,90)</f>
        <v>606500</v>
      </c>
      <c r="I82" s="86">
        <f>VLOOKUP($A82,'Data shares'!$C:$FA,92)</f>
        <v>-1518000</v>
      </c>
      <c r="J82" s="87">
        <f>VLOOKUP($A82,'Data shares'!$C:$FA,93)</f>
        <v>-0.71450000000000002</v>
      </c>
      <c r="K82" s="86">
        <f>VLOOKUP($A82,'Data shares'!$C:$FA,94)</f>
        <v>349000</v>
      </c>
      <c r="L82" s="86">
        <f>VLOOKUP($A82,'Data shares'!$C:$FA,96)</f>
        <v>-1079500</v>
      </c>
      <c r="M82" s="87">
        <f>VLOOKUP($A82,'Data shares'!$C:$FA,97)</f>
        <v>-0.75570000000000004</v>
      </c>
      <c r="N82" s="86">
        <f>VLOOKUP($A82,'Data shares'!$C:$FA,78)</f>
        <v>1973000</v>
      </c>
      <c r="O82" s="87">
        <f>VLOOKUP($A82,'Data shares'!$C:$FA,81)</f>
        <v>-0.47439999999999999</v>
      </c>
    </row>
    <row r="83" spans="1:15" x14ac:dyDescent="0.25">
      <c r="A83" s="100" t="str">
        <f>'OI(Value)'!A83</f>
        <v>GODREJPROP</v>
      </c>
      <c r="B83" s="82">
        <f>VLOOKUP(A83,'Data shares'!$C$2:$CV$231,98,0)</f>
        <v>8895700</v>
      </c>
      <c r="C83" s="82">
        <f>VLOOKUP(A83,'Data shares'!$C$2:$CX$231,100,0)</f>
        <v>-3213375</v>
      </c>
      <c r="D83" s="141">
        <f>VLOOKUP(A83,'Data shares'!$C$2:$CY$554,101,0)</f>
        <v>-0.26540000000000002</v>
      </c>
      <c r="E83" s="86">
        <f>VLOOKUP($A83,'Data shares'!$C:$FA,74)</f>
        <v>6923950</v>
      </c>
      <c r="F83" s="86">
        <f>VLOOKUP($A83,'Data shares'!$C:$FA,76)</f>
        <v>-168575</v>
      </c>
      <c r="G83" s="87">
        <f>VLOOKUP(A83,'Data shares'!$C$2:$CA$231,77,0)</f>
        <v>-2.3800000000000002E-2</v>
      </c>
      <c r="H83" s="86">
        <f>VLOOKUP($A83,'Data shares'!$C:$FA,90)</f>
        <v>1021350</v>
      </c>
      <c r="I83" s="86">
        <f>VLOOKUP($A83,'Data shares'!$C:$FA,92)</f>
        <v>-2268475</v>
      </c>
      <c r="J83" s="87">
        <f>VLOOKUP($A83,'Data shares'!$C:$FA,93)</f>
        <v>-0.6895</v>
      </c>
      <c r="K83" s="86">
        <f>VLOOKUP($A83,'Data shares'!$C:$FA,94)</f>
        <v>950400</v>
      </c>
      <c r="L83" s="86">
        <f>VLOOKUP($A83,'Data shares'!$C:$FA,96)</f>
        <v>-776325</v>
      </c>
      <c r="M83" s="87">
        <f>VLOOKUP($A83,'Data shares'!$C:$FA,97)</f>
        <v>-0.4496</v>
      </c>
      <c r="N83" s="86">
        <f>VLOOKUP($A83,'Data shares'!$C:$FA,78)</f>
        <v>348700</v>
      </c>
      <c r="O83" s="87">
        <f>VLOOKUP($A83,'Data shares'!$C:$FA,81)</f>
        <v>-0.69130000000000003</v>
      </c>
    </row>
    <row r="84" spans="1:15" x14ac:dyDescent="0.25">
      <c r="A84" s="100" t="str">
        <f>'OI(Value)'!A84</f>
        <v>GRANULES</v>
      </c>
      <c r="B84" s="82">
        <f>VLOOKUP(A84,'Data shares'!$C$2:$CV$231,98,0)</f>
        <v>14901650</v>
      </c>
      <c r="C84" s="82">
        <f>VLOOKUP(A84,'Data shares'!$C$2:$CX$231,100,0)</f>
        <v>-5749100</v>
      </c>
      <c r="D84" s="141">
        <f>VLOOKUP(A84,'Data shares'!$C$2:$CY$554,101,0)</f>
        <v>-0.27839999999999998</v>
      </c>
      <c r="E84" s="86">
        <f>VLOOKUP($A84,'Data shares'!$C:$FA,74)</f>
        <v>11945400</v>
      </c>
      <c r="F84" s="86">
        <f>VLOOKUP($A84,'Data shares'!$C:$FA,76)</f>
        <v>-1154550</v>
      </c>
      <c r="G84" s="87">
        <f>VLOOKUP(A84,'Data shares'!$C$2:$CA$231,77,0)</f>
        <v>-8.8099999999999998E-2</v>
      </c>
      <c r="H84" s="86">
        <f>VLOOKUP($A84,'Data shares'!$C:$FA,90)</f>
        <v>1766225</v>
      </c>
      <c r="I84" s="86">
        <f>VLOOKUP($A84,'Data shares'!$C:$FA,92)</f>
        <v>-3007850</v>
      </c>
      <c r="J84" s="87">
        <f>VLOOKUP($A84,'Data shares'!$C:$FA,93)</f>
        <v>-0.63</v>
      </c>
      <c r="K84" s="86">
        <f>VLOOKUP($A84,'Data shares'!$C:$FA,94)</f>
        <v>1190025</v>
      </c>
      <c r="L84" s="86">
        <f>VLOOKUP($A84,'Data shares'!$C:$FA,96)</f>
        <v>-1586700</v>
      </c>
      <c r="M84" s="87">
        <f>VLOOKUP($A84,'Data shares'!$C:$FA,97)</f>
        <v>-0.57140000000000002</v>
      </c>
      <c r="N84" s="86">
        <f>VLOOKUP($A84,'Data shares'!$C:$FA,78)</f>
        <v>526750</v>
      </c>
      <c r="O84" s="87">
        <f>VLOOKUP($A84,'Data shares'!$C:$FA,81)</f>
        <v>-0.88849999999999996</v>
      </c>
    </row>
    <row r="85" spans="1:15" x14ac:dyDescent="0.25">
      <c r="A85" s="100" t="str">
        <f>'OI(Value)'!A85</f>
        <v>GRASIM</v>
      </c>
      <c r="B85" s="82">
        <f>VLOOKUP(A85,'Data shares'!$C$2:$CV$231,98,0)</f>
        <v>13841500</v>
      </c>
      <c r="C85" s="82">
        <f>VLOOKUP(A85,'Data shares'!$C$2:$CX$231,100,0)</f>
        <v>-2085250</v>
      </c>
      <c r="D85" s="141">
        <f>VLOOKUP(A85,'Data shares'!$C$2:$CY$554,101,0)</f>
        <v>-0.13089999999999999</v>
      </c>
      <c r="E85" s="86">
        <f>VLOOKUP($A85,'Data shares'!$C:$FA,74)</f>
        <v>12934000</v>
      </c>
      <c r="F85" s="86">
        <f>VLOOKUP($A85,'Data shares'!$C:$FA,76)</f>
        <v>-61000</v>
      </c>
      <c r="G85" s="87">
        <f>VLOOKUP(A85,'Data shares'!$C$2:$CA$231,77,0)</f>
        <v>-4.7000000000000002E-3</v>
      </c>
      <c r="H85" s="86">
        <f>VLOOKUP($A85,'Data shares'!$C:$FA,90)</f>
        <v>512000</v>
      </c>
      <c r="I85" s="86">
        <f>VLOOKUP($A85,'Data shares'!$C:$FA,92)</f>
        <v>-1410750</v>
      </c>
      <c r="J85" s="87">
        <f>VLOOKUP($A85,'Data shares'!$C:$FA,93)</f>
        <v>-0.73370000000000002</v>
      </c>
      <c r="K85" s="86">
        <f>VLOOKUP($A85,'Data shares'!$C:$FA,94)</f>
        <v>395500</v>
      </c>
      <c r="L85" s="86">
        <f>VLOOKUP($A85,'Data shares'!$C:$FA,96)</f>
        <v>-613500</v>
      </c>
      <c r="M85" s="87">
        <f>VLOOKUP($A85,'Data shares'!$C:$FA,97)</f>
        <v>-0.60799999999999998</v>
      </c>
      <c r="N85" s="86">
        <f>VLOOKUP($A85,'Data shares'!$C:$FA,78)</f>
        <v>425500</v>
      </c>
      <c r="O85" s="87">
        <f>VLOOKUP($A85,'Data shares'!$C:$FA,81)</f>
        <v>-0.63660000000000005</v>
      </c>
    </row>
    <row r="86" spans="1:15" x14ac:dyDescent="0.25">
      <c r="A86" s="100" t="str">
        <f>'OI(Value)'!A86</f>
        <v>HAL</v>
      </c>
      <c r="B86" s="82">
        <f>VLOOKUP(A86,'Data shares'!$C$2:$CV$231,98,0)</f>
        <v>13506900</v>
      </c>
      <c r="C86" s="82">
        <f>VLOOKUP(A86,'Data shares'!$C$2:$CX$231,100,0)</f>
        <v>-6438900</v>
      </c>
      <c r="D86" s="141">
        <f>VLOOKUP(A86,'Data shares'!$C$2:$CY$554,101,0)</f>
        <v>-0.32279999999999998</v>
      </c>
      <c r="E86" s="86">
        <f>VLOOKUP($A86,'Data shares'!$C:$FA,74)</f>
        <v>9254700</v>
      </c>
      <c r="F86" s="86">
        <f>VLOOKUP($A86,'Data shares'!$C:$FA,76)</f>
        <v>-701700</v>
      </c>
      <c r="G86" s="87">
        <f>VLOOKUP(A86,'Data shares'!$C$2:$CA$231,77,0)</f>
        <v>-7.0499999999999993E-2</v>
      </c>
      <c r="H86" s="86">
        <f>VLOOKUP($A86,'Data shares'!$C:$FA,90)</f>
        <v>2283900</v>
      </c>
      <c r="I86" s="86">
        <f>VLOOKUP($A86,'Data shares'!$C:$FA,92)</f>
        <v>-4083900</v>
      </c>
      <c r="J86" s="87">
        <f>VLOOKUP($A86,'Data shares'!$C:$FA,93)</f>
        <v>-0.64129999999999998</v>
      </c>
      <c r="K86" s="86">
        <f>VLOOKUP($A86,'Data shares'!$C:$FA,94)</f>
        <v>1968300</v>
      </c>
      <c r="L86" s="86">
        <f>VLOOKUP($A86,'Data shares'!$C:$FA,96)</f>
        <v>-1653300</v>
      </c>
      <c r="M86" s="87">
        <f>VLOOKUP($A86,'Data shares'!$C:$FA,97)</f>
        <v>-0.45650000000000002</v>
      </c>
      <c r="N86" s="86">
        <f>VLOOKUP($A86,'Data shares'!$C:$FA,78)</f>
        <v>860100</v>
      </c>
      <c r="O86" s="87">
        <f>VLOOKUP($A86,'Data shares'!$C:$FA,81)</f>
        <v>-0.63780000000000003</v>
      </c>
    </row>
    <row r="87" spans="1:15" x14ac:dyDescent="0.25">
      <c r="A87" s="100" t="str">
        <f>'OI(Value)'!A87</f>
        <v>HAVELLS</v>
      </c>
      <c r="B87" s="82">
        <f>VLOOKUP(A87,'Data shares'!$C$2:$CV$231,98,0)</f>
        <v>10408000</v>
      </c>
      <c r="C87" s="82">
        <f>VLOOKUP(A87,'Data shares'!$C$2:$CX$231,100,0)</f>
        <v>-3663500</v>
      </c>
      <c r="D87" s="141">
        <f>VLOOKUP(A87,'Data shares'!$C$2:$CY$554,101,0)</f>
        <v>-0.26029999999999998</v>
      </c>
      <c r="E87" s="86">
        <f>VLOOKUP($A87,'Data shares'!$C:$FA,74)</f>
        <v>8320500</v>
      </c>
      <c r="F87" s="86">
        <f>VLOOKUP($A87,'Data shares'!$C:$FA,76)</f>
        <v>-597000</v>
      </c>
      <c r="G87" s="87">
        <f>VLOOKUP(A87,'Data shares'!$C$2:$CA$231,77,0)</f>
        <v>-6.6900000000000001E-2</v>
      </c>
      <c r="H87" s="86">
        <f>VLOOKUP($A87,'Data shares'!$C:$FA,90)</f>
        <v>1138000</v>
      </c>
      <c r="I87" s="86">
        <f>VLOOKUP($A87,'Data shares'!$C:$FA,92)</f>
        <v>-1626000</v>
      </c>
      <c r="J87" s="87">
        <f>VLOOKUP($A87,'Data shares'!$C:$FA,93)</f>
        <v>-0.58830000000000005</v>
      </c>
      <c r="K87" s="86">
        <f>VLOOKUP($A87,'Data shares'!$C:$FA,94)</f>
        <v>949500</v>
      </c>
      <c r="L87" s="86">
        <f>VLOOKUP($A87,'Data shares'!$C:$FA,96)</f>
        <v>-1440500</v>
      </c>
      <c r="M87" s="87">
        <f>VLOOKUP($A87,'Data shares'!$C:$FA,97)</f>
        <v>-0.60270000000000001</v>
      </c>
      <c r="N87" s="86">
        <f>VLOOKUP($A87,'Data shares'!$C:$FA,78)</f>
        <v>536500</v>
      </c>
      <c r="O87" s="87">
        <f>VLOOKUP($A87,'Data shares'!$C:$FA,81)</f>
        <v>-0.3876</v>
      </c>
    </row>
    <row r="88" spans="1:15" x14ac:dyDescent="0.25">
      <c r="A88" s="100" t="str">
        <f>'OI(Value)'!A88</f>
        <v>HCLTECH</v>
      </c>
      <c r="B88" s="82">
        <f>VLOOKUP(A88,'Data shares'!$C$2:$CV$231,98,0)</f>
        <v>26273450</v>
      </c>
      <c r="C88" s="82">
        <f>VLOOKUP(A88,'Data shares'!$C$2:$CX$231,100,0)</f>
        <v>-13392400</v>
      </c>
      <c r="D88" s="141">
        <f>VLOOKUP(A88,'Data shares'!$C$2:$CY$554,101,0)</f>
        <v>-0.33760000000000001</v>
      </c>
      <c r="E88" s="86">
        <f>VLOOKUP($A88,'Data shares'!$C:$FA,74)</f>
        <v>19672800</v>
      </c>
      <c r="F88" s="86">
        <f>VLOOKUP($A88,'Data shares'!$C:$FA,76)</f>
        <v>-1219050</v>
      </c>
      <c r="G88" s="87">
        <f>VLOOKUP(A88,'Data shares'!$C$2:$CA$231,77,0)</f>
        <v>-5.8400000000000001E-2</v>
      </c>
      <c r="H88" s="86">
        <f>VLOOKUP($A88,'Data shares'!$C:$FA,90)</f>
        <v>3955000</v>
      </c>
      <c r="I88" s="86">
        <f>VLOOKUP($A88,'Data shares'!$C:$FA,92)</f>
        <v>-9336600</v>
      </c>
      <c r="J88" s="87">
        <f>VLOOKUP($A88,'Data shares'!$C:$FA,93)</f>
        <v>-0.70240000000000002</v>
      </c>
      <c r="K88" s="86">
        <f>VLOOKUP($A88,'Data shares'!$C:$FA,94)</f>
        <v>2645650</v>
      </c>
      <c r="L88" s="86">
        <f>VLOOKUP($A88,'Data shares'!$C:$FA,96)</f>
        <v>-2836750</v>
      </c>
      <c r="M88" s="87">
        <f>VLOOKUP($A88,'Data shares'!$C:$FA,97)</f>
        <v>-0.51739999999999997</v>
      </c>
      <c r="N88" s="86">
        <f>VLOOKUP($A88,'Data shares'!$C:$FA,78)</f>
        <v>1372000</v>
      </c>
      <c r="O88" s="87">
        <f>VLOOKUP($A88,'Data shares'!$C:$FA,81)</f>
        <v>-0.55430000000000001</v>
      </c>
    </row>
    <row r="89" spans="1:15" x14ac:dyDescent="0.25">
      <c r="A89" s="100" t="str">
        <f>'OI(Value)'!A89</f>
        <v>HDFCAMC</v>
      </c>
      <c r="B89" s="82">
        <f>VLOOKUP(A89,'Data shares'!$C$2:$CV$231,98,0)</f>
        <v>3629850</v>
      </c>
      <c r="C89" s="82">
        <f>VLOOKUP(A89,'Data shares'!$C$2:$CX$231,100,0)</f>
        <v>-1735050</v>
      </c>
      <c r="D89" s="141">
        <f>VLOOKUP(A89,'Data shares'!$C$2:$CY$554,101,0)</f>
        <v>-0.32340000000000002</v>
      </c>
      <c r="E89" s="86">
        <f>VLOOKUP($A89,'Data shares'!$C:$FA,74)</f>
        <v>2394150</v>
      </c>
      <c r="F89" s="86">
        <f>VLOOKUP($A89,'Data shares'!$C:$FA,76)</f>
        <v>-225750</v>
      </c>
      <c r="G89" s="87">
        <f>VLOOKUP(A89,'Data shares'!$C$2:$CA$231,77,0)</f>
        <v>-8.6199999999999999E-2</v>
      </c>
      <c r="H89" s="86">
        <f>VLOOKUP($A89,'Data shares'!$C:$FA,90)</f>
        <v>778800</v>
      </c>
      <c r="I89" s="86">
        <f>VLOOKUP($A89,'Data shares'!$C:$FA,92)</f>
        <v>-803700</v>
      </c>
      <c r="J89" s="87">
        <f>VLOOKUP($A89,'Data shares'!$C:$FA,93)</f>
        <v>-0.50790000000000002</v>
      </c>
      <c r="K89" s="86">
        <f>VLOOKUP($A89,'Data shares'!$C:$FA,94)</f>
        <v>456900</v>
      </c>
      <c r="L89" s="86">
        <f>VLOOKUP($A89,'Data shares'!$C:$FA,96)</f>
        <v>-705600</v>
      </c>
      <c r="M89" s="87">
        <f>VLOOKUP($A89,'Data shares'!$C:$FA,97)</f>
        <v>-0.60699999999999998</v>
      </c>
      <c r="N89" s="86">
        <f>VLOOKUP($A89,'Data shares'!$C:$FA,78)</f>
        <v>186150</v>
      </c>
      <c r="O89" s="87">
        <f>VLOOKUP($A89,'Data shares'!$C:$FA,81)</f>
        <v>-0.47460000000000002</v>
      </c>
    </row>
    <row r="90" spans="1:15" x14ac:dyDescent="0.25">
      <c r="A90" s="100" t="str">
        <f>'OI(Value)'!A90</f>
        <v>HDFCBANK</v>
      </c>
      <c r="B90" s="82">
        <f>VLOOKUP(A90,'Data shares'!$C$2:$CV$231,98,0)</f>
        <v>123107050</v>
      </c>
      <c r="C90" s="82">
        <f>VLOOKUP(A90,'Data shares'!$C$2:$CX$231,100,0)</f>
        <v>-35897950</v>
      </c>
      <c r="D90" s="141">
        <f>VLOOKUP(A90,'Data shares'!$C$2:$CY$554,101,0)</f>
        <v>-0.2258</v>
      </c>
      <c r="E90" s="86">
        <f>VLOOKUP($A90,'Data shares'!$C:$FA,74)</f>
        <v>103714050</v>
      </c>
      <c r="F90" s="86">
        <f>VLOOKUP($A90,'Data shares'!$C:$FA,76)</f>
        <v>-2241250</v>
      </c>
      <c r="G90" s="87">
        <f>VLOOKUP(A90,'Data shares'!$C$2:$CA$231,77,0)</f>
        <v>-2.12E-2</v>
      </c>
      <c r="H90" s="86">
        <f>VLOOKUP($A90,'Data shares'!$C:$FA,90)</f>
        <v>8599800</v>
      </c>
      <c r="I90" s="86">
        <f>VLOOKUP($A90,'Data shares'!$C:$FA,92)</f>
        <v>-21255300</v>
      </c>
      <c r="J90" s="87">
        <f>VLOOKUP($A90,'Data shares'!$C:$FA,93)</f>
        <v>-0.71189999999999998</v>
      </c>
      <c r="K90" s="86">
        <f>VLOOKUP($A90,'Data shares'!$C:$FA,94)</f>
        <v>10793200</v>
      </c>
      <c r="L90" s="86">
        <f>VLOOKUP($A90,'Data shares'!$C:$FA,96)</f>
        <v>-12401400</v>
      </c>
      <c r="M90" s="87">
        <f>VLOOKUP($A90,'Data shares'!$C:$FA,97)</f>
        <v>-0.53469999999999995</v>
      </c>
      <c r="N90" s="86">
        <f>VLOOKUP($A90,'Data shares'!$C:$FA,78)</f>
        <v>1992100</v>
      </c>
      <c r="O90" s="87">
        <f>VLOOKUP($A90,'Data shares'!$C:$FA,81)</f>
        <v>-0.84219999999999995</v>
      </c>
    </row>
    <row r="91" spans="1:15" x14ac:dyDescent="0.25">
      <c r="A91" s="100" t="str">
        <f>'OI(Value)'!A91</f>
        <v>HDFCLIFE</v>
      </c>
      <c r="B91" s="82">
        <f>VLOOKUP(A91,'Data shares'!$C$2:$CV$231,98,0)</f>
        <v>34531200</v>
      </c>
      <c r="C91" s="82">
        <f>VLOOKUP(A91,'Data shares'!$C$2:$CX$231,100,0)</f>
        <v>-20477600</v>
      </c>
      <c r="D91" s="141">
        <f>VLOOKUP(A91,'Data shares'!$C$2:$CY$554,101,0)</f>
        <v>-0.37230000000000002</v>
      </c>
      <c r="E91" s="86">
        <f>VLOOKUP($A91,'Data shares'!$C:$FA,74)</f>
        <v>28716600</v>
      </c>
      <c r="F91" s="86">
        <f>VLOOKUP($A91,'Data shares'!$C:$FA,76)</f>
        <v>-1081300</v>
      </c>
      <c r="G91" s="87">
        <f>VLOOKUP(A91,'Data shares'!$C$2:$CA$231,77,0)</f>
        <v>-3.6299999999999999E-2</v>
      </c>
      <c r="H91" s="86">
        <f>VLOOKUP($A91,'Data shares'!$C:$FA,90)</f>
        <v>3190000</v>
      </c>
      <c r="I91" s="86">
        <f>VLOOKUP($A91,'Data shares'!$C:$FA,92)</f>
        <v>-13464000</v>
      </c>
      <c r="J91" s="87">
        <f>VLOOKUP($A91,'Data shares'!$C:$FA,93)</f>
        <v>-0.8085</v>
      </c>
      <c r="K91" s="86">
        <f>VLOOKUP($A91,'Data shares'!$C:$FA,94)</f>
        <v>2624600</v>
      </c>
      <c r="L91" s="86">
        <f>VLOOKUP($A91,'Data shares'!$C:$FA,96)</f>
        <v>-5932300</v>
      </c>
      <c r="M91" s="87">
        <f>VLOOKUP($A91,'Data shares'!$C:$FA,97)</f>
        <v>-0.69330000000000003</v>
      </c>
      <c r="N91" s="86">
        <f>VLOOKUP($A91,'Data shares'!$C:$FA,78)</f>
        <v>1293600</v>
      </c>
      <c r="O91" s="87">
        <f>VLOOKUP($A91,'Data shares'!$C:$FA,81)</f>
        <v>-0.69530000000000003</v>
      </c>
    </row>
    <row r="92" spans="1:15" x14ac:dyDescent="0.25">
      <c r="A92" s="100" t="str">
        <f>'OI(Value)'!A92</f>
        <v>HEROMOTOCO</v>
      </c>
      <c r="B92" s="82">
        <f>VLOOKUP(A92,'Data shares'!$C$2:$CV$231,98,0)</f>
        <v>8461050</v>
      </c>
      <c r="C92" s="82">
        <f>VLOOKUP(A92,'Data shares'!$C$2:$CX$231,100,0)</f>
        <v>-4291950</v>
      </c>
      <c r="D92" s="141">
        <f>VLOOKUP(A92,'Data shares'!$C$2:$CY$554,101,0)</f>
        <v>-0.33650000000000002</v>
      </c>
      <c r="E92" s="86">
        <f>VLOOKUP($A92,'Data shares'!$C:$FA,74)</f>
        <v>6548100</v>
      </c>
      <c r="F92" s="86">
        <f>VLOOKUP($A92,'Data shares'!$C:$FA,76)</f>
        <v>-788100</v>
      </c>
      <c r="G92" s="87">
        <f>VLOOKUP(A92,'Data shares'!$C$2:$CA$231,77,0)</f>
        <v>-0.1074</v>
      </c>
      <c r="H92" s="86">
        <f>VLOOKUP($A92,'Data shares'!$C:$FA,90)</f>
        <v>1139850</v>
      </c>
      <c r="I92" s="86">
        <f>VLOOKUP($A92,'Data shares'!$C:$FA,92)</f>
        <v>-2283150</v>
      </c>
      <c r="J92" s="87">
        <f>VLOOKUP($A92,'Data shares'!$C:$FA,93)</f>
        <v>-0.66700000000000004</v>
      </c>
      <c r="K92" s="86">
        <f>VLOOKUP($A92,'Data shares'!$C:$FA,94)</f>
        <v>773100</v>
      </c>
      <c r="L92" s="86">
        <f>VLOOKUP($A92,'Data shares'!$C:$FA,96)</f>
        <v>-1220700</v>
      </c>
      <c r="M92" s="87">
        <f>VLOOKUP($A92,'Data shares'!$C:$FA,97)</f>
        <v>-0.61219999999999997</v>
      </c>
      <c r="N92" s="86">
        <f>VLOOKUP($A92,'Data shares'!$C:$FA,78)</f>
        <v>571800</v>
      </c>
      <c r="O92" s="87">
        <f>VLOOKUP($A92,'Data shares'!$C:$FA,81)</f>
        <v>-0.35370000000000001</v>
      </c>
    </row>
    <row r="93" spans="1:15" x14ac:dyDescent="0.25">
      <c r="A93" s="100" t="str">
        <f>'OI(Value)'!A93</f>
        <v>HFCL</v>
      </c>
      <c r="B93" s="82">
        <f>VLOOKUP(A93,'Data shares'!$C$2:$CV$231,98,0)</f>
        <v>118383300</v>
      </c>
      <c r="C93" s="82">
        <f>VLOOKUP(A93,'Data shares'!$C$2:$CX$231,100,0)</f>
        <v>-35346000</v>
      </c>
      <c r="D93" s="141">
        <f>VLOOKUP(A93,'Data shares'!$C$2:$CY$554,101,0)</f>
        <v>-0.22989999999999999</v>
      </c>
      <c r="E93" s="86">
        <f>VLOOKUP($A93,'Data shares'!$C:$FA,74)</f>
        <v>83243700</v>
      </c>
      <c r="F93" s="86">
        <f>VLOOKUP($A93,'Data shares'!$C:$FA,76)</f>
        <v>258000</v>
      </c>
      <c r="G93" s="87">
        <f>VLOOKUP(A93,'Data shares'!$C$2:$CA$231,77,0)</f>
        <v>3.0999999999999999E-3</v>
      </c>
      <c r="H93" s="86">
        <f>VLOOKUP($A93,'Data shares'!$C:$FA,90)</f>
        <v>21897750</v>
      </c>
      <c r="I93" s="86">
        <f>VLOOKUP($A93,'Data shares'!$C:$FA,92)</f>
        <v>-23323200</v>
      </c>
      <c r="J93" s="87">
        <f>VLOOKUP($A93,'Data shares'!$C:$FA,93)</f>
        <v>-0.51580000000000004</v>
      </c>
      <c r="K93" s="86">
        <f>VLOOKUP($A93,'Data shares'!$C:$FA,94)</f>
        <v>13241850</v>
      </c>
      <c r="L93" s="86">
        <f>VLOOKUP($A93,'Data shares'!$C:$FA,96)</f>
        <v>-12280800</v>
      </c>
      <c r="M93" s="87">
        <f>VLOOKUP($A93,'Data shares'!$C:$FA,97)</f>
        <v>-0.48120000000000002</v>
      </c>
      <c r="N93" s="86">
        <f>VLOOKUP($A93,'Data shares'!$C:$FA,78)</f>
        <v>3979650</v>
      </c>
      <c r="O93" s="87">
        <f>VLOOKUP($A93,'Data shares'!$C:$FA,81)</f>
        <v>-0.79079999999999995</v>
      </c>
    </row>
    <row r="94" spans="1:15" x14ac:dyDescent="0.25">
      <c r="A94" s="100" t="str">
        <f>'OI(Value)'!A94</f>
        <v>HINDALCO</v>
      </c>
      <c r="B94" s="82">
        <f>VLOOKUP(A94,'Data shares'!$C$2:$CV$231,98,0)</f>
        <v>54098800</v>
      </c>
      <c r="C94" s="82">
        <f>VLOOKUP(A94,'Data shares'!$C$2:$CX$231,100,0)</f>
        <v>-18965800</v>
      </c>
      <c r="D94" s="141">
        <f>VLOOKUP(A94,'Data shares'!$C$2:$CY$554,101,0)</f>
        <v>-0.2596</v>
      </c>
      <c r="E94" s="86">
        <f>VLOOKUP($A94,'Data shares'!$C:$FA,74)</f>
        <v>45635800</v>
      </c>
      <c r="F94" s="86">
        <f>VLOOKUP($A94,'Data shares'!$C:$FA,76)</f>
        <v>-3666600</v>
      </c>
      <c r="G94" s="87">
        <f>VLOOKUP(A94,'Data shares'!$C$2:$CA$231,77,0)</f>
        <v>-7.4399999999999994E-2</v>
      </c>
      <c r="H94" s="86">
        <f>VLOOKUP($A94,'Data shares'!$C:$FA,90)</f>
        <v>4545800</v>
      </c>
      <c r="I94" s="86">
        <f>VLOOKUP($A94,'Data shares'!$C:$FA,92)</f>
        <v>-10470600</v>
      </c>
      <c r="J94" s="87">
        <f>VLOOKUP($A94,'Data shares'!$C:$FA,93)</f>
        <v>-0.69730000000000003</v>
      </c>
      <c r="K94" s="86">
        <f>VLOOKUP($A94,'Data shares'!$C:$FA,94)</f>
        <v>3917200</v>
      </c>
      <c r="L94" s="86">
        <f>VLOOKUP($A94,'Data shares'!$C:$FA,96)</f>
        <v>-4828600</v>
      </c>
      <c r="M94" s="87">
        <f>VLOOKUP($A94,'Data shares'!$C:$FA,97)</f>
        <v>-0.55210000000000004</v>
      </c>
      <c r="N94" s="86">
        <f>VLOOKUP($A94,'Data shares'!$C:$FA,78)</f>
        <v>2353400</v>
      </c>
      <c r="O94" s="87">
        <f>VLOOKUP($A94,'Data shares'!$C:$FA,81)</f>
        <v>-0.51919999999999999</v>
      </c>
    </row>
    <row r="95" spans="1:15" x14ac:dyDescent="0.25">
      <c r="A95" s="100" t="str">
        <f>'OI(Value)'!A95</f>
        <v>HINDCOPPER</v>
      </c>
      <c r="B95" s="82">
        <f>VLOOKUP(A95,'Data shares'!$C$2:$CV$231,98,0)</f>
        <v>11164450</v>
      </c>
      <c r="C95" s="82">
        <f>VLOOKUP(A95,'Data shares'!$C$2:$CX$231,100,0)</f>
        <v>-12266850</v>
      </c>
      <c r="D95" s="141">
        <f>VLOOKUP(A95,'Data shares'!$C$2:$CY$554,101,0)</f>
        <v>-0.52349999999999997</v>
      </c>
      <c r="E95" s="86">
        <f>VLOOKUP($A95,'Data shares'!$C:$FA,74)</f>
        <v>0</v>
      </c>
      <c r="F95" s="86">
        <f>VLOOKUP($A95,'Data shares'!$C:$FA,76)</f>
        <v>-10743100</v>
      </c>
      <c r="G95" s="87">
        <f>VLOOKUP(A95,'Data shares'!$C$2:$CA$231,77,0)</f>
        <v>-1</v>
      </c>
      <c r="H95" s="86">
        <f>VLOOKUP($A95,'Data shares'!$C:$FA,90)</f>
        <v>7836050</v>
      </c>
      <c r="I95" s="86">
        <f>VLOOKUP($A95,'Data shares'!$C:$FA,92)</f>
        <v>-572400</v>
      </c>
      <c r="J95" s="87">
        <f>VLOOKUP($A95,'Data shares'!$C:$FA,93)</f>
        <v>-6.8099999999999994E-2</v>
      </c>
      <c r="K95" s="86">
        <f>VLOOKUP($A95,'Data shares'!$C:$FA,94)</f>
        <v>3328400</v>
      </c>
      <c r="L95" s="86">
        <f>VLOOKUP($A95,'Data shares'!$C:$FA,96)</f>
        <v>-951350</v>
      </c>
      <c r="M95" s="87">
        <f>VLOOKUP($A95,'Data shares'!$C:$FA,97)</f>
        <v>-0.2223</v>
      </c>
      <c r="N95" s="86">
        <f>VLOOKUP($A95,'Data shares'!$C:$FA,78)</f>
        <v>4987300</v>
      </c>
      <c r="O95" s="87">
        <f>VLOOKUP($A95,'Data shares'!$C:$FA,81)</f>
        <v>-0.53580000000000005</v>
      </c>
    </row>
    <row r="96" spans="1:15" x14ac:dyDescent="0.25">
      <c r="A96" s="100" t="str">
        <f>'OI(Value)'!A96</f>
        <v>HINDPETRO</v>
      </c>
      <c r="B96" s="82">
        <f>VLOOKUP(A96,'Data shares'!$C$2:$CV$231,98,0)</f>
        <v>63838125</v>
      </c>
      <c r="C96" s="82">
        <f>VLOOKUP(A96,'Data shares'!$C$2:$CX$231,100,0)</f>
        <v>-26426250</v>
      </c>
      <c r="D96" s="141">
        <f>VLOOKUP(A96,'Data shares'!$C$2:$CY$554,101,0)</f>
        <v>-0.2928</v>
      </c>
      <c r="E96" s="86">
        <f>VLOOKUP($A96,'Data shares'!$C:$FA,74)</f>
        <v>53719200</v>
      </c>
      <c r="F96" s="86">
        <f>VLOOKUP($A96,'Data shares'!$C:$FA,76)</f>
        <v>-10930950</v>
      </c>
      <c r="G96" s="87">
        <f>VLOOKUP(A96,'Data shares'!$C$2:$CA$231,77,0)</f>
        <v>-0.1691</v>
      </c>
      <c r="H96" s="86">
        <f>VLOOKUP($A96,'Data shares'!$C:$FA,90)</f>
        <v>5169825</v>
      </c>
      <c r="I96" s="86">
        <f>VLOOKUP($A96,'Data shares'!$C:$FA,92)</f>
        <v>-10104750</v>
      </c>
      <c r="J96" s="87">
        <f>VLOOKUP($A96,'Data shares'!$C:$FA,93)</f>
        <v>-0.66149999999999998</v>
      </c>
      <c r="K96" s="86">
        <f>VLOOKUP($A96,'Data shares'!$C:$FA,94)</f>
        <v>4949100</v>
      </c>
      <c r="L96" s="86">
        <f>VLOOKUP($A96,'Data shares'!$C:$FA,96)</f>
        <v>-5390550</v>
      </c>
      <c r="M96" s="87">
        <f>VLOOKUP($A96,'Data shares'!$C:$FA,97)</f>
        <v>-0.52129999999999999</v>
      </c>
      <c r="N96" s="86">
        <f>VLOOKUP($A96,'Data shares'!$C:$FA,78)</f>
        <v>9385875</v>
      </c>
      <c r="O96" s="87">
        <f>VLOOKUP($A96,'Data shares'!$C:$FA,81)</f>
        <v>-0.40500000000000003</v>
      </c>
    </row>
    <row r="97" spans="1:15" x14ac:dyDescent="0.25">
      <c r="A97" s="100" t="str">
        <f>'OI(Value)'!A97</f>
        <v>HINDUNILVR</v>
      </c>
      <c r="B97" s="82">
        <f>VLOOKUP(A97,'Data shares'!$C$2:$CV$231,98,0)</f>
        <v>22008300</v>
      </c>
      <c r="C97" s="82">
        <f>VLOOKUP(A97,'Data shares'!$C$2:$CX$231,100,0)</f>
        <v>-11394300</v>
      </c>
      <c r="D97" s="141">
        <f>VLOOKUP(A97,'Data shares'!$C$2:$CY$554,101,0)</f>
        <v>-0.34110000000000001</v>
      </c>
      <c r="E97" s="86">
        <f>VLOOKUP($A97,'Data shares'!$C:$FA,74)</f>
        <v>15723900</v>
      </c>
      <c r="F97" s="86">
        <f>VLOOKUP($A97,'Data shares'!$C:$FA,76)</f>
        <v>-1263900</v>
      </c>
      <c r="G97" s="87">
        <f>VLOOKUP(A97,'Data shares'!$C$2:$CA$231,77,0)</f>
        <v>-7.4399999999999994E-2</v>
      </c>
      <c r="H97" s="86">
        <f>VLOOKUP($A97,'Data shares'!$C:$FA,90)</f>
        <v>3243900</v>
      </c>
      <c r="I97" s="86">
        <f>VLOOKUP($A97,'Data shares'!$C:$FA,92)</f>
        <v>-6466200</v>
      </c>
      <c r="J97" s="87">
        <f>VLOOKUP($A97,'Data shares'!$C:$FA,93)</f>
        <v>-0.66590000000000005</v>
      </c>
      <c r="K97" s="86">
        <f>VLOOKUP($A97,'Data shares'!$C:$FA,94)</f>
        <v>3040500</v>
      </c>
      <c r="L97" s="86">
        <f>VLOOKUP($A97,'Data shares'!$C:$FA,96)</f>
        <v>-3664200</v>
      </c>
      <c r="M97" s="87">
        <f>VLOOKUP($A97,'Data shares'!$C:$FA,97)</f>
        <v>-0.54649999999999999</v>
      </c>
      <c r="N97" s="86">
        <f>VLOOKUP($A97,'Data shares'!$C:$FA,78)</f>
        <v>2531100</v>
      </c>
      <c r="O97" s="87">
        <f>VLOOKUP($A97,'Data shares'!$C:$FA,81)</f>
        <v>0.14199999999999999</v>
      </c>
    </row>
    <row r="98" spans="1:15" x14ac:dyDescent="0.25">
      <c r="A98" s="100" t="str">
        <f>'OI(Value)'!A98</f>
        <v>HINDZINC</v>
      </c>
      <c r="B98" s="82">
        <f>VLOOKUP(A98,'Data shares'!$C$2:$CV$231,98,0)</f>
        <v>41805575</v>
      </c>
      <c r="C98" s="82">
        <f>VLOOKUP(A98,'Data shares'!$C$2:$CX$231,100,0)</f>
        <v>-21299075</v>
      </c>
      <c r="D98" s="141">
        <f>VLOOKUP(A98,'Data shares'!$C$2:$CY$554,101,0)</f>
        <v>-0.33750000000000002</v>
      </c>
      <c r="E98" s="86">
        <f>VLOOKUP($A98,'Data shares'!$C:$FA,74)</f>
        <v>31164000</v>
      </c>
      <c r="F98" s="86">
        <f>VLOOKUP($A98,'Data shares'!$C:$FA,76)</f>
        <v>-3605175</v>
      </c>
      <c r="G98" s="87">
        <f>VLOOKUP(A98,'Data shares'!$C$2:$CA$231,77,0)</f>
        <v>-0.1037</v>
      </c>
      <c r="H98" s="86">
        <f>VLOOKUP($A98,'Data shares'!$C:$FA,90)</f>
        <v>6258525</v>
      </c>
      <c r="I98" s="86">
        <f>VLOOKUP($A98,'Data shares'!$C:$FA,92)</f>
        <v>-11113200</v>
      </c>
      <c r="J98" s="87">
        <f>VLOOKUP($A98,'Data shares'!$C:$FA,93)</f>
        <v>-0.63970000000000005</v>
      </c>
      <c r="K98" s="86">
        <f>VLOOKUP($A98,'Data shares'!$C:$FA,94)</f>
        <v>4383050</v>
      </c>
      <c r="L98" s="86">
        <f>VLOOKUP($A98,'Data shares'!$C:$FA,96)</f>
        <v>-6580700</v>
      </c>
      <c r="M98" s="87">
        <f>VLOOKUP($A98,'Data shares'!$C:$FA,97)</f>
        <v>-0.60019999999999996</v>
      </c>
      <c r="N98" s="86">
        <f>VLOOKUP($A98,'Data shares'!$C:$FA,78)</f>
        <v>3036775</v>
      </c>
      <c r="O98" s="87">
        <f>VLOOKUP($A98,'Data shares'!$C:$FA,81)</f>
        <v>-0.71450000000000002</v>
      </c>
    </row>
    <row r="99" spans="1:15" x14ac:dyDescent="0.25">
      <c r="A99" s="100" t="str">
        <f>'OI(Value)'!A99</f>
        <v>HUDCO</v>
      </c>
      <c r="B99" s="82">
        <f>VLOOKUP(A99,'Data shares'!$C$2:$CV$231,98,0)</f>
        <v>42099525</v>
      </c>
      <c r="C99" s="82">
        <f>VLOOKUP(A99,'Data shares'!$C$2:$CX$231,100,0)</f>
        <v>-19058700</v>
      </c>
      <c r="D99" s="141">
        <f>VLOOKUP(A99,'Data shares'!$C$2:$CY$554,101,0)</f>
        <v>-0.31159999999999999</v>
      </c>
      <c r="E99" s="86">
        <f>VLOOKUP($A99,'Data shares'!$C:$FA,74)</f>
        <v>33169575</v>
      </c>
      <c r="F99" s="86">
        <f>VLOOKUP($A99,'Data shares'!$C:$FA,76)</f>
        <v>-3532575</v>
      </c>
      <c r="G99" s="87">
        <f>VLOOKUP(A99,'Data shares'!$C$2:$CA$231,77,0)</f>
        <v>-9.6199999999999994E-2</v>
      </c>
      <c r="H99" s="86">
        <f>VLOOKUP($A99,'Data shares'!$C:$FA,90)</f>
        <v>4931175</v>
      </c>
      <c r="I99" s="86">
        <f>VLOOKUP($A99,'Data shares'!$C:$FA,92)</f>
        <v>-10281375</v>
      </c>
      <c r="J99" s="87">
        <f>VLOOKUP($A99,'Data shares'!$C:$FA,93)</f>
        <v>-0.67579999999999996</v>
      </c>
      <c r="K99" s="86">
        <f>VLOOKUP($A99,'Data shares'!$C:$FA,94)</f>
        <v>3998775</v>
      </c>
      <c r="L99" s="86">
        <f>VLOOKUP($A99,'Data shares'!$C:$FA,96)</f>
        <v>-5244750</v>
      </c>
      <c r="M99" s="87">
        <f>VLOOKUP($A99,'Data shares'!$C:$FA,97)</f>
        <v>-0.56740000000000002</v>
      </c>
      <c r="N99" s="86">
        <f>VLOOKUP($A99,'Data shares'!$C:$FA,78)</f>
        <v>2902650</v>
      </c>
      <c r="O99" s="87">
        <f>VLOOKUP($A99,'Data shares'!$C:$FA,81)</f>
        <v>-0.72599999999999998</v>
      </c>
    </row>
    <row r="100" spans="1:15" x14ac:dyDescent="0.25">
      <c r="A100" s="100" t="str">
        <f>'OI(Value)'!A100</f>
        <v>ICICIBANK</v>
      </c>
      <c r="B100" s="82">
        <f>VLOOKUP(A100,'Data shares'!$C$2:$CV$231,98,0)</f>
        <v>108199000</v>
      </c>
      <c r="C100" s="82">
        <f>VLOOKUP(A100,'Data shares'!$C$2:$CX$231,100,0)</f>
        <v>-29143100</v>
      </c>
      <c r="D100" s="141">
        <f>VLOOKUP(A100,'Data shares'!$C$2:$CY$554,101,0)</f>
        <v>-0.2122</v>
      </c>
      <c r="E100" s="86">
        <f>VLOOKUP($A100,'Data shares'!$C:$FA,74)</f>
        <v>94227000</v>
      </c>
      <c r="F100" s="86">
        <f>VLOOKUP($A100,'Data shares'!$C:$FA,76)</f>
        <v>-140000</v>
      </c>
      <c r="G100" s="87">
        <f>VLOOKUP(A100,'Data shares'!$C$2:$CA$231,77,0)</f>
        <v>-1.5E-3</v>
      </c>
      <c r="H100" s="86">
        <f>VLOOKUP($A100,'Data shares'!$C:$FA,90)</f>
        <v>6947500</v>
      </c>
      <c r="I100" s="86">
        <f>VLOOKUP($A100,'Data shares'!$C:$FA,92)</f>
        <v>-14991200</v>
      </c>
      <c r="J100" s="87">
        <f>VLOOKUP($A100,'Data shares'!$C:$FA,93)</f>
        <v>-0.68330000000000002</v>
      </c>
      <c r="K100" s="86">
        <f>VLOOKUP($A100,'Data shares'!$C:$FA,94)</f>
        <v>7024500</v>
      </c>
      <c r="L100" s="86">
        <f>VLOOKUP($A100,'Data shares'!$C:$FA,96)</f>
        <v>-14011900</v>
      </c>
      <c r="M100" s="87">
        <f>VLOOKUP($A100,'Data shares'!$C:$FA,97)</f>
        <v>-0.66610000000000003</v>
      </c>
      <c r="N100" s="86">
        <f>VLOOKUP($A100,'Data shares'!$C:$FA,78)</f>
        <v>3841600</v>
      </c>
      <c r="O100" s="87">
        <f>VLOOKUP($A100,'Data shares'!$C:$FA,81)</f>
        <v>-0.42309999999999998</v>
      </c>
    </row>
    <row r="101" spans="1:15" x14ac:dyDescent="0.25">
      <c r="A101" s="100" t="str">
        <f>'OI(Value)'!A101</f>
        <v>ICICIGI</v>
      </c>
      <c r="B101" s="82">
        <f>VLOOKUP(A101,'Data shares'!$C$2:$CV$231,98,0)</f>
        <v>5499975</v>
      </c>
      <c r="C101" s="82">
        <f>VLOOKUP(A101,'Data shares'!$C$2:$CX$231,100,0)</f>
        <v>-2603575</v>
      </c>
      <c r="D101" s="141">
        <f>VLOOKUP(A101,'Data shares'!$C$2:$CY$554,101,0)</f>
        <v>-0.32129999999999997</v>
      </c>
      <c r="E101" s="86">
        <f>VLOOKUP($A101,'Data shares'!$C:$FA,74)</f>
        <v>4884750</v>
      </c>
      <c r="F101" s="86">
        <f>VLOOKUP($A101,'Data shares'!$C:$FA,76)</f>
        <v>-318175</v>
      </c>
      <c r="G101" s="87">
        <f>VLOOKUP(A101,'Data shares'!$C$2:$CA$231,77,0)</f>
        <v>-6.1199999999999997E-2</v>
      </c>
      <c r="H101" s="86">
        <f>VLOOKUP($A101,'Data shares'!$C:$FA,90)</f>
        <v>317850</v>
      </c>
      <c r="I101" s="86">
        <f>VLOOKUP($A101,'Data shares'!$C:$FA,92)</f>
        <v>-1666925</v>
      </c>
      <c r="J101" s="87">
        <f>VLOOKUP($A101,'Data shares'!$C:$FA,93)</f>
        <v>-0.83989999999999998</v>
      </c>
      <c r="K101" s="86">
        <f>VLOOKUP($A101,'Data shares'!$C:$FA,94)</f>
        <v>297375</v>
      </c>
      <c r="L101" s="86">
        <f>VLOOKUP($A101,'Data shares'!$C:$FA,96)</f>
        <v>-618475</v>
      </c>
      <c r="M101" s="87">
        <f>VLOOKUP($A101,'Data shares'!$C:$FA,97)</f>
        <v>-0.67530000000000001</v>
      </c>
      <c r="N101" s="86">
        <f>VLOOKUP($A101,'Data shares'!$C:$FA,78)</f>
        <v>489775</v>
      </c>
      <c r="O101" s="87">
        <f>VLOOKUP($A101,'Data shares'!$C:$FA,81)</f>
        <v>-0.35570000000000002</v>
      </c>
    </row>
    <row r="102" spans="1:15" x14ac:dyDescent="0.25">
      <c r="A102" s="100" t="str">
        <f>'OI(Value)'!A102</f>
        <v>ICICIPRULI</v>
      </c>
      <c r="B102" s="82">
        <f>VLOOKUP(A102,'Data shares'!$C$2:$CV$231,98,0)</f>
        <v>15784200</v>
      </c>
      <c r="C102" s="82">
        <f>VLOOKUP(A102,'Data shares'!$C$2:$CX$231,100,0)</f>
        <v>-9501600</v>
      </c>
      <c r="D102" s="141">
        <f>VLOOKUP(A102,'Data shares'!$C$2:$CY$554,101,0)</f>
        <v>-0.37580000000000002</v>
      </c>
      <c r="E102" s="86">
        <f>VLOOKUP($A102,'Data shares'!$C:$FA,74)</f>
        <v>13505925</v>
      </c>
      <c r="F102" s="86">
        <f>VLOOKUP($A102,'Data shares'!$C:$FA,76)</f>
        <v>-1292225</v>
      </c>
      <c r="G102" s="87">
        <f>VLOOKUP(A102,'Data shares'!$C$2:$CA$231,77,0)</f>
        <v>-8.7300000000000003E-2</v>
      </c>
      <c r="H102" s="86">
        <f>VLOOKUP($A102,'Data shares'!$C:$FA,90)</f>
        <v>1241350</v>
      </c>
      <c r="I102" s="86">
        <f>VLOOKUP($A102,'Data shares'!$C:$FA,92)</f>
        <v>-6190100</v>
      </c>
      <c r="J102" s="87">
        <f>VLOOKUP($A102,'Data shares'!$C:$FA,93)</f>
        <v>-0.83299999999999996</v>
      </c>
      <c r="K102" s="86">
        <f>VLOOKUP($A102,'Data shares'!$C:$FA,94)</f>
        <v>1036925</v>
      </c>
      <c r="L102" s="86">
        <f>VLOOKUP($A102,'Data shares'!$C:$FA,96)</f>
        <v>-2019275</v>
      </c>
      <c r="M102" s="87">
        <f>VLOOKUP($A102,'Data shares'!$C:$FA,97)</f>
        <v>-0.66069999999999995</v>
      </c>
      <c r="N102" s="86">
        <f>VLOOKUP($A102,'Data shares'!$C:$FA,78)</f>
        <v>1265400</v>
      </c>
      <c r="O102" s="87">
        <f>VLOOKUP($A102,'Data shares'!$C:$FA,81)</f>
        <v>-0.38429999999999997</v>
      </c>
    </row>
    <row r="103" spans="1:15" x14ac:dyDescent="0.25">
      <c r="A103" s="100" t="str">
        <f>'OI(Value)'!A103</f>
        <v>IDEA</v>
      </c>
      <c r="B103" s="82">
        <f>VLOOKUP(A103,'Data shares'!$C$2:$CV$231,98,0)</f>
        <v>6381359475</v>
      </c>
      <c r="C103" s="82">
        <f>VLOOKUP(A103,'Data shares'!$C$2:$CX$231,100,0)</f>
        <v>-1596036750</v>
      </c>
      <c r="D103" s="141">
        <f>VLOOKUP(A103,'Data shares'!$C$2:$CY$554,101,0)</f>
        <v>-0.2001</v>
      </c>
      <c r="E103" s="86">
        <f>VLOOKUP($A103,'Data shares'!$C:$FA,74)</f>
        <v>5329033050</v>
      </c>
      <c r="F103" s="86">
        <f>VLOOKUP($A103,'Data shares'!$C:$FA,76)</f>
        <v>-166107900</v>
      </c>
      <c r="G103" s="87">
        <f>VLOOKUP(A103,'Data shares'!$C$2:$CA$231,77,0)</f>
        <v>-3.0200000000000001E-2</v>
      </c>
      <c r="H103" s="86">
        <f>VLOOKUP($A103,'Data shares'!$C:$FA,90)</f>
        <v>568941000</v>
      </c>
      <c r="I103" s="86">
        <f>VLOOKUP($A103,'Data shares'!$C:$FA,92)</f>
        <v>-1003866375</v>
      </c>
      <c r="J103" s="87">
        <f>VLOOKUP($A103,'Data shares'!$C:$FA,93)</f>
        <v>-0.63829999999999998</v>
      </c>
      <c r="K103" s="86">
        <f>VLOOKUP($A103,'Data shares'!$C:$FA,94)</f>
        <v>483385425</v>
      </c>
      <c r="L103" s="86">
        <f>VLOOKUP($A103,'Data shares'!$C:$FA,96)</f>
        <v>-426062475</v>
      </c>
      <c r="M103" s="87">
        <f>VLOOKUP($A103,'Data shares'!$C:$FA,97)</f>
        <v>-0.46850000000000003</v>
      </c>
      <c r="N103" s="86">
        <f>VLOOKUP($A103,'Data shares'!$C:$FA,78)</f>
        <v>137517900</v>
      </c>
      <c r="O103" s="87">
        <f>VLOOKUP($A103,'Data shares'!$C:$FA,81)</f>
        <v>-0.82699999999999996</v>
      </c>
    </row>
    <row r="104" spans="1:15" x14ac:dyDescent="0.25">
      <c r="A104" s="100" t="str">
        <f>'OI(Value)'!A104</f>
        <v>IDFCFIRSTB</v>
      </c>
      <c r="B104" s="82">
        <f>VLOOKUP(A104,'Data shares'!$C$2:$CV$231,98,0)</f>
        <v>483941675</v>
      </c>
      <c r="C104" s="82">
        <f>VLOOKUP(A104,'Data shares'!$C$2:$CX$231,100,0)</f>
        <v>-159455800</v>
      </c>
      <c r="D104" s="141">
        <f>VLOOKUP(A104,'Data shares'!$C$2:$CY$554,101,0)</f>
        <v>-0.24779999999999999</v>
      </c>
      <c r="E104" s="86">
        <f>VLOOKUP($A104,'Data shares'!$C:$FA,74)</f>
        <v>379199100</v>
      </c>
      <c r="F104" s="86">
        <f>VLOOKUP($A104,'Data shares'!$C:$FA,76)</f>
        <v>-9868600</v>
      </c>
      <c r="G104" s="87">
        <f>VLOOKUP(A104,'Data shares'!$C$2:$CA$231,77,0)</f>
        <v>-2.5399999999999999E-2</v>
      </c>
      <c r="H104" s="86">
        <f>VLOOKUP($A104,'Data shares'!$C:$FA,90)</f>
        <v>60176200</v>
      </c>
      <c r="I104" s="86">
        <f>VLOOKUP($A104,'Data shares'!$C:$FA,92)</f>
        <v>-102562950</v>
      </c>
      <c r="J104" s="87">
        <f>VLOOKUP($A104,'Data shares'!$C:$FA,93)</f>
        <v>-0.63019999999999998</v>
      </c>
      <c r="K104" s="86">
        <f>VLOOKUP($A104,'Data shares'!$C:$FA,94)</f>
        <v>44566375</v>
      </c>
      <c r="L104" s="86">
        <f>VLOOKUP($A104,'Data shares'!$C:$FA,96)</f>
        <v>-47024250</v>
      </c>
      <c r="M104" s="87">
        <f>VLOOKUP($A104,'Data shares'!$C:$FA,97)</f>
        <v>-0.51339999999999997</v>
      </c>
      <c r="N104" s="86">
        <f>VLOOKUP($A104,'Data shares'!$C:$FA,78)</f>
        <v>14237125</v>
      </c>
      <c r="O104" s="87">
        <f>VLOOKUP($A104,'Data shares'!$C:$FA,81)</f>
        <v>-0.75239999999999996</v>
      </c>
    </row>
    <row r="105" spans="1:15" x14ac:dyDescent="0.25">
      <c r="A105" s="100" t="str">
        <f>'OI(Value)'!A105</f>
        <v>IEX</v>
      </c>
      <c r="B105" s="82">
        <f>VLOOKUP(A105,'Data shares'!$C$2:$CV$231,98,0)</f>
        <v>79207500</v>
      </c>
      <c r="C105" s="82">
        <f>VLOOKUP(A105,'Data shares'!$C$2:$CX$231,100,0)</f>
        <v>-86460000</v>
      </c>
      <c r="D105" s="141">
        <f>VLOOKUP(A105,'Data shares'!$C$2:$CY$554,101,0)</f>
        <v>-0.52190000000000003</v>
      </c>
      <c r="E105" s="86">
        <f>VLOOKUP($A105,'Data shares'!$C:$FA,74)</f>
        <v>34335000</v>
      </c>
      <c r="F105" s="86">
        <f>VLOOKUP($A105,'Data shares'!$C:$FA,76)</f>
        <v>-7335000</v>
      </c>
      <c r="G105" s="87">
        <f>VLOOKUP(A105,'Data shares'!$C$2:$CA$231,77,0)</f>
        <v>-0.17599999999999999</v>
      </c>
      <c r="H105" s="86">
        <f>VLOOKUP($A105,'Data shares'!$C:$FA,90)</f>
        <v>24776250</v>
      </c>
      <c r="I105" s="86">
        <f>VLOOKUP($A105,'Data shares'!$C:$FA,92)</f>
        <v>-31976250</v>
      </c>
      <c r="J105" s="87">
        <f>VLOOKUP($A105,'Data shares'!$C:$FA,93)</f>
        <v>-0.56340000000000001</v>
      </c>
      <c r="K105" s="86">
        <f>VLOOKUP($A105,'Data shares'!$C:$FA,94)</f>
        <v>20096250</v>
      </c>
      <c r="L105" s="86">
        <f>VLOOKUP($A105,'Data shares'!$C:$FA,96)</f>
        <v>-47148750</v>
      </c>
      <c r="M105" s="87">
        <f>VLOOKUP($A105,'Data shares'!$C:$FA,97)</f>
        <v>-0.70109999999999995</v>
      </c>
      <c r="N105" s="86">
        <f>VLOOKUP($A105,'Data shares'!$C:$FA,78)</f>
        <v>10173750</v>
      </c>
      <c r="O105" s="87">
        <f>VLOOKUP($A105,'Data shares'!$C:$FA,81)</f>
        <v>-0.39910000000000001</v>
      </c>
    </row>
    <row r="106" spans="1:15" x14ac:dyDescent="0.25">
      <c r="A106" s="100" t="str">
        <f>'OI(Value)'!A106</f>
        <v>IGL</v>
      </c>
      <c r="B106" s="82">
        <f>VLOOKUP(A106,'Data shares'!$C$2:$CV$231,98,0)</f>
        <v>26224000</v>
      </c>
      <c r="C106" s="82">
        <f>VLOOKUP(A106,'Data shares'!$C$2:$CX$231,100,0)</f>
        <v>-20319750</v>
      </c>
      <c r="D106" s="141">
        <f>VLOOKUP(A106,'Data shares'!$C$2:$CY$554,101,0)</f>
        <v>-0.43659999999999999</v>
      </c>
      <c r="E106" s="86">
        <f>VLOOKUP($A106,'Data shares'!$C:$FA,74)</f>
        <v>14976500</v>
      </c>
      <c r="F106" s="86">
        <f>VLOOKUP($A106,'Data shares'!$C:$FA,76)</f>
        <v>-5618250</v>
      </c>
      <c r="G106" s="87">
        <f>VLOOKUP(A106,'Data shares'!$C$2:$CA$231,77,0)</f>
        <v>-0.27279999999999999</v>
      </c>
      <c r="H106" s="86">
        <f>VLOOKUP($A106,'Data shares'!$C:$FA,90)</f>
        <v>6943750</v>
      </c>
      <c r="I106" s="86">
        <f>VLOOKUP($A106,'Data shares'!$C:$FA,92)</f>
        <v>-9471000</v>
      </c>
      <c r="J106" s="87">
        <f>VLOOKUP($A106,'Data shares'!$C:$FA,93)</f>
        <v>-0.57699999999999996</v>
      </c>
      <c r="K106" s="86">
        <f>VLOOKUP($A106,'Data shares'!$C:$FA,94)</f>
        <v>4303750</v>
      </c>
      <c r="L106" s="86">
        <f>VLOOKUP($A106,'Data shares'!$C:$FA,96)</f>
        <v>-5230500</v>
      </c>
      <c r="M106" s="87">
        <f>VLOOKUP($A106,'Data shares'!$C:$FA,97)</f>
        <v>-0.54859999999999998</v>
      </c>
      <c r="N106" s="86">
        <f>VLOOKUP($A106,'Data shares'!$C:$FA,78)</f>
        <v>1190750</v>
      </c>
      <c r="O106" s="87">
        <f>VLOOKUP($A106,'Data shares'!$C:$FA,81)</f>
        <v>-0.7823</v>
      </c>
    </row>
    <row r="107" spans="1:15" x14ac:dyDescent="0.25">
      <c r="A107" s="100" t="str">
        <f>'OI(Value)'!A107</f>
        <v>IIFL</v>
      </c>
      <c r="B107" s="82">
        <f>VLOOKUP(A107,'Data shares'!$C$2:$CV$231,98,0)</f>
        <v>16770600</v>
      </c>
      <c r="C107" s="82">
        <f>VLOOKUP(A107,'Data shares'!$C$2:$CX$231,100,0)</f>
        <v>-5349300</v>
      </c>
      <c r="D107" s="141">
        <f>VLOOKUP(A107,'Data shares'!$C$2:$CY$554,101,0)</f>
        <v>-0.24179999999999999</v>
      </c>
      <c r="E107" s="86">
        <f>VLOOKUP($A107,'Data shares'!$C:$FA,74)</f>
        <v>13313850</v>
      </c>
      <c r="F107" s="86">
        <f>VLOOKUP($A107,'Data shares'!$C:$FA,76)</f>
        <v>-1521300</v>
      </c>
      <c r="G107" s="87">
        <f>VLOOKUP(A107,'Data shares'!$C$2:$CA$231,77,0)</f>
        <v>-0.10249999999999999</v>
      </c>
      <c r="H107" s="86">
        <f>VLOOKUP($A107,'Data shares'!$C:$FA,90)</f>
        <v>2149950</v>
      </c>
      <c r="I107" s="86">
        <f>VLOOKUP($A107,'Data shares'!$C:$FA,92)</f>
        <v>-1819950</v>
      </c>
      <c r="J107" s="87">
        <f>VLOOKUP($A107,'Data shares'!$C:$FA,93)</f>
        <v>-0.45839999999999997</v>
      </c>
      <c r="K107" s="86">
        <f>VLOOKUP($A107,'Data shares'!$C:$FA,94)</f>
        <v>1306800</v>
      </c>
      <c r="L107" s="86">
        <f>VLOOKUP($A107,'Data shares'!$C:$FA,96)</f>
        <v>-2008050</v>
      </c>
      <c r="M107" s="87">
        <f>VLOOKUP($A107,'Data shares'!$C:$FA,97)</f>
        <v>-0.60580000000000001</v>
      </c>
      <c r="N107" s="86">
        <f>VLOOKUP($A107,'Data shares'!$C:$FA,78)</f>
        <v>556050</v>
      </c>
      <c r="O107" s="87">
        <f>VLOOKUP($A107,'Data shares'!$C:$FA,81)</f>
        <v>-0.82369999999999999</v>
      </c>
    </row>
    <row r="108" spans="1:15" x14ac:dyDescent="0.25">
      <c r="A108" s="100" t="str">
        <f>'OI(Value)'!A108</f>
        <v>INDHOTEL</v>
      </c>
      <c r="B108" s="82">
        <f>VLOOKUP(A108,'Data shares'!$C$2:$CV$231,98,0)</f>
        <v>34248000</v>
      </c>
      <c r="C108" s="82">
        <f>VLOOKUP(A108,'Data shares'!$C$2:$CX$231,100,0)</f>
        <v>-8935000</v>
      </c>
      <c r="D108" s="141">
        <f>VLOOKUP(A108,'Data shares'!$C$2:$CY$554,101,0)</f>
        <v>-0.2069</v>
      </c>
      <c r="E108" s="86">
        <f>VLOOKUP($A108,'Data shares'!$C:$FA,74)</f>
        <v>27828000</v>
      </c>
      <c r="F108" s="86">
        <f>VLOOKUP($A108,'Data shares'!$C:$FA,76)</f>
        <v>-762000</v>
      </c>
      <c r="G108" s="87">
        <f>VLOOKUP(A108,'Data shares'!$C$2:$CA$231,77,0)</f>
        <v>-2.6700000000000002E-2</v>
      </c>
      <c r="H108" s="86">
        <f>VLOOKUP($A108,'Data shares'!$C:$FA,90)</f>
        <v>3592000</v>
      </c>
      <c r="I108" s="86">
        <f>VLOOKUP($A108,'Data shares'!$C:$FA,92)</f>
        <v>-4973000</v>
      </c>
      <c r="J108" s="87">
        <f>VLOOKUP($A108,'Data shares'!$C:$FA,93)</f>
        <v>-0.5806</v>
      </c>
      <c r="K108" s="86">
        <f>VLOOKUP($A108,'Data shares'!$C:$FA,94)</f>
        <v>2828000</v>
      </c>
      <c r="L108" s="86">
        <f>VLOOKUP($A108,'Data shares'!$C:$FA,96)</f>
        <v>-3200000</v>
      </c>
      <c r="M108" s="87">
        <f>VLOOKUP($A108,'Data shares'!$C:$FA,97)</f>
        <v>-0.53090000000000004</v>
      </c>
      <c r="N108" s="86">
        <f>VLOOKUP($A108,'Data shares'!$C:$FA,78)</f>
        <v>824000</v>
      </c>
      <c r="O108" s="87">
        <f>VLOOKUP($A108,'Data shares'!$C:$FA,81)</f>
        <v>-0.81059999999999999</v>
      </c>
    </row>
    <row r="109" spans="1:15" x14ac:dyDescent="0.25">
      <c r="A109" s="100" t="str">
        <f>'OI(Value)'!A109</f>
        <v>INDIANB</v>
      </c>
      <c r="B109" s="82">
        <f>VLOOKUP(A109,'Data shares'!$C$2:$CV$231,98,0)</f>
        <v>8952000</v>
      </c>
      <c r="C109" s="82">
        <f>VLOOKUP(A109,'Data shares'!$C$2:$CX$231,100,0)</f>
        <v>-4131000</v>
      </c>
      <c r="D109" s="141">
        <f>VLOOKUP(A109,'Data shares'!$C$2:$CY$554,101,0)</f>
        <v>-0.31580000000000003</v>
      </c>
      <c r="E109" s="86">
        <f>VLOOKUP($A109,'Data shares'!$C:$FA,74)</f>
        <v>7237000</v>
      </c>
      <c r="F109" s="86">
        <f>VLOOKUP($A109,'Data shares'!$C:$FA,76)</f>
        <v>-876000</v>
      </c>
      <c r="G109" s="87">
        <f>VLOOKUP(A109,'Data shares'!$C$2:$CA$231,77,0)</f>
        <v>-0.108</v>
      </c>
      <c r="H109" s="86">
        <f>VLOOKUP($A109,'Data shares'!$C:$FA,90)</f>
        <v>974000</v>
      </c>
      <c r="I109" s="86">
        <f>VLOOKUP($A109,'Data shares'!$C:$FA,92)</f>
        <v>-1962000</v>
      </c>
      <c r="J109" s="87">
        <f>VLOOKUP($A109,'Data shares'!$C:$FA,93)</f>
        <v>-0.66830000000000001</v>
      </c>
      <c r="K109" s="86">
        <f>VLOOKUP($A109,'Data shares'!$C:$FA,94)</f>
        <v>741000</v>
      </c>
      <c r="L109" s="86">
        <f>VLOOKUP($A109,'Data shares'!$C:$FA,96)</f>
        <v>-1293000</v>
      </c>
      <c r="M109" s="87">
        <f>VLOOKUP($A109,'Data shares'!$C:$FA,97)</f>
        <v>-0.63570000000000004</v>
      </c>
      <c r="N109" s="86">
        <f>VLOOKUP($A109,'Data shares'!$C:$FA,78)</f>
        <v>326000</v>
      </c>
      <c r="O109" s="87">
        <f>VLOOKUP($A109,'Data shares'!$C:$FA,81)</f>
        <v>-0.75760000000000005</v>
      </c>
    </row>
    <row r="110" spans="1:15" x14ac:dyDescent="0.25">
      <c r="A110" s="100" t="str">
        <f>'OI(Value)'!A110</f>
        <v>INDIAVIX</v>
      </c>
      <c r="B110" s="82">
        <f>VLOOKUP(A110,'Data shares'!$C$2:$CV$231,98,0)</f>
        <v>0</v>
      </c>
      <c r="C110" s="82">
        <f>VLOOKUP(A110,'Data shares'!$C$2:$CX$231,100,0)</f>
        <v>0</v>
      </c>
      <c r="D110" s="141">
        <f>VLOOKUP(A110,'Data shares'!$C$2:$CY$554,101,0)</f>
        <v>0</v>
      </c>
      <c r="E110" s="86">
        <f>VLOOKUP($A110,'Data shares'!$C:$FA,74)</f>
        <v>0</v>
      </c>
      <c r="F110" s="86">
        <f>VLOOKUP($A110,'Data shares'!$C:$FA,76)</f>
        <v>0</v>
      </c>
      <c r="G110" s="87">
        <f>VLOOKUP(A110,'Data shares'!$C$2:$CA$231,77,0)</f>
        <v>0</v>
      </c>
      <c r="H110" s="86">
        <f>VLOOKUP($A110,'Data shares'!$C:$FA,90)</f>
        <v>0</v>
      </c>
      <c r="I110" s="86">
        <f>VLOOKUP($A110,'Data shares'!$C:$FA,92)</f>
        <v>0</v>
      </c>
      <c r="J110" s="87">
        <f>VLOOKUP($A110,'Data shares'!$C:$FA,93)</f>
        <v>0</v>
      </c>
      <c r="K110" s="86">
        <f>VLOOKUP($A110,'Data shares'!$C:$FA,94)</f>
        <v>0</v>
      </c>
      <c r="L110" s="86">
        <f>VLOOKUP($A110,'Data shares'!$C:$FA,96)</f>
        <v>0</v>
      </c>
      <c r="M110" s="87">
        <f>VLOOKUP($A110,'Data shares'!$C:$FA,97)</f>
        <v>0</v>
      </c>
      <c r="N110" s="86">
        <f>VLOOKUP($A110,'Data shares'!$C:$FA,78)</f>
        <v>0</v>
      </c>
      <c r="O110" s="87">
        <f>VLOOKUP($A110,'Data shares'!$C:$FA,81)</f>
        <v>0</v>
      </c>
    </row>
    <row r="111" spans="1:15" x14ac:dyDescent="0.25">
      <c r="A111" s="100" t="str">
        <f>'OI(Value)'!A111</f>
        <v>INDIGO</v>
      </c>
      <c r="B111" s="82">
        <f>VLOOKUP(A111,'Data shares'!$C$2:$CV$231,98,0)</f>
        <v>9066300</v>
      </c>
      <c r="C111" s="82">
        <f>VLOOKUP(A111,'Data shares'!$C$2:$CX$231,100,0)</f>
        <v>-5447700</v>
      </c>
      <c r="D111" s="141">
        <f>VLOOKUP(A111,'Data shares'!$C$2:$CY$554,101,0)</f>
        <v>-0.37530000000000002</v>
      </c>
      <c r="E111" s="86">
        <f>VLOOKUP($A111,'Data shares'!$C:$FA,74)</f>
        <v>7156500</v>
      </c>
      <c r="F111" s="86">
        <f>VLOOKUP($A111,'Data shares'!$C:$FA,76)</f>
        <v>-1289850</v>
      </c>
      <c r="G111" s="87">
        <f>VLOOKUP(A111,'Data shares'!$C$2:$CA$231,77,0)</f>
        <v>-0.1527</v>
      </c>
      <c r="H111" s="86">
        <f>VLOOKUP($A111,'Data shares'!$C:$FA,90)</f>
        <v>937200</v>
      </c>
      <c r="I111" s="86">
        <f>VLOOKUP($A111,'Data shares'!$C:$FA,92)</f>
        <v>-2091600</v>
      </c>
      <c r="J111" s="87">
        <f>VLOOKUP($A111,'Data shares'!$C:$FA,93)</f>
        <v>-0.69059999999999999</v>
      </c>
      <c r="K111" s="86">
        <f>VLOOKUP($A111,'Data shares'!$C:$FA,94)</f>
        <v>972600</v>
      </c>
      <c r="L111" s="86">
        <f>VLOOKUP($A111,'Data shares'!$C:$FA,96)</f>
        <v>-2066250</v>
      </c>
      <c r="M111" s="87">
        <f>VLOOKUP($A111,'Data shares'!$C:$FA,97)</f>
        <v>-0.67989999999999995</v>
      </c>
      <c r="N111" s="86">
        <f>VLOOKUP($A111,'Data shares'!$C:$FA,78)</f>
        <v>556800</v>
      </c>
      <c r="O111" s="87">
        <f>VLOOKUP($A111,'Data shares'!$C:$FA,81)</f>
        <v>-0.68100000000000005</v>
      </c>
    </row>
    <row r="112" spans="1:15" x14ac:dyDescent="0.25">
      <c r="A112" s="100" t="str">
        <f>'OI(Value)'!A112</f>
        <v>INDUSINDBK</v>
      </c>
      <c r="B112" s="82">
        <f>VLOOKUP(A112,'Data shares'!$C$2:$CV$231,98,0)</f>
        <v>62844600</v>
      </c>
      <c r="C112" s="82">
        <f>VLOOKUP(A112,'Data shares'!$C$2:$CX$231,100,0)</f>
        <v>-21016800</v>
      </c>
      <c r="D112" s="141">
        <f>VLOOKUP(A112,'Data shares'!$C$2:$CY$554,101,0)</f>
        <v>-0.25059999999999999</v>
      </c>
      <c r="E112" s="86">
        <f>VLOOKUP($A112,'Data shares'!$C:$FA,74)</f>
        <v>48841100</v>
      </c>
      <c r="F112" s="86">
        <f>VLOOKUP($A112,'Data shares'!$C:$FA,76)</f>
        <v>-235200</v>
      </c>
      <c r="G112" s="87">
        <f>VLOOKUP(A112,'Data shares'!$C$2:$CA$231,77,0)</f>
        <v>-4.7999999999999996E-3</v>
      </c>
      <c r="H112" s="86">
        <f>VLOOKUP($A112,'Data shares'!$C:$FA,90)</f>
        <v>7520800</v>
      </c>
      <c r="I112" s="86">
        <f>VLOOKUP($A112,'Data shares'!$C:$FA,92)</f>
        <v>-15115800</v>
      </c>
      <c r="J112" s="87">
        <f>VLOOKUP($A112,'Data shares'!$C:$FA,93)</f>
        <v>-0.66779999999999995</v>
      </c>
      <c r="K112" s="86">
        <f>VLOOKUP($A112,'Data shares'!$C:$FA,94)</f>
        <v>6482700</v>
      </c>
      <c r="L112" s="86">
        <f>VLOOKUP($A112,'Data shares'!$C:$FA,96)</f>
        <v>-5665800</v>
      </c>
      <c r="M112" s="87">
        <f>VLOOKUP($A112,'Data shares'!$C:$FA,97)</f>
        <v>-0.46639999999999998</v>
      </c>
      <c r="N112" s="86">
        <f>VLOOKUP($A112,'Data shares'!$C:$FA,78)</f>
        <v>2640400</v>
      </c>
      <c r="O112" s="87">
        <f>VLOOKUP($A112,'Data shares'!$C:$FA,81)</f>
        <v>-0.71879999999999999</v>
      </c>
    </row>
    <row r="113" spans="1:15" x14ac:dyDescent="0.25">
      <c r="A113" s="100" t="str">
        <f>'OI(Value)'!A113</f>
        <v>INDUSTOWER</v>
      </c>
      <c r="B113" s="82">
        <f>VLOOKUP(A113,'Data shares'!$C$2:$CV$231,98,0)</f>
        <v>81455500</v>
      </c>
      <c r="C113" s="82">
        <f>VLOOKUP(A113,'Data shares'!$C$2:$CX$231,100,0)</f>
        <v>-8569700</v>
      </c>
      <c r="D113" s="141">
        <f>VLOOKUP(A113,'Data shares'!$C$2:$CY$554,101,0)</f>
        <v>-9.5200000000000007E-2</v>
      </c>
      <c r="E113" s="86">
        <f>VLOOKUP($A113,'Data shares'!$C:$FA,74)</f>
        <v>63243400</v>
      </c>
      <c r="F113" s="86">
        <f>VLOOKUP($A113,'Data shares'!$C:$FA,76)</f>
        <v>448800</v>
      </c>
      <c r="G113" s="87">
        <f>VLOOKUP(A113,'Data shares'!$C$2:$CA$231,77,0)</f>
        <v>7.1000000000000004E-3</v>
      </c>
      <c r="H113" s="86">
        <f>VLOOKUP($A113,'Data shares'!$C:$FA,90)</f>
        <v>10494100</v>
      </c>
      <c r="I113" s="86">
        <f>VLOOKUP($A113,'Data shares'!$C:$FA,92)</f>
        <v>-5778300</v>
      </c>
      <c r="J113" s="87">
        <f>VLOOKUP($A113,'Data shares'!$C:$FA,93)</f>
        <v>-0.35510000000000003</v>
      </c>
      <c r="K113" s="86">
        <f>VLOOKUP($A113,'Data shares'!$C:$FA,94)</f>
        <v>7718000</v>
      </c>
      <c r="L113" s="86">
        <f>VLOOKUP($A113,'Data shares'!$C:$FA,96)</f>
        <v>-3240200</v>
      </c>
      <c r="M113" s="87">
        <f>VLOOKUP($A113,'Data shares'!$C:$FA,97)</f>
        <v>-0.29570000000000002</v>
      </c>
      <c r="N113" s="86">
        <f>VLOOKUP($A113,'Data shares'!$C:$FA,78)</f>
        <v>3978000</v>
      </c>
      <c r="O113" s="87">
        <f>VLOOKUP($A113,'Data shares'!$C:$FA,81)</f>
        <v>-0.72889999999999999</v>
      </c>
    </row>
    <row r="114" spans="1:15" x14ac:dyDescent="0.25">
      <c r="A114" s="100" t="str">
        <f>'OI(Value)'!A114</f>
        <v>INFY</v>
      </c>
      <c r="B114" s="82">
        <f>VLOOKUP(A114,'Data shares'!$C$2:$CV$231,98,0)</f>
        <v>85814800</v>
      </c>
      <c r="C114" s="82">
        <f>VLOOKUP(A114,'Data shares'!$C$2:$CX$231,100,0)</f>
        <v>-31233200</v>
      </c>
      <c r="D114" s="141">
        <f>VLOOKUP(A114,'Data shares'!$C$2:$CY$554,101,0)</f>
        <v>-0.26679999999999998</v>
      </c>
      <c r="E114" s="86">
        <f>VLOOKUP($A114,'Data shares'!$C:$FA,74)</f>
        <v>68042800</v>
      </c>
      <c r="F114" s="86">
        <f>VLOOKUP($A114,'Data shares'!$C:$FA,76)</f>
        <v>-6040000</v>
      </c>
      <c r="G114" s="87">
        <f>VLOOKUP(A114,'Data shares'!$C$2:$CA$231,77,0)</f>
        <v>-8.1500000000000003E-2</v>
      </c>
      <c r="H114" s="86">
        <f>VLOOKUP($A114,'Data shares'!$C:$FA,90)</f>
        <v>10949600</v>
      </c>
      <c r="I114" s="86">
        <f>VLOOKUP($A114,'Data shares'!$C:$FA,92)</f>
        <v>-17815600</v>
      </c>
      <c r="J114" s="87">
        <f>VLOOKUP($A114,'Data shares'!$C:$FA,93)</f>
        <v>-0.61929999999999996</v>
      </c>
      <c r="K114" s="86">
        <f>VLOOKUP($A114,'Data shares'!$C:$FA,94)</f>
        <v>6822400</v>
      </c>
      <c r="L114" s="86">
        <f>VLOOKUP($A114,'Data shares'!$C:$FA,96)</f>
        <v>-7377600</v>
      </c>
      <c r="M114" s="87">
        <f>VLOOKUP($A114,'Data shares'!$C:$FA,97)</f>
        <v>-0.51949999999999996</v>
      </c>
      <c r="N114" s="86">
        <f>VLOOKUP($A114,'Data shares'!$C:$FA,78)</f>
        <v>7051200</v>
      </c>
      <c r="O114" s="87">
        <f>VLOOKUP($A114,'Data shares'!$C:$FA,81)</f>
        <v>-0.54330000000000001</v>
      </c>
    </row>
    <row r="115" spans="1:15" x14ac:dyDescent="0.25">
      <c r="A115" s="100" t="str">
        <f>'OI(Value)'!A115</f>
        <v>INOXWIND</v>
      </c>
      <c r="B115" s="82">
        <f>VLOOKUP(A115,'Data shares'!$C$2:$CV$231,98,0)</f>
        <v>34850072</v>
      </c>
      <c r="C115" s="82">
        <f>VLOOKUP(A115,'Data shares'!$C$2:$CX$231,100,0)</f>
        <v>-29935528</v>
      </c>
      <c r="D115" s="141">
        <f>VLOOKUP(A115,'Data shares'!$C$2:$CY$554,101,0)</f>
        <v>-0.46210000000000001</v>
      </c>
      <c r="E115" s="86">
        <f>VLOOKUP($A115,'Data shares'!$C:$FA,74)</f>
        <v>27861080</v>
      </c>
      <c r="F115" s="86">
        <f>VLOOKUP($A115,'Data shares'!$C:$FA,76)</f>
        <v>-11592696</v>
      </c>
      <c r="G115" s="87">
        <f>VLOOKUP(A115,'Data shares'!$C$2:$CA$231,77,0)</f>
        <v>-0.29380000000000001</v>
      </c>
      <c r="H115" s="86">
        <f>VLOOKUP($A115,'Data shares'!$C:$FA,90)</f>
        <v>4440104</v>
      </c>
      <c r="I115" s="86">
        <f>VLOOKUP($A115,'Data shares'!$C:$FA,92)</f>
        <v>-12741168</v>
      </c>
      <c r="J115" s="87">
        <f>VLOOKUP($A115,'Data shares'!$C:$FA,93)</f>
        <v>-0.74160000000000004</v>
      </c>
      <c r="K115" s="86">
        <f>VLOOKUP($A115,'Data shares'!$C:$FA,94)</f>
        <v>2548888</v>
      </c>
      <c r="L115" s="86">
        <f>VLOOKUP($A115,'Data shares'!$C:$FA,96)</f>
        <v>-5601664</v>
      </c>
      <c r="M115" s="87">
        <f>VLOOKUP($A115,'Data shares'!$C:$FA,97)</f>
        <v>-0.68730000000000002</v>
      </c>
      <c r="N115" s="86">
        <f>VLOOKUP($A115,'Data shares'!$C:$FA,78)</f>
        <v>9102704</v>
      </c>
      <c r="O115" s="87">
        <f>VLOOKUP($A115,'Data shares'!$C:$FA,81)</f>
        <v>-0.49199999999999999</v>
      </c>
    </row>
    <row r="116" spans="1:15" x14ac:dyDescent="0.25">
      <c r="A116" s="100" t="str">
        <f>'OI(Value)'!A116</f>
        <v>IOC</v>
      </c>
      <c r="B116" s="82">
        <f>VLOOKUP(A116,'Data shares'!$C$2:$CV$231,98,0)</f>
        <v>127793250</v>
      </c>
      <c r="C116" s="82">
        <f>VLOOKUP(A116,'Data shares'!$C$2:$CX$231,100,0)</f>
        <v>-85717125</v>
      </c>
      <c r="D116" s="141">
        <f>VLOOKUP(A116,'Data shares'!$C$2:$CY$554,101,0)</f>
        <v>-0.40150000000000002</v>
      </c>
      <c r="E116" s="86">
        <f>VLOOKUP($A116,'Data shares'!$C:$FA,74)</f>
        <v>69161625</v>
      </c>
      <c r="F116" s="86">
        <f>VLOOKUP($A116,'Data shares'!$C:$FA,76)</f>
        <v>-28713750</v>
      </c>
      <c r="G116" s="87">
        <f>VLOOKUP(A116,'Data shares'!$C$2:$CA$231,77,0)</f>
        <v>-0.29339999999999999</v>
      </c>
      <c r="H116" s="86">
        <f>VLOOKUP($A116,'Data shares'!$C:$FA,90)</f>
        <v>33062250</v>
      </c>
      <c r="I116" s="86">
        <f>VLOOKUP($A116,'Data shares'!$C:$FA,92)</f>
        <v>-37366875</v>
      </c>
      <c r="J116" s="87">
        <f>VLOOKUP($A116,'Data shares'!$C:$FA,93)</f>
        <v>-0.53059999999999996</v>
      </c>
      <c r="K116" s="86">
        <f>VLOOKUP($A116,'Data shares'!$C:$FA,94)</f>
        <v>25569375</v>
      </c>
      <c r="L116" s="86">
        <f>VLOOKUP($A116,'Data shares'!$C:$FA,96)</f>
        <v>-19636500</v>
      </c>
      <c r="M116" s="87">
        <f>VLOOKUP($A116,'Data shares'!$C:$FA,97)</f>
        <v>-0.43440000000000001</v>
      </c>
      <c r="N116" s="86">
        <f>VLOOKUP($A116,'Data shares'!$C:$FA,78)</f>
        <v>27719250</v>
      </c>
      <c r="O116" s="87">
        <f>VLOOKUP($A116,'Data shares'!$C:$FA,81)</f>
        <v>-0.1888</v>
      </c>
    </row>
    <row r="117" spans="1:15" x14ac:dyDescent="0.25">
      <c r="A117" s="100" t="str">
        <f>'OI(Value)'!A117</f>
        <v>IRB</v>
      </c>
      <c r="B117" s="82">
        <f>VLOOKUP(A117,'Data shares'!$C$2:$CV$231,98,0)</f>
        <v>100054750</v>
      </c>
      <c r="C117" s="82">
        <f>VLOOKUP(A117,'Data shares'!$C$2:$CX$231,100,0)</f>
        <v>-47167000</v>
      </c>
      <c r="D117" s="141">
        <f>VLOOKUP(A117,'Data shares'!$C$2:$CY$554,101,0)</f>
        <v>-0.32040000000000002</v>
      </c>
      <c r="E117" s="86">
        <f>VLOOKUP($A117,'Data shares'!$C:$FA,74)</f>
        <v>82425500</v>
      </c>
      <c r="F117" s="86">
        <f>VLOOKUP($A117,'Data shares'!$C:$FA,76)</f>
        <v>-8814625</v>
      </c>
      <c r="G117" s="87">
        <f>VLOOKUP(A117,'Data shares'!$C$2:$CA$231,77,0)</f>
        <v>-9.6600000000000005E-2</v>
      </c>
      <c r="H117" s="86">
        <f>VLOOKUP($A117,'Data shares'!$C:$FA,90)</f>
        <v>11266375</v>
      </c>
      <c r="I117" s="86">
        <f>VLOOKUP($A117,'Data shares'!$C:$FA,92)</f>
        <v>-29899675</v>
      </c>
      <c r="J117" s="87">
        <f>VLOOKUP($A117,'Data shares'!$C:$FA,93)</f>
        <v>-0.72629999999999995</v>
      </c>
      <c r="K117" s="86">
        <f>VLOOKUP($A117,'Data shares'!$C:$FA,94)</f>
        <v>6362875</v>
      </c>
      <c r="L117" s="86">
        <f>VLOOKUP($A117,'Data shares'!$C:$FA,96)</f>
        <v>-8452700</v>
      </c>
      <c r="M117" s="87">
        <f>VLOOKUP($A117,'Data shares'!$C:$FA,97)</f>
        <v>-0.57050000000000001</v>
      </c>
      <c r="N117" s="86">
        <f>VLOOKUP($A117,'Data shares'!$C:$FA,78)</f>
        <v>5639025</v>
      </c>
      <c r="O117" s="87">
        <f>VLOOKUP($A117,'Data shares'!$C:$FA,81)</f>
        <v>-0.77380000000000004</v>
      </c>
    </row>
    <row r="118" spans="1:15" x14ac:dyDescent="0.25">
      <c r="A118" s="100" t="str">
        <f>'OI(Value)'!A118</f>
        <v>IRCTC</v>
      </c>
      <c r="B118" s="82">
        <f>VLOOKUP(A118,'Data shares'!$C$2:$CV$231,98,0)</f>
        <v>21567000</v>
      </c>
      <c r="C118" s="82">
        <f>VLOOKUP(A118,'Data shares'!$C$2:$CX$231,100,0)</f>
        <v>-8396500</v>
      </c>
      <c r="D118" s="141">
        <f>VLOOKUP(A118,'Data shares'!$C$2:$CY$554,101,0)</f>
        <v>-0.2802</v>
      </c>
      <c r="E118" s="86">
        <f>VLOOKUP($A118,'Data shares'!$C:$FA,74)</f>
        <v>14169750</v>
      </c>
      <c r="F118" s="86">
        <f>VLOOKUP($A118,'Data shares'!$C:$FA,76)</f>
        <v>-1116500</v>
      </c>
      <c r="G118" s="87">
        <f>VLOOKUP(A118,'Data shares'!$C$2:$CA$231,77,0)</f>
        <v>-7.2999999999999995E-2</v>
      </c>
      <c r="H118" s="86">
        <f>VLOOKUP($A118,'Data shares'!$C:$FA,90)</f>
        <v>3983000</v>
      </c>
      <c r="I118" s="86">
        <f>VLOOKUP($A118,'Data shares'!$C:$FA,92)</f>
        <v>-5037375</v>
      </c>
      <c r="J118" s="87">
        <f>VLOOKUP($A118,'Data shares'!$C:$FA,93)</f>
        <v>-0.55840000000000001</v>
      </c>
      <c r="K118" s="86">
        <f>VLOOKUP($A118,'Data shares'!$C:$FA,94)</f>
        <v>3414250</v>
      </c>
      <c r="L118" s="86">
        <f>VLOOKUP($A118,'Data shares'!$C:$FA,96)</f>
        <v>-2242625</v>
      </c>
      <c r="M118" s="87">
        <f>VLOOKUP($A118,'Data shares'!$C:$FA,97)</f>
        <v>-0.39639999999999997</v>
      </c>
      <c r="N118" s="86">
        <f>VLOOKUP($A118,'Data shares'!$C:$FA,78)</f>
        <v>1187375</v>
      </c>
      <c r="O118" s="87">
        <f>VLOOKUP($A118,'Data shares'!$C:$FA,81)</f>
        <v>-0.68520000000000003</v>
      </c>
    </row>
    <row r="119" spans="1:15" x14ac:dyDescent="0.25">
      <c r="A119" s="100" t="str">
        <f>'OI(Value)'!A119</f>
        <v>IREDA</v>
      </c>
      <c r="B119" s="82">
        <f>VLOOKUP(A119,'Data shares'!$C$2:$CV$231,98,0)</f>
        <v>59967900</v>
      </c>
      <c r="C119" s="82">
        <f>VLOOKUP(A119,'Data shares'!$C$2:$CX$231,100,0)</f>
        <v>-32761200</v>
      </c>
      <c r="D119" s="141">
        <f>VLOOKUP(A119,'Data shares'!$C$2:$CY$554,101,0)</f>
        <v>-0.3533</v>
      </c>
      <c r="E119" s="86">
        <f>VLOOKUP($A119,'Data shares'!$C:$FA,74)</f>
        <v>37087500</v>
      </c>
      <c r="F119" s="86">
        <f>VLOOKUP($A119,'Data shares'!$C:$FA,76)</f>
        <v>-7648650</v>
      </c>
      <c r="G119" s="87">
        <f>VLOOKUP(A119,'Data shares'!$C$2:$CA$231,77,0)</f>
        <v>-0.17100000000000001</v>
      </c>
      <c r="H119" s="86">
        <f>VLOOKUP($A119,'Data shares'!$C:$FA,90)</f>
        <v>13368750</v>
      </c>
      <c r="I119" s="86">
        <f>VLOOKUP($A119,'Data shares'!$C:$FA,92)</f>
        <v>-19240650</v>
      </c>
      <c r="J119" s="87">
        <f>VLOOKUP($A119,'Data shares'!$C:$FA,93)</f>
        <v>-0.59</v>
      </c>
      <c r="K119" s="86">
        <f>VLOOKUP($A119,'Data shares'!$C:$FA,94)</f>
        <v>9511650</v>
      </c>
      <c r="L119" s="86">
        <f>VLOOKUP($A119,'Data shares'!$C:$FA,96)</f>
        <v>-5871900</v>
      </c>
      <c r="M119" s="87">
        <f>VLOOKUP($A119,'Data shares'!$C:$FA,97)</f>
        <v>-0.38169999999999998</v>
      </c>
      <c r="N119" s="86">
        <f>VLOOKUP($A119,'Data shares'!$C:$FA,78)</f>
        <v>3301650</v>
      </c>
      <c r="O119" s="87">
        <f>VLOOKUP($A119,'Data shares'!$C:$FA,81)</f>
        <v>-0.65249999999999997</v>
      </c>
    </row>
    <row r="120" spans="1:15" x14ac:dyDescent="0.25">
      <c r="A120" s="100" t="str">
        <f>'OI(Value)'!A120</f>
        <v>IRFC</v>
      </c>
      <c r="B120" s="82">
        <f>VLOOKUP(A120,'Data shares'!$C$2:$CV$231,98,0)</f>
        <v>72037500</v>
      </c>
      <c r="C120" s="82">
        <f>VLOOKUP(A120,'Data shares'!$C$2:$CX$231,100,0)</f>
        <v>-49623000</v>
      </c>
      <c r="D120" s="141">
        <f>VLOOKUP(A120,'Data shares'!$C$2:$CY$554,101,0)</f>
        <v>-0.40789999999999998</v>
      </c>
      <c r="E120" s="86">
        <f>VLOOKUP($A120,'Data shares'!$C:$FA,74)</f>
        <v>41701000</v>
      </c>
      <c r="F120" s="86">
        <f>VLOOKUP($A120,'Data shares'!$C:$FA,76)</f>
        <v>-9796250</v>
      </c>
      <c r="G120" s="87">
        <f>VLOOKUP(A120,'Data shares'!$C$2:$CA$231,77,0)</f>
        <v>-0.19020000000000001</v>
      </c>
      <c r="H120" s="86">
        <f>VLOOKUP($A120,'Data shares'!$C:$FA,90)</f>
        <v>20816500</v>
      </c>
      <c r="I120" s="86">
        <f>VLOOKUP($A120,'Data shares'!$C:$FA,92)</f>
        <v>-28249750</v>
      </c>
      <c r="J120" s="87">
        <f>VLOOKUP($A120,'Data shares'!$C:$FA,93)</f>
        <v>-0.57569999999999999</v>
      </c>
      <c r="K120" s="86">
        <f>VLOOKUP($A120,'Data shares'!$C:$FA,94)</f>
        <v>9520000</v>
      </c>
      <c r="L120" s="86">
        <f>VLOOKUP($A120,'Data shares'!$C:$FA,96)</f>
        <v>-11577000</v>
      </c>
      <c r="M120" s="87">
        <f>VLOOKUP($A120,'Data shares'!$C:$FA,97)</f>
        <v>-0.54879999999999995</v>
      </c>
      <c r="N120" s="86">
        <f>VLOOKUP($A120,'Data shares'!$C:$FA,78)</f>
        <v>5185000</v>
      </c>
      <c r="O120" s="87">
        <f>VLOOKUP($A120,'Data shares'!$C:$FA,81)</f>
        <v>-0.54010000000000002</v>
      </c>
    </row>
    <row r="121" spans="1:15" x14ac:dyDescent="0.25">
      <c r="A121" s="100" t="str">
        <f>'OI(Value)'!A121</f>
        <v>ITC</v>
      </c>
      <c r="B121" s="82">
        <f>VLOOKUP(A121,'Data shares'!$C$2:$CV$231,98,0)</f>
        <v>150204800</v>
      </c>
      <c r="C121" s="82">
        <f>VLOOKUP(A121,'Data shares'!$C$2:$CX$231,100,0)</f>
        <v>-43812800</v>
      </c>
      <c r="D121" s="141">
        <f>VLOOKUP(A121,'Data shares'!$C$2:$CY$554,101,0)</f>
        <v>-0.2258</v>
      </c>
      <c r="E121" s="86">
        <f>VLOOKUP($A121,'Data shares'!$C:$FA,74)</f>
        <v>103123200</v>
      </c>
      <c r="F121" s="86">
        <f>VLOOKUP($A121,'Data shares'!$C:$FA,76)</f>
        <v>-4240000</v>
      </c>
      <c r="G121" s="87">
        <f>VLOOKUP(A121,'Data shares'!$C$2:$CA$231,77,0)</f>
        <v>-3.95E-2</v>
      </c>
      <c r="H121" s="86">
        <f>VLOOKUP($A121,'Data shares'!$C:$FA,90)</f>
        <v>24611200</v>
      </c>
      <c r="I121" s="86">
        <f>VLOOKUP($A121,'Data shares'!$C:$FA,92)</f>
        <v>-30113600</v>
      </c>
      <c r="J121" s="87">
        <f>VLOOKUP($A121,'Data shares'!$C:$FA,93)</f>
        <v>-0.55030000000000001</v>
      </c>
      <c r="K121" s="86">
        <f>VLOOKUP($A121,'Data shares'!$C:$FA,94)</f>
        <v>22470400</v>
      </c>
      <c r="L121" s="86">
        <f>VLOOKUP($A121,'Data shares'!$C:$FA,96)</f>
        <v>-9459200</v>
      </c>
      <c r="M121" s="87">
        <f>VLOOKUP($A121,'Data shares'!$C:$FA,97)</f>
        <v>-0.29630000000000001</v>
      </c>
      <c r="N121" s="86">
        <f>VLOOKUP($A121,'Data shares'!$C:$FA,78)</f>
        <v>4601600</v>
      </c>
      <c r="O121" s="87">
        <f>VLOOKUP($A121,'Data shares'!$C:$FA,81)</f>
        <v>-0.79890000000000005</v>
      </c>
    </row>
    <row r="122" spans="1:15" x14ac:dyDescent="0.25">
      <c r="A122" s="100" t="str">
        <f>'OI(Value)'!A122</f>
        <v>JINDALSTEL</v>
      </c>
      <c r="B122" s="82">
        <f>VLOOKUP(A122,'Data shares'!$C$2:$CV$231,98,0)</f>
        <v>14978750</v>
      </c>
      <c r="C122" s="82">
        <f>VLOOKUP(A122,'Data shares'!$C$2:$CX$231,100,0)</f>
        <v>-10511250</v>
      </c>
      <c r="D122" s="141">
        <f>VLOOKUP(A122,'Data shares'!$C$2:$CY$554,101,0)</f>
        <v>-0.41239999999999999</v>
      </c>
      <c r="E122" s="86">
        <f>VLOOKUP($A122,'Data shares'!$C:$FA,74)</f>
        <v>11638125</v>
      </c>
      <c r="F122" s="86">
        <f>VLOOKUP($A122,'Data shares'!$C:$FA,76)</f>
        <v>-5946250</v>
      </c>
      <c r="G122" s="87">
        <f>VLOOKUP(A122,'Data shares'!$C$2:$CA$231,77,0)</f>
        <v>-0.3382</v>
      </c>
      <c r="H122" s="86">
        <f>VLOOKUP($A122,'Data shares'!$C:$FA,90)</f>
        <v>1694375</v>
      </c>
      <c r="I122" s="86">
        <f>VLOOKUP($A122,'Data shares'!$C:$FA,92)</f>
        <v>-2279375</v>
      </c>
      <c r="J122" s="87">
        <f>VLOOKUP($A122,'Data shares'!$C:$FA,93)</f>
        <v>-0.5736</v>
      </c>
      <c r="K122" s="86">
        <f>VLOOKUP($A122,'Data shares'!$C:$FA,94)</f>
        <v>1646250</v>
      </c>
      <c r="L122" s="86">
        <f>VLOOKUP($A122,'Data shares'!$C:$FA,96)</f>
        <v>-2285625</v>
      </c>
      <c r="M122" s="87">
        <f>VLOOKUP($A122,'Data shares'!$C:$FA,97)</f>
        <v>-0.58130000000000004</v>
      </c>
      <c r="N122" s="86">
        <f>VLOOKUP($A122,'Data shares'!$C:$FA,78)</f>
        <v>5271250</v>
      </c>
      <c r="O122" s="87">
        <f>VLOOKUP($A122,'Data shares'!$C:$FA,81)</f>
        <v>-0.20230000000000001</v>
      </c>
    </row>
    <row r="123" spans="1:15" x14ac:dyDescent="0.25">
      <c r="A123" s="100" t="str">
        <f>'OI(Value)'!A123</f>
        <v>JIOFIN</v>
      </c>
      <c r="B123" s="82">
        <f>VLOOKUP(A123,'Data shares'!$C$2:$CV$231,98,0)</f>
        <v>182073300</v>
      </c>
      <c r="C123" s="82">
        <f>VLOOKUP(A123,'Data shares'!$C$2:$CX$231,100,0)</f>
        <v>-64359450</v>
      </c>
      <c r="D123" s="141">
        <f>VLOOKUP(A123,'Data shares'!$C$2:$CY$554,101,0)</f>
        <v>-0.26119999999999999</v>
      </c>
      <c r="E123" s="86">
        <f>VLOOKUP($A123,'Data shares'!$C:$FA,74)</f>
        <v>109502950</v>
      </c>
      <c r="F123" s="86">
        <f>VLOOKUP($A123,'Data shares'!$C:$FA,76)</f>
        <v>-7642200</v>
      </c>
      <c r="G123" s="87">
        <f>VLOOKUP(A123,'Data shares'!$C$2:$CA$231,77,0)</f>
        <v>-6.5199999999999994E-2</v>
      </c>
      <c r="H123" s="86">
        <f>VLOOKUP($A123,'Data shares'!$C:$FA,90)</f>
        <v>40878250</v>
      </c>
      <c r="I123" s="86">
        <f>VLOOKUP($A123,'Data shares'!$C:$FA,92)</f>
        <v>-37560050</v>
      </c>
      <c r="J123" s="87">
        <f>VLOOKUP($A123,'Data shares'!$C:$FA,93)</f>
        <v>-0.4788</v>
      </c>
      <c r="K123" s="86">
        <f>VLOOKUP($A123,'Data shares'!$C:$FA,94)</f>
        <v>31692100</v>
      </c>
      <c r="L123" s="86">
        <f>VLOOKUP($A123,'Data shares'!$C:$FA,96)</f>
        <v>-19157200</v>
      </c>
      <c r="M123" s="87">
        <f>VLOOKUP($A123,'Data shares'!$C:$FA,97)</f>
        <v>-0.37669999999999998</v>
      </c>
      <c r="N123" s="86">
        <f>VLOOKUP($A123,'Data shares'!$C:$FA,78)</f>
        <v>4305200</v>
      </c>
      <c r="O123" s="87">
        <f>VLOOKUP($A123,'Data shares'!$C:$FA,81)</f>
        <v>-0.78380000000000005</v>
      </c>
    </row>
    <row r="124" spans="1:15" x14ac:dyDescent="0.25">
      <c r="A124" s="100" t="str">
        <f>'OI(Value)'!A124</f>
        <v>JSL</v>
      </c>
      <c r="B124" s="82">
        <f>VLOOKUP(A124,'Data shares'!$C$2:$CV$231,98,0)</f>
        <v>5538600</v>
      </c>
      <c r="C124" s="82">
        <f>VLOOKUP(A124,'Data shares'!$C$2:$CX$231,100,0)</f>
        <v>-4155650</v>
      </c>
      <c r="D124" s="141">
        <f>VLOOKUP(A124,'Data shares'!$C$2:$CY$554,101,0)</f>
        <v>-0.42870000000000003</v>
      </c>
      <c r="E124" s="86">
        <f>VLOOKUP($A124,'Data shares'!$C:$FA,74)</f>
        <v>4541550</v>
      </c>
      <c r="F124" s="86">
        <f>VLOOKUP($A124,'Data shares'!$C:$FA,76)</f>
        <v>-2032350</v>
      </c>
      <c r="G124" s="87">
        <f>VLOOKUP(A124,'Data shares'!$C$2:$CA$231,77,0)</f>
        <v>-0.30919999999999997</v>
      </c>
      <c r="H124" s="86">
        <f>VLOOKUP($A124,'Data shares'!$C:$FA,90)</f>
        <v>684250</v>
      </c>
      <c r="I124" s="86">
        <f>VLOOKUP($A124,'Data shares'!$C:$FA,92)</f>
        <v>-1337050</v>
      </c>
      <c r="J124" s="87">
        <f>VLOOKUP($A124,'Data shares'!$C:$FA,93)</f>
        <v>-0.66149999999999998</v>
      </c>
      <c r="K124" s="86">
        <f>VLOOKUP($A124,'Data shares'!$C:$FA,94)</f>
        <v>312800</v>
      </c>
      <c r="L124" s="86">
        <f>VLOOKUP($A124,'Data shares'!$C:$FA,96)</f>
        <v>-786250</v>
      </c>
      <c r="M124" s="87">
        <f>VLOOKUP($A124,'Data shares'!$C:$FA,97)</f>
        <v>-0.71540000000000004</v>
      </c>
      <c r="N124" s="86">
        <f>VLOOKUP($A124,'Data shares'!$C:$FA,78)</f>
        <v>2029800</v>
      </c>
      <c r="O124" s="87">
        <f>VLOOKUP($A124,'Data shares'!$C:$FA,81)</f>
        <v>-8.9599999999999999E-2</v>
      </c>
    </row>
    <row r="125" spans="1:15" x14ac:dyDescent="0.25">
      <c r="A125" s="100" t="str">
        <f>'OI(Value)'!A125</f>
        <v>JSWENERGY</v>
      </c>
      <c r="B125" s="82">
        <f>VLOOKUP(A125,'Data shares'!$C$2:$CV$231,98,0)</f>
        <v>49788000</v>
      </c>
      <c r="C125" s="82">
        <f>VLOOKUP(A125,'Data shares'!$C$2:$CX$231,100,0)</f>
        <v>-8758000</v>
      </c>
      <c r="D125" s="141">
        <f>VLOOKUP(A125,'Data shares'!$C$2:$CY$554,101,0)</f>
        <v>-0.14960000000000001</v>
      </c>
      <c r="E125" s="86">
        <f>VLOOKUP($A125,'Data shares'!$C:$FA,74)</f>
        <v>41504000</v>
      </c>
      <c r="F125" s="86">
        <f>VLOOKUP($A125,'Data shares'!$C:$FA,76)</f>
        <v>-3125000</v>
      </c>
      <c r="G125" s="87">
        <f>VLOOKUP(A125,'Data shares'!$C$2:$CA$231,77,0)</f>
        <v>-7.0000000000000007E-2</v>
      </c>
      <c r="H125" s="86">
        <f>VLOOKUP($A125,'Data shares'!$C:$FA,90)</f>
        <v>5128000</v>
      </c>
      <c r="I125" s="86">
        <f>VLOOKUP($A125,'Data shares'!$C:$FA,92)</f>
        <v>-3727000</v>
      </c>
      <c r="J125" s="87">
        <f>VLOOKUP($A125,'Data shares'!$C:$FA,93)</f>
        <v>-0.4209</v>
      </c>
      <c r="K125" s="86">
        <f>VLOOKUP($A125,'Data shares'!$C:$FA,94)</f>
        <v>3156000</v>
      </c>
      <c r="L125" s="86">
        <f>VLOOKUP($A125,'Data shares'!$C:$FA,96)</f>
        <v>-1906000</v>
      </c>
      <c r="M125" s="87">
        <f>VLOOKUP($A125,'Data shares'!$C:$FA,97)</f>
        <v>-0.3765</v>
      </c>
      <c r="N125" s="86">
        <f>VLOOKUP($A125,'Data shares'!$C:$FA,78)</f>
        <v>4180000</v>
      </c>
      <c r="O125" s="87">
        <f>VLOOKUP($A125,'Data shares'!$C:$FA,81)</f>
        <v>-0.53569999999999995</v>
      </c>
    </row>
    <row r="126" spans="1:15" x14ac:dyDescent="0.25">
      <c r="A126" s="100" t="str">
        <f>'OI(Value)'!A126</f>
        <v>JSWSTEEL</v>
      </c>
      <c r="B126" s="82">
        <f>VLOOKUP(A126,'Data shares'!$C$2:$CV$231,98,0)</f>
        <v>44253675</v>
      </c>
      <c r="C126" s="82">
        <f>VLOOKUP(A126,'Data shares'!$C$2:$CX$231,100,0)</f>
        <v>-9673425</v>
      </c>
      <c r="D126" s="141">
        <f>VLOOKUP(A126,'Data shares'!$C$2:$CY$554,101,0)</f>
        <v>-0.1794</v>
      </c>
      <c r="E126" s="86">
        <f>VLOOKUP($A126,'Data shares'!$C:$FA,74)</f>
        <v>37548900</v>
      </c>
      <c r="F126" s="86">
        <f>VLOOKUP($A126,'Data shares'!$C:$FA,76)</f>
        <v>-1170450</v>
      </c>
      <c r="G126" s="87">
        <f>VLOOKUP(A126,'Data shares'!$C$2:$CA$231,77,0)</f>
        <v>-3.0200000000000001E-2</v>
      </c>
      <c r="H126" s="86">
        <f>VLOOKUP($A126,'Data shares'!$C:$FA,90)</f>
        <v>4263300</v>
      </c>
      <c r="I126" s="86">
        <f>VLOOKUP($A126,'Data shares'!$C:$FA,92)</f>
        <v>-5114475</v>
      </c>
      <c r="J126" s="87">
        <f>VLOOKUP($A126,'Data shares'!$C:$FA,93)</f>
        <v>-0.5454</v>
      </c>
      <c r="K126" s="86">
        <f>VLOOKUP($A126,'Data shares'!$C:$FA,94)</f>
        <v>2441475</v>
      </c>
      <c r="L126" s="86">
        <f>VLOOKUP($A126,'Data shares'!$C:$FA,96)</f>
        <v>-3388500</v>
      </c>
      <c r="M126" s="87">
        <f>VLOOKUP($A126,'Data shares'!$C:$FA,97)</f>
        <v>-0.58120000000000005</v>
      </c>
      <c r="N126" s="86">
        <f>VLOOKUP($A126,'Data shares'!$C:$FA,78)</f>
        <v>2252475</v>
      </c>
      <c r="O126" s="87">
        <f>VLOOKUP($A126,'Data shares'!$C:$FA,81)</f>
        <v>-0.39610000000000001</v>
      </c>
    </row>
    <row r="127" spans="1:15" x14ac:dyDescent="0.25">
      <c r="A127" s="100" t="str">
        <f>'OI(Value)'!A127</f>
        <v>JUBLFOOD</v>
      </c>
      <c r="B127" s="82">
        <f>VLOOKUP(A127,'Data shares'!$C$2:$CV$231,98,0)</f>
        <v>21970000</v>
      </c>
      <c r="C127" s="82">
        <f>VLOOKUP(A127,'Data shares'!$C$2:$CX$231,100,0)</f>
        <v>-8568750</v>
      </c>
      <c r="D127" s="141">
        <f>VLOOKUP(A127,'Data shares'!$C$2:$CY$554,101,0)</f>
        <v>-0.28060000000000002</v>
      </c>
      <c r="E127" s="86">
        <f>VLOOKUP($A127,'Data shares'!$C:$FA,74)</f>
        <v>19811250</v>
      </c>
      <c r="F127" s="86">
        <f>VLOOKUP($A127,'Data shares'!$C:$FA,76)</f>
        <v>-1351250</v>
      </c>
      <c r="G127" s="87">
        <f>VLOOKUP(A127,'Data shares'!$C$2:$CA$231,77,0)</f>
        <v>-6.3899999999999998E-2</v>
      </c>
      <c r="H127" s="86">
        <f>VLOOKUP($A127,'Data shares'!$C:$FA,90)</f>
        <v>1193750</v>
      </c>
      <c r="I127" s="86">
        <f>VLOOKUP($A127,'Data shares'!$C:$FA,92)</f>
        <v>-5241250</v>
      </c>
      <c r="J127" s="87">
        <f>VLOOKUP($A127,'Data shares'!$C:$FA,93)</f>
        <v>-0.8145</v>
      </c>
      <c r="K127" s="86">
        <f>VLOOKUP($A127,'Data shares'!$C:$FA,94)</f>
        <v>965000</v>
      </c>
      <c r="L127" s="86">
        <f>VLOOKUP($A127,'Data shares'!$C:$FA,96)</f>
        <v>-1976250</v>
      </c>
      <c r="M127" s="87">
        <f>VLOOKUP($A127,'Data shares'!$C:$FA,97)</f>
        <v>-0.67190000000000005</v>
      </c>
      <c r="N127" s="86">
        <f>VLOOKUP($A127,'Data shares'!$C:$FA,78)</f>
        <v>750000</v>
      </c>
      <c r="O127" s="87">
        <f>VLOOKUP($A127,'Data shares'!$C:$FA,81)</f>
        <v>-0.73119999999999996</v>
      </c>
    </row>
    <row r="128" spans="1:15" x14ac:dyDescent="0.25">
      <c r="A128" s="100" t="str">
        <f>'OI(Value)'!A128</f>
        <v>KALYANKJIL</v>
      </c>
      <c r="B128" s="82">
        <f>VLOOKUP(A128,'Data shares'!$C$2:$CV$231,98,0)</f>
        <v>24468200</v>
      </c>
      <c r="C128" s="82">
        <f>VLOOKUP(A128,'Data shares'!$C$2:$CX$231,100,0)</f>
        <v>-8615100</v>
      </c>
      <c r="D128" s="141">
        <f>VLOOKUP(A128,'Data shares'!$C$2:$CY$554,101,0)</f>
        <v>-0.26040000000000002</v>
      </c>
      <c r="E128" s="86">
        <f>VLOOKUP($A128,'Data shares'!$C:$FA,74)</f>
        <v>20025525</v>
      </c>
      <c r="F128" s="86">
        <f>VLOOKUP($A128,'Data shares'!$C:$FA,76)</f>
        <v>-2543875</v>
      </c>
      <c r="G128" s="87">
        <f>VLOOKUP(A128,'Data shares'!$C$2:$CA$231,77,0)</f>
        <v>-0.11269999999999999</v>
      </c>
      <c r="H128" s="86">
        <f>VLOOKUP($A128,'Data shares'!$C:$FA,90)</f>
        <v>2857600</v>
      </c>
      <c r="I128" s="86">
        <f>VLOOKUP($A128,'Data shares'!$C:$FA,92)</f>
        <v>-3623700</v>
      </c>
      <c r="J128" s="87">
        <f>VLOOKUP($A128,'Data shares'!$C:$FA,93)</f>
        <v>-0.55910000000000004</v>
      </c>
      <c r="K128" s="86">
        <f>VLOOKUP($A128,'Data shares'!$C:$FA,94)</f>
        <v>1585075</v>
      </c>
      <c r="L128" s="86">
        <f>VLOOKUP($A128,'Data shares'!$C:$FA,96)</f>
        <v>-2447525</v>
      </c>
      <c r="M128" s="87">
        <f>VLOOKUP($A128,'Data shares'!$C:$FA,97)</f>
        <v>-0.6069</v>
      </c>
      <c r="N128" s="86">
        <f>VLOOKUP($A128,'Data shares'!$C:$FA,78)</f>
        <v>1609750</v>
      </c>
      <c r="O128" s="87">
        <f>VLOOKUP($A128,'Data shares'!$C:$FA,81)</f>
        <v>-0.65429999999999999</v>
      </c>
    </row>
    <row r="129" spans="1:15" x14ac:dyDescent="0.25">
      <c r="A129" s="100" t="str">
        <f>'OI(Value)'!A129</f>
        <v>KAYNES</v>
      </c>
      <c r="B129" s="82">
        <f>VLOOKUP(A129,'Data shares'!$C$2:$CV$231,98,0)</f>
        <v>1550000</v>
      </c>
      <c r="C129" s="82">
        <f>VLOOKUP(A129,'Data shares'!$C$2:$CX$231,100,0)</f>
        <v>-213600</v>
      </c>
      <c r="D129" s="141">
        <f>VLOOKUP(A129,'Data shares'!$C$2:$CY$554,101,0)</f>
        <v>-0.1211</v>
      </c>
      <c r="E129" s="86">
        <f>VLOOKUP($A129,'Data shares'!$C:$FA,74)</f>
        <v>688300</v>
      </c>
      <c r="F129" s="86">
        <f>VLOOKUP($A129,'Data shares'!$C:$FA,76)</f>
        <v>32000</v>
      </c>
      <c r="G129" s="87">
        <f>VLOOKUP(A129,'Data shares'!$C$2:$CA$231,77,0)</f>
        <v>4.8800000000000003E-2</v>
      </c>
      <c r="H129" s="86">
        <f>VLOOKUP($A129,'Data shares'!$C:$FA,90)</f>
        <v>514800</v>
      </c>
      <c r="I129" s="86">
        <f>VLOOKUP($A129,'Data shares'!$C:$FA,92)</f>
        <v>-173600</v>
      </c>
      <c r="J129" s="87">
        <f>VLOOKUP($A129,'Data shares'!$C:$FA,93)</f>
        <v>-0.25219999999999998</v>
      </c>
      <c r="K129" s="86">
        <f>VLOOKUP($A129,'Data shares'!$C:$FA,94)</f>
        <v>346900</v>
      </c>
      <c r="L129" s="86">
        <f>VLOOKUP($A129,'Data shares'!$C:$FA,96)</f>
        <v>-72000</v>
      </c>
      <c r="M129" s="87">
        <f>VLOOKUP($A129,'Data shares'!$C:$FA,97)</f>
        <v>-0.1719</v>
      </c>
      <c r="N129" s="86">
        <f>VLOOKUP($A129,'Data shares'!$C:$FA,78)</f>
        <v>79600</v>
      </c>
      <c r="O129" s="87">
        <f>VLOOKUP($A129,'Data shares'!$C:$FA,81)</f>
        <v>-0.56830000000000003</v>
      </c>
    </row>
    <row r="130" spans="1:15" x14ac:dyDescent="0.25">
      <c r="A130" s="100" t="str">
        <f>'OI(Value)'!A130</f>
        <v>KEI</v>
      </c>
      <c r="B130" s="82">
        <f>VLOOKUP(A130,'Data shares'!$C$2:$CV$231,98,0)</f>
        <v>1182475</v>
      </c>
      <c r="C130" s="82">
        <f>VLOOKUP(A130,'Data shares'!$C$2:$CX$231,100,0)</f>
        <v>-1097775</v>
      </c>
      <c r="D130" s="141">
        <f>VLOOKUP(A130,'Data shares'!$C$2:$CY$554,101,0)</f>
        <v>-0.48139999999999999</v>
      </c>
      <c r="E130" s="86">
        <f>VLOOKUP($A130,'Data shares'!$C:$FA,74)</f>
        <v>881825</v>
      </c>
      <c r="F130" s="86">
        <f>VLOOKUP($A130,'Data shares'!$C:$FA,76)</f>
        <v>-227325</v>
      </c>
      <c r="G130" s="87">
        <f>VLOOKUP(A130,'Data shares'!$C$2:$CA$231,77,0)</f>
        <v>-0.20499999999999999</v>
      </c>
      <c r="H130" s="86">
        <f>VLOOKUP($A130,'Data shares'!$C:$FA,90)</f>
        <v>189525</v>
      </c>
      <c r="I130" s="86">
        <f>VLOOKUP($A130,'Data shares'!$C:$FA,92)</f>
        <v>-560350</v>
      </c>
      <c r="J130" s="87">
        <f>VLOOKUP($A130,'Data shares'!$C:$FA,93)</f>
        <v>-0.74729999999999996</v>
      </c>
      <c r="K130" s="86">
        <f>VLOOKUP($A130,'Data shares'!$C:$FA,94)</f>
        <v>111125</v>
      </c>
      <c r="L130" s="86">
        <f>VLOOKUP($A130,'Data shares'!$C:$FA,96)</f>
        <v>-310100</v>
      </c>
      <c r="M130" s="87">
        <f>VLOOKUP($A130,'Data shares'!$C:$FA,97)</f>
        <v>-0.73619999999999997</v>
      </c>
      <c r="N130" s="86">
        <f>VLOOKUP($A130,'Data shares'!$C:$FA,78)</f>
        <v>210175</v>
      </c>
      <c r="O130" s="87">
        <f>VLOOKUP($A130,'Data shares'!$C:$FA,81)</f>
        <v>-0.39279999999999998</v>
      </c>
    </row>
    <row r="131" spans="1:15" x14ac:dyDescent="0.25">
      <c r="A131" s="100" t="str">
        <f>'OI(Value)'!A131</f>
        <v>KFINTECH</v>
      </c>
      <c r="B131" s="82">
        <f>VLOOKUP(A131,'Data shares'!$C$2:$CV$231,98,0)</f>
        <v>2962350</v>
      </c>
      <c r="C131" s="82">
        <f>VLOOKUP(A131,'Data shares'!$C$2:$CX$231,100,0)</f>
        <v>-1184850</v>
      </c>
      <c r="D131" s="141">
        <f>VLOOKUP(A131,'Data shares'!$C$2:$CY$554,101,0)</f>
        <v>-0.28570000000000001</v>
      </c>
      <c r="E131" s="86">
        <f>VLOOKUP($A131,'Data shares'!$C:$FA,74)</f>
        <v>2276100</v>
      </c>
      <c r="F131" s="86">
        <f>VLOOKUP($A131,'Data shares'!$C:$FA,76)</f>
        <v>15750</v>
      </c>
      <c r="G131" s="87">
        <f>VLOOKUP(A131,'Data shares'!$C$2:$CA$231,77,0)</f>
        <v>7.0000000000000001E-3</v>
      </c>
      <c r="H131" s="86">
        <f>VLOOKUP($A131,'Data shares'!$C:$FA,90)</f>
        <v>397800</v>
      </c>
      <c r="I131" s="86">
        <f>VLOOKUP($A131,'Data shares'!$C:$FA,92)</f>
        <v>-880650</v>
      </c>
      <c r="J131" s="87">
        <f>VLOOKUP($A131,'Data shares'!$C:$FA,93)</f>
        <v>-0.68879999999999997</v>
      </c>
      <c r="K131" s="86">
        <f>VLOOKUP($A131,'Data shares'!$C:$FA,94)</f>
        <v>288450</v>
      </c>
      <c r="L131" s="86">
        <f>VLOOKUP($A131,'Data shares'!$C:$FA,96)</f>
        <v>-319950</v>
      </c>
      <c r="M131" s="87">
        <f>VLOOKUP($A131,'Data shares'!$C:$FA,97)</f>
        <v>-0.52590000000000003</v>
      </c>
      <c r="N131" s="86">
        <f>VLOOKUP($A131,'Data shares'!$C:$FA,78)</f>
        <v>88650</v>
      </c>
      <c r="O131" s="87">
        <f>VLOOKUP($A131,'Data shares'!$C:$FA,81)</f>
        <v>-0.68679999999999997</v>
      </c>
    </row>
    <row r="132" spans="1:15" x14ac:dyDescent="0.25">
      <c r="A132" s="100" t="str">
        <f>'OI(Value)'!A132</f>
        <v>KOTAKBANK</v>
      </c>
      <c r="B132" s="82">
        <f>VLOOKUP(A132,'Data shares'!$C$2:$CV$231,98,0)</f>
        <v>42890400</v>
      </c>
      <c r="C132" s="82">
        <f>VLOOKUP(A132,'Data shares'!$C$2:$CX$231,100,0)</f>
        <v>-15106800</v>
      </c>
      <c r="D132" s="141">
        <f>VLOOKUP(A132,'Data shares'!$C$2:$CY$554,101,0)</f>
        <v>-0.26050000000000001</v>
      </c>
      <c r="E132" s="86">
        <f>VLOOKUP($A132,'Data shares'!$C:$FA,74)</f>
        <v>32031200</v>
      </c>
      <c r="F132" s="86">
        <f>VLOOKUP($A132,'Data shares'!$C:$FA,76)</f>
        <v>-2014400</v>
      </c>
      <c r="G132" s="87">
        <f>VLOOKUP(A132,'Data shares'!$C$2:$CA$231,77,0)</f>
        <v>-5.9200000000000003E-2</v>
      </c>
      <c r="H132" s="86">
        <f>VLOOKUP($A132,'Data shares'!$C:$FA,90)</f>
        <v>6469600</v>
      </c>
      <c r="I132" s="86">
        <f>VLOOKUP($A132,'Data shares'!$C:$FA,92)</f>
        <v>-8670400</v>
      </c>
      <c r="J132" s="87">
        <f>VLOOKUP($A132,'Data shares'!$C:$FA,93)</f>
        <v>-0.57269999999999999</v>
      </c>
      <c r="K132" s="86">
        <f>VLOOKUP($A132,'Data shares'!$C:$FA,94)</f>
        <v>4389600</v>
      </c>
      <c r="L132" s="86">
        <f>VLOOKUP($A132,'Data shares'!$C:$FA,96)</f>
        <v>-4422000</v>
      </c>
      <c r="M132" s="87">
        <f>VLOOKUP($A132,'Data shares'!$C:$FA,97)</f>
        <v>-0.50180000000000002</v>
      </c>
      <c r="N132" s="86">
        <f>VLOOKUP($A132,'Data shares'!$C:$FA,78)</f>
        <v>3567600</v>
      </c>
      <c r="O132" s="87">
        <f>VLOOKUP($A132,'Data shares'!$C:$FA,81)</f>
        <v>-0.47470000000000001</v>
      </c>
    </row>
    <row r="133" spans="1:15" x14ac:dyDescent="0.25">
      <c r="A133" s="100" t="str">
        <f>'OI(Value)'!A133</f>
        <v>KPITTECH</v>
      </c>
      <c r="B133" s="82">
        <f>VLOOKUP(A133,'Data shares'!$C$2:$CV$231,98,0)</f>
        <v>8020400</v>
      </c>
      <c r="C133" s="82">
        <f>VLOOKUP(A133,'Data shares'!$C$2:$CX$231,100,0)</f>
        <v>-6974400</v>
      </c>
      <c r="D133" s="141">
        <f>VLOOKUP(A133,'Data shares'!$C$2:$CY$554,101,0)</f>
        <v>-0.46510000000000001</v>
      </c>
      <c r="E133" s="86">
        <f>VLOOKUP($A133,'Data shares'!$C:$FA,74)</f>
        <v>4455600</v>
      </c>
      <c r="F133" s="86">
        <f>VLOOKUP($A133,'Data shares'!$C:$FA,76)</f>
        <v>-1099600</v>
      </c>
      <c r="G133" s="87">
        <f>VLOOKUP(A133,'Data shares'!$C$2:$CA$231,77,0)</f>
        <v>-0.19789999999999999</v>
      </c>
      <c r="H133" s="86">
        <f>VLOOKUP($A133,'Data shares'!$C:$FA,90)</f>
        <v>1542800</v>
      </c>
      <c r="I133" s="86">
        <f>VLOOKUP($A133,'Data shares'!$C:$FA,92)</f>
        <v>-2943200</v>
      </c>
      <c r="J133" s="87">
        <f>VLOOKUP($A133,'Data shares'!$C:$FA,93)</f>
        <v>-0.65610000000000002</v>
      </c>
      <c r="K133" s="86">
        <f>VLOOKUP($A133,'Data shares'!$C:$FA,94)</f>
        <v>2022000</v>
      </c>
      <c r="L133" s="86">
        <f>VLOOKUP($A133,'Data shares'!$C:$FA,96)</f>
        <v>-2931600</v>
      </c>
      <c r="M133" s="87">
        <f>VLOOKUP($A133,'Data shares'!$C:$FA,97)</f>
        <v>-0.59179999999999999</v>
      </c>
      <c r="N133" s="86">
        <f>VLOOKUP($A133,'Data shares'!$C:$FA,78)</f>
        <v>477200</v>
      </c>
      <c r="O133" s="87">
        <f>VLOOKUP($A133,'Data shares'!$C:$FA,81)</f>
        <v>-0.64680000000000004</v>
      </c>
    </row>
    <row r="134" spans="1:15" x14ac:dyDescent="0.25">
      <c r="A134" s="100" t="str">
        <f>'OI(Value)'!A134</f>
        <v>LAURUSLABS</v>
      </c>
      <c r="B134" s="82">
        <f>VLOOKUP(A134,'Data shares'!$C$2:$CV$231,98,0)</f>
        <v>29068300</v>
      </c>
      <c r="C134" s="82">
        <f>VLOOKUP(A134,'Data shares'!$C$2:$CX$231,100,0)</f>
        <v>-31123600</v>
      </c>
      <c r="D134" s="141">
        <f>VLOOKUP(A134,'Data shares'!$C$2:$CY$554,101,0)</f>
        <v>-0.5171</v>
      </c>
      <c r="E134" s="86">
        <f>VLOOKUP($A134,'Data shares'!$C:$FA,74)</f>
        <v>15126600</v>
      </c>
      <c r="F134" s="86">
        <f>VLOOKUP($A134,'Data shares'!$C:$FA,76)</f>
        <v>-7083900</v>
      </c>
      <c r="G134" s="87">
        <f>VLOOKUP(A134,'Data shares'!$C$2:$CA$231,77,0)</f>
        <v>-0.31890000000000002</v>
      </c>
      <c r="H134" s="86">
        <f>VLOOKUP($A134,'Data shares'!$C:$FA,90)</f>
        <v>8418400</v>
      </c>
      <c r="I134" s="86">
        <f>VLOOKUP($A134,'Data shares'!$C:$FA,92)</f>
        <v>-11587200</v>
      </c>
      <c r="J134" s="87">
        <f>VLOOKUP($A134,'Data shares'!$C:$FA,93)</f>
        <v>-0.57920000000000005</v>
      </c>
      <c r="K134" s="86">
        <f>VLOOKUP($A134,'Data shares'!$C:$FA,94)</f>
        <v>5523300</v>
      </c>
      <c r="L134" s="86">
        <f>VLOOKUP($A134,'Data shares'!$C:$FA,96)</f>
        <v>-12452500</v>
      </c>
      <c r="M134" s="87">
        <f>VLOOKUP($A134,'Data shares'!$C:$FA,97)</f>
        <v>-0.69269999999999998</v>
      </c>
      <c r="N134" s="86">
        <f>VLOOKUP($A134,'Data shares'!$C:$FA,78)</f>
        <v>6482100</v>
      </c>
      <c r="O134" s="87">
        <f>VLOOKUP($A134,'Data shares'!$C:$FA,81)</f>
        <v>-0.18609999999999999</v>
      </c>
    </row>
    <row r="135" spans="1:15" x14ac:dyDescent="0.25">
      <c r="A135" s="100" t="str">
        <f>'OI(Value)'!A135</f>
        <v>LICHSGFIN</v>
      </c>
      <c r="B135" s="82">
        <f>VLOOKUP(A135,'Data shares'!$C$2:$CV$231,98,0)</f>
        <v>43408000</v>
      </c>
      <c r="C135" s="82">
        <f>VLOOKUP(A135,'Data shares'!$C$2:$CX$231,100,0)</f>
        <v>-8809000</v>
      </c>
      <c r="D135" s="141">
        <f>VLOOKUP(A135,'Data shares'!$C$2:$CY$554,101,0)</f>
        <v>-0.16869999999999999</v>
      </c>
      <c r="E135" s="86">
        <f>VLOOKUP($A135,'Data shares'!$C:$FA,74)</f>
        <v>31981000</v>
      </c>
      <c r="F135" s="86">
        <f>VLOOKUP($A135,'Data shares'!$C:$FA,76)</f>
        <v>-2913000</v>
      </c>
      <c r="G135" s="87">
        <f>VLOOKUP(A135,'Data shares'!$C$2:$CA$231,77,0)</f>
        <v>-8.3500000000000005E-2</v>
      </c>
      <c r="H135" s="86">
        <f>VLOOKUP($A135,'Data shares'!$C:$FA,90)</f>
        <v>5733000</v>
      </c>
      <c r="I135" s="86">
        <f>VLOOKUP($A135,'Data shares'!$C:$FA,92)</f>
        <v>-3289000</v>
      </c>
      <c r="J135" s="87">
        <f>VLOOKUP($A135,'Data shares'!$C:$FA,93)</f>
        <v>-0.36459999999999998</v>
      </c>
      <c r="K135" s="86">
        <f>VLOOKUP($A135,'Data shares'!$C:$FA,94)</f>
        <v>5694000</v>
      </c>
      <c r="L135" s="86">
        <f>VLOOKUP($A135,'Data shares'!$C:$FA,96)</f>
        <v>-2607000</v>
      </c>
      <c r="M135" s="87">
        <f>VLOOKUP($A135,'Data shares'!$C:$FA,97)</f>
        <v>-0.31409999999999999</v>
      </c>
      <c r="N135" s="86">
        <f>VLOOKUP($A135,'Data shares'!$C:$FA,78)</f>
        <v>6046000</v>
      </c>
      <c r="O135" s="87">
        <f>VLOOKUP($A135,'Data shares'!$C:$FA,81)</f>
        <v>-0.16309999999999999</v>
      </c>
    </row>
    <row r="136" spans="1:15" x14ac:dyDescent="0.25">
      <c r="A136" s="100" t="str">
        <f>'OI(Value)'!A136</f>
        <v>LICI</v>
      </c>
      <c r="B136" s="82">
        <f>VLOOKUP(A136,'Data shares'!$C$2:$CV$231,98,0)</f>
        <v>8984500</v>
      </c>
      <c r="C136" s="82">
        <f>VLOOKUP(A136,'Data shares'!$C$2:$CX$231,100,0)</f>
        <v>-6069700</v>
      </c>
      <c r="D136" s="141">
        <f>VLOOKUP(A136,'Data shares'!$C$2:$CY$554,101,0)</f>
        <v>-0.4032</v>
      </c>
      <c r="E136" s="86">
        <f>VLOOKUP($A136,'Data shares'!$C:$FA,74)</f>
        <v>6515600</v>
      </c>
      <c r="F136" s="86">
        <f>VLOOKUP($A136,'Data shares'!$C:$FA,76)</f>
        <v>-1682800</v>
      </c>
      <c r="G136" s="87">
        <f>VLOOKUP(A136,'Data shares'!$C$2:$CA$231,77,0)</f>
        <v>-0.20530000000000001</v>
      </c>
      <c r="H136" s="86">
        <f>VLOOKUP($A136,'Data shares'!$C:$FA,90)</f>
        <v>1449000</v>
      </c>
      <c r="I136" s="86">
        <f>VLOOKUP($A136,'Data shares'!$C:$FA,92)</f>
        <v>-3111500</v>
      </c>
      <c r="J136" s="87">
        <f>VLOOKUP($A136,'Data shares'!$C:$FA,93)</f>
        <v>-0.68230000000000002</v>
      </c>
      <c r="K136" s="86">
        <f>VLOOKUP($A136,'Data shares'!$C:$FA,94)</f>
        <v>1019900</v>
      </c>
      <c r="L136" s="86">
        <f>VLOOKUP($A136,'Data shares'!$C:$FA,96)</f>
        <v>-1275400</v>
      </c>
      <c r="M136" s="87">
        <f>VLOOKUP($A136,'Data shares'!$C:$FA,97)</f>
        <v>-0.55569999999999997</v>
      </c>
      <c r="N136" s="86">
        <f>VLOOKUP($A136,'Data shares'!$C:$FA,78)</f>
        <v>1292900</v>
      </c>
      <c r="O136" s="87">
        <f>VLOOKUP($A136,'Data shares'!$C:$FA,81)</f>
        <v>-0.46539999999999998</v>
      </c>
    </row>
    <row r="137" spans="1:15" x14ac:dyDescent="0.25">
      <c r="A137" s="100" t="str">
        <f>'OI(Value)'!A137</f>
        <v>LODHA</v>
      </c>
      <c r="B137" s="82">
        <f>VLOOKUP(A137,'Data shares'!$C$2:$CV$231,98,0)</f>
        <v>11115900</v>
      </c>
      <c r="C137" s="82">
        <f>VLOOKUP(A137,'Data shares'!$C$2:$CX$231,100,0)</f>
        <v>-3802950</v>
      </c>
      <c r="D137" s="141">
        <f>VLOOKUP(A137,'Data shares'!$C$2:$CY$554,101,0)</f>
        <v>-0.25490000000000002</v>
      </c>
      <c r="E137" s="86">
        <f>VLOOKUP($A137,'Data shares'!$C:$FA,74)</f>
        <v>9149850</v>
      </c>
      <c r="F137" s="86">
        <f>VLOOKUP($A137,'Data shares'!$C:$FA,76)</f>
        <v>-403200</v>
      </c>
      <c r="G137" s="87">
        <f>VLOOKUP(A137,'Data shares'!$C$2:$CA$231,77,0)</f>
        <v>-4.2200000000000001E-2</v>
      </c>
      <c r="H137" s="86">
        <f>VLOOKUP($A137,'Data shares'!$C:$FA,90)</f>
        <v>1062450</v>
      </c>
      <c r="I137" s="86">
        <f>VLOOKUP($A137,'Data shares'!$C:$FA,92)</f>
        <v>-2202300</v>
      </c>
      <c r="J137" s="87">
        <f>VLOOKUP($A137,'Data shares'!$C:$FA,93)</f>
        <v>-0.67459999999999998</v>
      </c>
      <c r="K137" s="86">
        <f>VLOOKUP($A137,'Data shares'!$C:$FA,94)</f>
        <v>903600</v>
      </c>
      <c r="L137" s="86">
        <f>VLOOKUP($A137,'Data shares'!$C:$FA,96)</f>
        <v>-1197450</v>
      </c>
      <c r="M137" s="87">
        <f>VLOOKUP($A137,'Data shares'!$C:$FA,97)</f>
        <v>-0.56989999999999996</v>
      </c>
      <c r="N137" s="86">
        <f>VLOOKUP($A137,'Data shares'!$C:$FA,78)</f>
        <v>1249650</v>
      </c>
      <c r="O137" s="87">
        <f>VLOOKUP($A137,'Data shares'!$C:$FA,81)</f>
        <v>-0.2787</v>
      </c>
    </row>
    <row r="138" spans="1:15" x14ac:dyDescent="0.25">
      <c r="A138" s="100" t="str">
        <f>'OI(Value)'!A138</f>
        <v>LT</v>
      </c>
      <c r="B138" s="82">
        <f>VLOOKUP(A138,'Data shares'!$C$2:$CV$231,98,0)</f>
        <v>20781950</v>
      </c>
      <c r="C138" s="82">
        <f>VLOOKUP(A138,'Data shares'!$C$2:$CX$231,100,0)</f>
        <v>-12734575</v>
      </c>
      <c r="D138" s="141">
        <f>VLOOKUP(A138,'Data shares'!$C$2:$CY$554,101,0)</f>
        <v>-0.37990000000000002</v>
      </c>
      <c r="E138" s="86">
        <f>VLOOKUP($A138,'Data shares'!$C:$FA,74)</f>
        <v>16201675</v>
      </c>
      <c r="F138" s="86">
        <f>VLOOKUP($A138,'Data shares'!$C:$FA,76)</f>
        <v>-1958075</v>
      </c>
      <c r="G138" s="87">
        <f>VLOOKUP(A138,'Data shares'!$C$2:$CA$231,77,0)</f>
        <v>-0.10780000000000001</v>
      </c>
      <c r="H138" s="86">
        <f>VLOOKUP($A138,'Data shares'!$C:$FA,90)</f>
        <v>2453325</v>
      </c>
      <c r="I138" s="86">
        <f>VLOOKUP($A138,'Data shares'!$C:$FA,92)</f>
        <v>-7177450</v>
      </c>
      <c r="J138" s="87">
        <f>VLOOKUP($A138,'Data shares'!$C:$FA,93)</f>
        <v>-0.74529999999999996</v>
      </c>
      <c r="K138" s="86">
        <f>VLOOKUP($A138,'Data shares'!$C:$FA,94)</f>
        <v>2126950</v>
      </c>
      <c r="L138" s="86">
        <f>VLOOKUP($A138,'Data shares'!$C:$FA,96)</f>
        <v>-3599050</v>
      </c>
      <c r="M138" s="87">
        <f>VLOOKUP($A138,'Data shares'!$C:$FA,97)</f>
        <v>-0.62849999999999995</v>
      </c>
      <c r="N138" s="86">
        <f>VLOOKUP($A138,'Data shares'!$C:$FA,78)</f>
        <v>2024575</v>
      </c>
      <c r="O138" s="87">
        <f>VLOOKUP($A138,'Data shares'!$C:$FA,81)</f>
        <v>-0.3463</v>
      </c>
    </row>
    <row r="139" spans="1:15" x14ac:dyDescent="0.25">
      <c r="A139" s="100" t="str">
        <f>'OI(Value)'!A139</f>
        <v>LTF</v>
      </c>
      <c r="B139" s="82">
        <f>VLOOKUP(A139,'Data shares'!$C$2:$CV$231,98,0)</f>
        <v>83800822</v>
      </c>
      <c r="C139" s="82">
        <f>VLOOKUP(A139,'Data shares'!$C$2:$CX$231,100,0)</f>
        <v>-45356230</v>
      </c>
      <c r="D139" s="141">
        <f>VLOOKUP(A139,'Data shares'!$C$2:$CY$554,101,0)</f>
        <v>-0.35120000000000001</v>
      </c>
      <c r="E139" s="86">
        <f>VLOOKUP($A139,'Data shares'!$C:$FA,74)</f>
        <v>50259968</v>
      </c>
      <c r="F139" s="86">
        <f>VLOOKUP($A139,'Data shares'!$C:$FA,76)</f>
        <v>-5858606</v>
      </c>
      <c r="G139" s="87">
        <f>VLOOKUP(A139,'Data shares'!$C$2:$CA$231,77,0)</f>
        <v>-0.10440000000000001</v>
      </c>
      <c r="H139" s="86">
        <f>VLOOKUP($A139,'Data shares'!$C:$FA,90)</f>
        <v>19954064</v>
      </c>
      <c r="I139" s="86">
        <f>VLOOKUP($A139,'Data shares'!$C:$FA,92)</f>
        <v>-23724454</v>
      </c>
      <c r="J139" s="87">
        <f>VLOOKUP($A139,'Data shares'!$C:$FA,93)</f>
        <v>-0.54320000000000002</v>
      </c>
      <c r="K139" s="86">
        <f>VLOOKUP($A139,'Data shares'!$C:$FA,94)</f>
        <v>13586790</v>
      </c>
      <c r="L139" s="86">
        <f>VLOOKUP($A139,'Data shares'!$C:$FA,96)</f>
        <v>-15773170</v>
      </c>
      <c r="M139" s="87">
        <f>VLOOKUP($A139,'Data shares'!$C:$FA,97)</f>
        <v>-0.53720000000000001</v>
      </c>
      <c r="N139" s="86">
        <f>VLOOKUP($A139,'Data shares'!$C:$FA,78)</f>
        <v>2953844</v>
      </c>
      <c r="O139" s="87">
        <f>VLOOKUP($A139,'Data shares'!$C:$FA,81)</f>
        <v>-0.77529999999999999</v>
      </c>
    </row>
    <row r="140" spans="1:15" x14ac:dyDescent="0.25">
      <c r="A140" s="100" t="str">
        <f>'OI(Value)'!A140</f>
        <v>LTIM</v>
      </c>
      <c r="B140" s="82">
        <f>VLOOKUP(A140,'Data shares'!$C$2:$CV$231,98,0)</f>
        <v>2857950</v>
      </c>
      <c r="C140" s="82">
        <f>VLOOKUP(A140,'Data shares'!$C$2:$CX$231,100,0)</f>
        <v>-1260000</v>
      </c>
      <c r="D140" s="141">
        <f>VLOOKUP(A140,'Data shares'!$C$2:$CY$554,101,0)</f>
        <v>-0.30599999999999999</v>
      </c>
      <c r="E140" s="86">
        <f>VLOOKUP($A140,'Data shares'!$C:$FA,74)</f>
        <v>2490150</v>
      </c>
      <c r="F140" s="86">
        <f>VLOOKUP($A140,'Data shares'!$C:$FA,76)</f>
        <v>-192600</v>
      </c>
      <c r="G140" s="87">
        <f>VLOOKUP(A140,'Data shares'!$C$2:$CA$231,77,0)</f>
        <v>-7.1800000000000003E-2</v>
      </c>
      <c r="H140" s="86">
        <f>VLOOKUP($A140,'Data shares'!$C:$FA,90)</f>
        <v>208950</v>
      </c>
      <c r="I140" s="86">
        <f>VLOOKUP($A140,'Data shares'!$C:$FA,92)</f>
        <v>-674100</v>
      </c>
      <c r="J140" s="87">
        <f>VLOOKUP($A140,'Data shares'!$C:$FA,93)</f>
        <v>-0.76339999999999997</v>
      </c>
      <c r="K140" s="86">
        <f>VLOOKUP($A140,'Data shares'!$C:$FA,94)</f>
        <v>158850</v>
      </c>
      <c r="L140" s="86">
        <f>VLOOKUP($A140,'Data shares'!$C:$FA,96)</f>
        <v>-393300</v>
      </c>
      <c r="M140" s="87">
        <f>VLOOKUP($A140,'Data shares'!$C:$FA,97)</f>
        <v>-0.71230000000000004</v>
      </c>
      <c r="N140" s="86">
        <f>VLOOKUP($A140,'Data shares'!$C:$FA,78)</f>
        <v>120150</v>
      </c>
      <c r="O140" s="87">
        <f>VLOOKUP($A140,'Data shares'!$C:$FA,81)</f>
        <v>-0.50490000000000002</v>
      </c>
    </row>
    <row r="141" spans="1:15" x14ac:dyDescent="0.25">
      <c r="A141" s="100" t="str">
        <f>'OI(Value)'!A141</f>
        <v>LUPIN</v>
      </c>
      <c r="B141" s="82">
        <f>VLOOKUP(A141,'Data shares'!$C$2:$CV$231,98,0)</f>
        <v>13574925</v>
      </c>
      <c r="C141" s="82">
        <f>VLOOKUP(A141,'Data shares'!$C$2:$CX$231,100,0)</f>
        <v>-4813125</v>
      </c>
      <c r="D141" s="141">
        <f>VLOOKUP(A141,'Data shares'!$C$2:$CY$554,101,0)</f>
        <v>-0.26179999999999998</v>
      </c>
      <c r="E141" s="86">
        <f>VLOOKUP($A141,'Data shares'!$C:$FA,74)</f>
        <v>11527275</v>
      </c>
      <c r="F141" s="86">
        <f>VLOOKUP($A141,'Data shares'!$C:$FA,76)</f>
        <v>-1538925</v>
      </c>
      <c r="G141" s="87">
        <f>VLOOKUP(A141,'Data shares'!$C$2:$CA$231,77,0)</f>
        <v>-0.1178</v>
      </c>
      <c r="H141" s="86">
        <f>VLOOKUP($A141,'Data shares'!$C:$FA,90)</f>
        <v>1144950</v>
      </c>
      <c r="I141" s="86">
        <f>VLOOKUP($A141,'Data shares'!$C:$FA,92)</f>
        <v>-1769275</v>
      </c>
      <c r="J141" s="87">
        <f>VLOOKUP($A141,'Data shares'!$C:$FA,93)</f>
        <v>-0.60709999999999997</v>
      </c>
      <c r="K141" s="86">
        <f>VLOOKUP($A141,'Data shares'!$C:$FA,94)</f>
        <v>902700</v>
      </c>
      <c r="L141" s="86">
        <f>VLOOKUP($A141,'Data shares'!$C:$FA,96)</f>
        <v>-1504925</v>
      </c>
      <c r="M141" s="87">
        <f>VLOOKUP($A141,'Data shares'!$C:$FA,97)</f>
        <v>-0.62509999999999999</v>
      </c>
      <c r="N141" s="86">
        <f>VLOOKUP($A141,'Data shares'!$C:$FA,78)</f>
        <v>323000</v>
      </c>
      <c r="O141" s="87">
        <f>VLOOKUP($A141,'Data shares'!$C:$FA,81)</f>
        <v>-0.88590000000000002</v>
      </c>
    </row>
    <row r="142" spans="1:15" x14ac:dyDescent="0.25">
      <c r="A142" s="100" t="str">
        <f>'OI(Value)'!A142</f>
        <v>M&amp;M</v>
      </c>
      <c r="B142" s="82">
        <f>VLOOKUP(A142,'Data shares'!$C$2:$CV$231,98,0)</f>
        <v>28761400</v>
      </c>
      <c r="C142" s="82">
        <f>VLOOKUP(A142,'Data shares'!$C$2:$CX$231,100,0)</f>
        <v>-4203400</v>
      </c>
      <c r="D142" s="141">
        <f>VLOOKUP(A142,'Data shares'!$C$2:$CY$554,101,0)</f>
        <v>-0.1275</v>
      </c>
      <c r="E142" s="86">
        <f>VLOOKUP($A142,'Data shares'!$C:$FA,74)</f>
        <v>23340600</v>
      </c>
      <c r="F142" s="86">
        <f>VLOOKUP($A142,'Data shares'!$C:$FA,76)</f>
        <v>-358400</v>
      </c>
      <c r="G142" s="87">
        <f>VLOOKUP(A142,'Data shares'!$C$2:$CA$231,77,0)</f>
        <v>-1.5100000000000001E-2</v>
      </c>
      <c r="H142" s="86">
        <f>VLOOKUP($A142,'Data shares'!$C:$FA,90)</f>
        <v>3336000</v>
      </c>
      <c r="I142" s="86">
        <f>VLOOKUP($A142,'Data shares'!$C:$FA,92)</f>
        <v>-2481800</v>
      </c>
      <c r="J142" s="87">
        <f>VLOOKUP($A142,'Data shares'!$C:$FA,93)</f>
        <v>-0.42659999999999998</v>
      </c>
      <c r="K142" s="86">
        <f>VLOOKUP($A142,'Data shares'!$C:$FA,94)</f>
        <v>2084800</v>
      </c>
      <c r="L142" s="86">
        <f>VLOOKUP($A142,'Data shares'!$C:$FA,96)</f>
        <v>-1363200</v>
      </c>
      <c r="M142" s="87">
        <f>VLOOKUP($A142,'Data shares'!$C:$FA,97)</f>
        <v>-0.39539999999999997</v>
      </c>
      <c r="N142" s="86">
        <f>VLOOKUP($A142,'Data shares'!$C:$FA,78)</f>
        <v>314600</v>
      </c>
      <c r="O142" s="87">
        <f>VLOOKUP($A142,'Data shares'!$C:$FA,81)</f>
        <v>-0.82299999999999995</v>
      </c>
    </row>
    <row r="143" spans="1:15" x14ac:dyDescent="0.25">
      <c r="A143" s="100" t="str">
        <f>'OI(Value)'!A143</f>
        <v>M&amp;MFIN</v>
      </c>
      <c r="B143" s="82">
        <f>VLOOKUP(A143,'Data shares'!$C$2:$CV$231,98,0)</f>
        <v>11231928</v>
      </c>
      <c r="C143" s="82">
        <f>VLOOKUP(A143,'Data shares'!$C$2:$CX$231,100,0)</f>
        <v>-8608472</v>
      </c>
      <c r="D143" s="141">
        <f>VLOOKUP(A143,'Data shares'!$C$2:$CY$554,101,0)</f>
        <v>-0.43390000000000001</v>
      </c>
      <c r="E143" s="86">
        <f>VLOOKUP($A143,'Data shares'!$C:$FA,74)</f>
        <v>0</v>
      </c>
      <c r="F143" s="86">
        <f>VLOOKUP($A143,'Data shares'!$C:$FA,76)</f>
        <v>-6198840</v>
      </c>
      <c r="G143" s="87">
        <f>VLOOKUP(A143,'Data shares'!$C$2:$CA$231,77,0)</f>
        <v>-1</v>
      </c>
      <c r="H143" s="86">
        <f>VLOOKUP($A143,'Data shares'!$C:$FA,90)</f>
        <v>7907376</v>
      </c>
      <c r="I143" s="86">
        <f>VLOOKUP($A143,'Data shares'!$C:$FA,92)</f>
        <v>-1944976</v>
      </c>
      <c r="J143" s="87">
        <f>VLOOKUP($A143,'Data shares'!$C:$FA,93)</f>
        <v>-0.19739999999999999</v>
      </c>
      <c r="K143" s="86">
        <f>VLOOKUP($A143,'Data shares'!$C:$FA,94)</f>
        <v>3324552</v>
      </c>
      <c r="L143" s="86">
        <f>VLOOKUP($A143,'Data shares'!$C:$FA,96)</f>
        <v>-464656</v>
      </c>
      <c r="M143" s="87">
        <f>VLOOKUP($A143,'Data shares'!$C:$FA,97)</f>
        <v>-0.1226</v>
      </c>
      <c r="N143" s="86">
        <f>VLOOKUP($A143,'Data shares'!$C:$FA,78)</f>
        <v>2722144</v>
      </c>
      <c r="O143" s="87">
        <f>VLOOKUP($A143,'Data shares'!$C:$FA,81)</f>
        <v>-0.56089999999999995</v>
      </c>
    </row>
    <row r="144" spans="1:15" x14ac:dyDescent="0.25">
      <c r="A144" s="100" t="str">
        <f>'OI(Value)'!A144</f>
        <v>MANAPPURAM</v>
      </c>
      <c r="B144" s="82">
        <f>VLOOKUP(A144,'Data shares'!$C$2:$CV$231,98,0)</f>
        <v>35901000</v>
      </c>
      <c r="C144" s="82">
        <f>VLOOKUP(A144,'Data shares'!$C$2:$CX$231,100,0)</f>
        <v>-14163000</v>
      </c>
      <c r="D144" s="141">
        <f>VLOOKUP(A144,'Data shares'!$C$2:$CY$554,101,0)</f>
        <v>-0.28289999999999998</v>
      </c>
      <c r="E144" s="86">
        <f>VLOOKUP($A144,'Data shares'!$C:$FA,74)</f>
        <v>20775000</v>
      </c>
      <c r="F144" s="86">
        <f>VLOOKUP($A144,'Data shares'!$C:$FA,76)</f>
        <v>-918000</v>
      </c>
      <c r="G144" s="87">
        <f>VLOOKUP(A144,'Data shares'!$C$2:$CA$231,77,0)</f>
        <v>-4.2299999999999997E-2</v>
      </c>
      <c r="H144" s="86">
        <f>VLOOKUP($A144,'Data shares'!$C:$FA,90)</f>
        <v>5952000</v>
      </c>
      <c r="I144" s="86">
        <f>VLOOKUP($A144,'Data shares'!$C:$FA,92)</f>
        <v>-7878000</v>
      </c>
      <c r="J144" s="87">
        <f>VLOOKUP($A144,'Data shares'!$C:$FA,93)</f>
        <v>-0.5696</v>
      </c>
      <c r="K144" s="86">
        <f>VLOOKUP($A144,'Data shares'!$C:$FA,94)</f>
        <v>9174000</v>
      </c>
      <c r="L144" s="86">
        <f>VLOOKUP($A144,'Data shares'!$C:$FA,96)</f>
        <v>-5367000</v>
      </c>
      <c r="M144" s="87">
        <f>VLOOKUP($A144,'Data shares'!$C:$FA,97)</f>
        <v>-0.36909999999999998</v>
      </c>
      <c r="N144" s="86">
        <f>VLOOKUP($A144,'Data shares'!$C:$FA,78)</f>
        <v>2703000</v>
      </c>
      <c r="O144" s="87">
        <f>VLOOKUP($A144,'Data shares'!$C:$FA,81)</f>
        <v>-0.4294</v>
      </c>
    </row>
    <row r="145" spans="1:15" x14ac:dyDescent="0.25">
      <c r="A145" s="100" t="str">
        <f>'OI(Value)'!A145</f>
        <v>MANKIND</v>
      </c>
      <c r="B145" s="82">
        <f>VLOOKUP(A145,'Data shares'!$C$2:$CV$231,98,0)</f>
        <v>2100375</v>
      </c>
      <c r="C145" s="82">
        <f>VLOOKUP(A145,'Data shares'!$C$2:$CX$231,100,0)</f>
        <v>-1390050</v>
      </c>
      <c r="D145" s="141">
        <f>VLOOKUP(A145,'Data shares'!$C$2:$CY$554,101,0)</f>
        <v>-0.3982</v>
      </c>
      <c r="E145" s="86">
        <f>VLOOKUP($A145,'Data shares'!$C:$FA,74)</f>
        <v>1610775</v>
      </c>
      <c r="F145" s="86">
        <f>VLOOKUP($A145,'Data shares'!$C:$FA,76)</f>
        <v>-234900</v>
      </c>
      <c r="G145" s="87">
        <f>VLOOKUP(A145,'Data shares'!$C$2:$CA$231,77,0)</f>
        <v>-0.1273</v>
      </c>
      <c r="H145" s="86">
        <f>VLOOKUP($A145,'Data shares'!$C:$FA,90)</f>
        <v>312750</v>
      </c>
      <c r="I145" s="86">
        <f>VLOOKUP($A145,'Data shares'!$C:$FA,92)</f>
        <v>-654300</v>
      </c>
      <c r="J145" s="87">
        <f>VLOOKUP($A145,'Data shares'!$C:$FA,93)</f>
        <v>-0.67659999999999998</v>
      </c>
      <c r="K145" s="86">
        <f>VLOOKUP($A145,'Data shares'!$C:$FA,94)</f>
        <v>176850</v>
      </c>
      <c r="L145" s="86">
        <f>VLOOKUP($A145,'Data shares'!$C:$FA,96)</f>
        <v>-500850</v>
      </c>
      <c r="M145" s="87">
        <f>VLOOKUP($A145,'Data shares'!$C:$FA,97)</f>
        <v>-0.73899999999999999</v>
      </c>
      <c r="N145" s="86">
        <f>VLOOKUP($A145,'Data shares'!$C:$FA,78)</f>
        <v>193950</v>
      </c>
      <c r="O145" s="87">
        <f>VLOOKUP($A145,'Data shares'!$C:$FA,81)</f>
        <v>-0.52159999999999995</v>
      </c>
    </row>
    <row r="146" spans="1:15" x14ac:dyDescent="0.25">
      <c r="A146" s="100" t="str">
        <f>'OI(Value)'!A146</f>
        <v>MARICO</v>
      </c>
      <c r="B146" s="82">
        <f>VLOOKUP(A146,'Data shares'!$C$2:$CV$231,98,0)</f>
        <v>23107200</v>
      </c>
      <c r="C146" s="82">
        <f>VLOOKUP(A146,'Data shares'!$C$2:$CX$231,100,0)</f>
        <v>-7478400</v>
      </c>
      <c r="D146" s="141">
        <f>VLOOKUP(A146,'Data shares'!$C$2:$CY$554,101,0)</f>
        <v>-0.2445</v>
      </c>
      <c r="E146" s="86">
        <f>VLOOKUP($A146,'Data shares'!$C:$FA,74)</f>
        <v>20955600</v>
      </c>
      <c r="F146" s="86">
        <f>VLOOKUP($A146,'Data shares'!$C:$FA,76)</f>
        <v>-333600</v>
      </c>
      <c r="G146" s="87">
        <f>VLOOKUP(A146,'Data shares'!$C$2:$CA$231,77,0)</f>
        <v>-1.5699999999999999E-2</v>
      </c>
      <c r="H146" s="86">
        <f>VLOOKUP($A146,'Data shares'!$C:$FA,90)</f>
        <v>1222800</v>
      </c>
      <c r="I146" s="86">
        <f>VLOOKUP($A146,'Data shares'!$C:$FA,92)</f>
        <v>-4681200</v>
      </c>
      <c r="J146" s="87">
        <f>VLOOKUP($A146,'Data shares'!$C:$FA,93)</f>
        <v>-0.79290000000000005</v>
      </c>
      <c r="K146" s="86">
        <f>VLOOKUP($A146,'Data shares'!$C:$FA,94)</f>
        <v>928800</v>
      </c>
      <c r="L146" s="86">
        <f>VLOOKUP($A146,'Data shares'!$C:$FA,96)</f>
        <v>-2463600</v>
      </c>
      <c r="M146" s="87">
        <f>VLOOKUP($A146,'Data shares'!$C:$FA,97)</f>
        <v>-0.72619999999999996</v>
      </c>
      <c r="N146" s="86">
        <f>VLOOKUP($A146,'Data shares'!$C:$FA,78)</f>
        <v>433200</v>
      </c>
      <c r="O146" s="87">
        <f>VLOOKUP($A146,'Data shares'!$C:$FA,81)</f>
        <v>-0.67910000000000004</v>
      </c>
    </row>
    <row r="147" spans="1:15" x14ac:dyDescent="0.25">
      <c r="A147" s="100" t="str">
        <f>'OI(Value)'!A147</f>
        <v>MARUTI</v>
      </c>
      <c r="B147" s="82">
        <f>VLOOKUP(A147,'Data shares'!$C$2:$CV$231,98,0)</f>
        <v>4353200</v>
      </c>
      <c r="C147" s="82">
        <f>VLOOKUP(A147,'Data shares'!$C$2:$CX$231,100,0)</f>
        <v>-2457850</v>
      </c>
      <c r="D147" s="141">
        <f>VLOOKUP(A147,'Data shares'!$C$2:$CY$554,101,0)</f>
        <v>-0.3609</v>
      </c>
      <c r="E147" s="86">
        <f>VLOOKUP($A147,'Data shares'!$C:$FA,74)</f>
        <v>3083900</v>
      </c>
      <c r="F147" s="86">
        <f>VLOOKUP($A147,'Data shares'!$C:$FA,76)</f>
        <v>84000</v>
      </c>
      <c r="G147" s="87">
        <f>VLOOKUP(A147,'Data shares'!$C$2:$CA$231,77,0)</f>
        <v>2.8000000000000001E-2</v>
      </c>
      <c r="H147" s="86">
        <f>VLOOKUP($A147,'Data shares'!$C:$FA,90)</f>
        <v>838500</v>
      </c>
      <c r="I147" s="86">
        <f>VLOOKUP($A147,'Data shares'!$C:$FA,92)</f>
        <v>-2026950</v>
      </c>
      <c r="J147" s="87">
        <f>VLOOKUP($A147,'Data shares'!$C:$FA,93)</f>
        <v>-0.70740000000000003</v>
      </c>
      <c r="K147" s="86">
        <f>VLOOKUP($A147,'Data shares'!$C:$FA,94)</f>
        <v>430800</v>
      </c>
      <c r="L147" s="86">
        <f>VLOOKUP($A147,'Data shares'!$C:$FA,96)</f>
        <v>-514900</v>
      </c>
      <c r="M147" s="87">
        <f>VLOOKUP($A147,'Data shares'!$C:$FA,97)</f>
        <v>-0.54449999999999998</v>
      </c>
      <c r="N147" s="86">
        <f>VLOOKUP($A147,'Data shares'!$C:$FA,78)</f>
        <v>72350</v>
      </c>
      <c r="O147" s="87">
        <f>VLOOKUP($A147,'Data shares'!$C:$FA,81)</f>
        <v>-0.71540000000000004</v>
      </c>
    </row>
    <row r="148" spans="1:15" x14ac:dyDescent="0.25">
      <c r="A148" s="100" t="str">
        <f>'OI(Value)'!A148</f>
        <v>MAXHEALTH</v>
      </c>
      <c r="B148" s="82">
        <f>VLOOKUP(A148,'Data shares'!$C$2:$CV$231,98,0)</f>
        <v>11850825</v>
      </c>
      <c r="C148" s="82">
        <f>VLOOKUP(A148,'Data shares'!$C$2:$CX$231,100,0)</f>
        <v>-3013500</v>
      </c>
      <c r="D148" s="141">
        <f>VLOOKUP(A148,'Data shares'!$C$2:$CY$554,101,0)</f>
        <v>-0.20269999999999999</v>
      </c>
      <c r="E148" s="86">
        <f>VLOOKUP($A148,'Data shares'!$C:$FA,74)</f>
        <v>10678500</v>
      </c>
      <c r="F148" s="86">
        <f>VLOOKUP($A148,'Data shares'!$C:$FA,76)</f>
        <v>-793275</v>
      </c>
      <c r="G148" s="87">
        <f>VLOOKUP(A148,'Data shares'!$C$2:$CA$231,77,0)</f>
        <v>-6.9199999999999998E-2</v>
      </c>
      <c r="H148" s="86">
        <f>VLOOKUP($A148,'Data shares'!$C:$FA,90)</f>
        <v>692475</v>
      </c>
      <c r="I148" s="86">
        <f>VLOOKUP($A148,'Data shares'!$C:$FA,92)</f>
        <v>-1633275</v>
      </c>
      <c r="J148" s="87">
        <f>VLOOKUP($A148,'Data shares'!$C:$FA,93)</f>
        <v>-0.70230000000000004</v>
      </c>
      <c r="K148" s="86">
        <f>VLOOKUP($A148,'Data shares'!$C:$FA,94)</f>
        <v>479850</v>
      </c>
      <c r="L148" s="86">
        <f>VLOOKUP($A148,'Data shares'!$C:$FA,96)</f>
        <v>-586950</v>
      </c>
      <c r="M148" s="87">
        <f>VLOOKUP($A148,'Data shares'!$C:$FA,97)</f>
        <v>-0.55020000000000002</v>
      </c>
      <c r="N148" s="86">
        <f>VLOOKUP($A148,'Data shares'!$C:$FA,78)</f>
        <v>1523550</v>
      </c>
      <c r="O148" s="87">
        <f>VLOOKUP($A148,'Data shares'!$C:$FA,81)</f>
        <v>-0.18279999999999999</v>
      </c>
    </row>
    <row r="149" spans="1:15" x14ac:dyDescent="0.25">
      <c r="A149" s="100" t="str">
        <f>'OI(Value)'!A149</f>
        <v>MAZDOCK</v>
      </c>
      <c r="B149" s="82">
        <f>VLOOKUP(A149,'Data shares'!$C$2:$CV$231,98,0)</f>
        <v>4678975</v>
      </c>
      <c r="C149" s="82">
        <f>VLOOKUP(A149,'Data shares'!$C$2:$CX$231,100,0)</f>
        <v>-3091725</v>
      </c>
      <c r="D149" s="141">
        <f>VLOOKUP(A149,'Data shares'!$C$2:$CY$554,101,0)</f>
        <v>-0.39789999999999998</v>
      </c>
      <c r="E149" s="86">
        <f>VLOOKUP($A149,'Data shares'!$C:$FA,74)</f>
        <v>3063375</v>
      </c>
      <c r="F149" s="86">
        <f>VLOOKUP($A149,'Data shares'!$C:$FA,76)</f>
        <v>-291900</v>
      </c>
      <c r="G149" s="87">
        <f>VLOOKUP(A149,'Data shares'!$C$2:$CA$231,77,0)</f>
        <v>-8.6999999999999994E-2</v>
      </c>
      <c r="H149" s="86">
        <f>VLOOKUP($A149,'Data shares'!$C:$FA,90)</f>
        <v>1040025</v>
      </c>
      <c r="I149" s="86">
        <f>VLOOKUP($A149,'Data shares'!$C:$FA,92)</f>
        <v>-1978375</v>
      </c>
      <c r="J149" s="87">
        <f>VLOOKUP($A149,'Data shares'!$C:$FA,93)</f>
        <v>-0.65539999999999998</v>
      </c>
      <c r="K149" s="86">
        <f>VLOOKUP($A149,'Data shares'!$C:$FA,94)</f>
        <v>575575</v>
      </c>
      <c r="L149" s="86">
        <f>VLOOKUP($A149,'Data shares'!$C:$FA,96)</f>
        <v>-821450</v>
      </c>
      <c r="M149" s="87">
        <f>VLOOKUP($A149,'Data shares'!$C:$FA,97)</f>
        <v>-0.58799999999999997</v>
      </c>
      <c r="N149" s="86">
        <f>VLOOKUP($A149,'Data shares'!$C:$FA,78)</f>
        <v>225050</v>
      </c>
      <c r="O149" s="87">
        <f>VLOOKUP($A149,'Data shares'!$C:$FA,81)</f>
        <v>-0.67449999999999999</v>
      </c>
    </row>
    <row r="150" spans="1:15" x14ac:dyDescent="0.25">
      <c r="A150" s="100" t="str">
        <f>'OI(Value)'!A150</f>
        <v>MCX</v>
      </c>
      <c r="B150" s="82">
        <f>VLOOKUP(A150,'Data shares'!$C$2:$CV$231,98,0)</f>
        <v>3710125</v>
      </c>
      <c r="C150" s="82">
        <f>VLOOKUP(A150,'Data shares'!$C$2:$CX$231,100,0)</f>
        <v>-3273000</v>
      </c>
      <c r="D150" s="141">
        <f>VLOOKUP(A150,'Data shares'!$C$2:$CY$554,101,0)</f>
        <v>-0.46870000000000001</v>
      </c>
      <c r="E150" s="86">
        <f>VLOOKUP($A150,'Data shares'!$C:$FA,74)</f>
        <v>2278125</v>
      </c>
      <c r="F150" s="86">
        <f>VLOOKUP($A150,'Data shares'!$C:$FA,76)</f>
        <v>-287625</v>
      </c>
      <c r="G150" s="87">
        <f>VLOOKUP(A150,'Data shares'!$C$2:$CA$231,77,0)</f>
        <v>-0.11210000000000001</v>
      </c>
      <c r="H150" s="86">
        <f>VLOOKUP($A150,'Data shares'!$C:$FA,90)</f>
        <v>845000</v>
      </c>
      <c r="I150" s="86">
        <f>VLOOKUP($A150,'Data shares'!$C:$FA,92)</f>
        <v>-1890750</v>
      </c>
      <c r="J150" s="87">
        <f>VLOOKUP($A150,'Data shares'!$C:$FA,93)</f>
        <v>-0.69110000000000005</v>
      </c>
      <c r="K150" s="86">
        <f>VLOOKUP($A150,'Data shares'!$C:$FA,94)</f>
        <v>587000</v>
      </c>
      <c r="L150" s="86">
        <f>VLOOKUP($A150,'Data shares'!$C:$FA,96)</f>
        <v>-1094625</v>
      </c>
      <c r="M150" s="87">
        <f>VLOOKUP($A150,'Data shares'!$C:$FA,97)</f>
        <v>-0.65090000000000003</v>
      </c>
      <c r="N150" s="86">
        <f>VLOOKUP($A150,'Data shares'!$C:$FA,78)</f>
        <v>322625</v>
      </c>
      <c r="O150" s="87">
        <f>VLOOKUP($A150,'Data shares'!$C:$FA,81)</f>
        <v>-0.48720000000000002</v>
      </c>
    </row>
    <row r="151" spans="1:15" x14ac:dyDescent="0.25">
      <c r="A151" s="100" t="str">
        <f>'OI(Value)'!A151</f>
        <v>MFSL</v>
      </c>
      <c r="B151" s="82">
        <f>VLOOKUP(A151,'Data shares'!$C$2:$CV$231,98,0)</f>
        <v>5884800</v>
      </c>
      <c r="C151" s="82">
        <f>VLOOKUP(A151,'Data shares'!$C$2:$CX$231,100,0)</f>
        <v>-2858400</v>
      </c>
      <c r="D151" s="141">
        <f>VLOOKUP(A151,'Data shares'!$C$2:$CY$554,101,0)</f>
        <v>-0.32690000000000002</v>
      </c>
      <c r="E151" s="86">
        <f>VLOOKUP($A151,'Data shares'!$C:$FA,74)</f>
        <v>5218400</v>
      </c>
      <c r="F151" s="86">
        <f>VLOOKUP($A151,'Data shares'!$C:$FA,76)</f>
        <v>-1072000</v>
      </c>
      <c r="G151" s="87">
        <f>VLOOKUP(A151,'Data shares'!$C$2:$CA$231,77,0)</f>
        <v>-0.1704</v>
      </c>
      <c r="H151" s="86">
        <f>VLOOKUP($A151,'Data shares'!$C:$FA,90)</f>
        <v>323200</v>
      </c>
      <c r="I151" s="86">
        <f>VLOOKUP($A151,'Data shares'!$C:$FA,92)</f>
        <v>-1088000</v>
      </c>
      <c r="J151" s="87">
        <f>VLOOKUP($A151,'Data shares'!$C:$FA,93)</f>
        <v>-0.77100000000000002</v>
      </c>
      <c r="K151" s="86">
        <f>VLOOKUP($A151,'Data shares'!$C:$FA,94)</f>
        <v>343200</v>
      </c>
      <c r="L151" s="86">
        <f>VLOOKUP($A151,'Data shares'!$C:$FA,96)</f>
        <v>-698400</v>
      </c>
      <c r="M151" s="87">
        <f>VLOOKUP($A151,'Data shares'!$C:$FA,97)</f>
        <v>-0.67049999999999998</v>
      </c>
      <c r="N151" s="86">
        <f>VLOOKUP($A151,'Data shares'!$C:$FA,78)</f>
        <v>920000</v>
      </c>
      <c r="O151" s="87">
        <f>VLOOKUP($A151,'Data shares'!$C:$FA,81)</f>
        <v>-0.29880000000000001</v>
      </c>
    </row>
    <row r="152" spans="1:15" x14ac:dyDescent="0.25">
      <c r="A152" s="100" t="str">
        <f>'OI(Value)'!A152</f>
        <v>MGL</v>
      </c>
      <c r="B152" s="82">
        <f>VLOOKUP(A152,'Data shares'!$C$2:$CV$231,98,0)</f>
        <v>2304800</v>
      </c>
      <c r="C152" s="82">
        <f>VLOOKUP(A152,'Data shares'!$C$2:$CX$231,100,0)</f>
        <v>-1376400</v>
      </c>
      <c r="D152" s="141">
        <f>VLOOKUP(A152,'Data shares'!$C$2:$CY$554,101,0)</f>
        <v>-0.37390000000000001</v>
      </c>
      <c r="E152" s="86">
        <f>VLOOKUP($A152,'Data shares'!$C:$FA,74)</f>
        <v>0</v>
      </c>
      <c r="F152" s="86">
        <f>VLOOKUP($A152,'Data shares'!$C:$FA,76)</f>
        <v>-524800</v>
      </c>
      <c r="G152" s="87">
        <f>VLOOKUP(A152,'Data shares'!$C$2:$CA$231,77,0)</f>
        <v>-1</v>
      </c>
      <c r="H152" s="86">
        <f>VLOOKUP($A152,'Data shares'!$C:$FA,90)</f>
        <v>1472000</v>
      </c>
      <c r="I152" s="86">
        <f>VLOOKUP($A152,'Data shares'!$C:$FA,92)</f>
        <v>-676400</v>
      </c>
      <c r="J152" s="87">
        <f>VLOOKUP($A152,'Data shares'!$C:$FA,93)</f>
        <v>-0.31480000000000002</v>
      </c>
      <c r="K152" s="86">
        <f>VLOOKUP($A152,'Data shares'!$C:$FA,94)</f>
        <v>832800</v>
      </c>
      <c r="L152" s="86">
        <f>VLOOKUP($A152,'Data shares'!$C:$FA,96)</f>
        <v>-175200</v>
      </c>
      <c r="M152" s="87">
        <f>VLOOKUP($A152,'Data shares'!$C:$FA,97)</f>
        <v>-0.17380000000000001</v>
      </c>
      <c r="N152" s="86">
        <f>VLOOKUP($A152,'Data shares'!$C:$FA,78)</f>
        <v>276000</v>
      </c>
      <c r="O152" s="87">
        <f>VLOOKUP($A152,'Data shares'!$C:$FA,81)</f>
        <v>-0.47410000000000002</v>
      </c>
    </row>
    <row r="153" spans="1:15" x14ac:dyDescent="0.25">
      <c r="A153" s="100" t="str">
        <f>'OI(Value)'!A153</f>
        <v>MIDCPNIFTY</v>
      </c>
      <c r="B153" s="82">
        <f>VLOOKUP(A153,'Data shares'!$C$2:$CV$231,98,0)</f>
        <v>5482540</v>
      </c>
      <c r="C153" s="82">
        <f>VLOOKUP(A153,'Data shares'!$C$2:$CX$231,100,0)</f>
        <v>-31593800</v>
      </c>
      <c r="D153" s="141">
        <f>VLOOKUP(A153,'Data shares'!$C$2:$CY$554,101,0)</f>
        <v>-0.85209999999999997</v>
      </c>
      <c r="E153" s="86">
        <f>VLOOKUP($A153,'Data shares'!$C:$FA,74)</f>
        <v>2213400</v>
      </c>
      <c r="F153" s="86">
        <f>VLOOKUP($A153,'Data shares'!$C:$FA,76)</f>
        <v>-362040</v>
      </c>
      <c r="G153" s="87">
        <f>VLOOKUP(A153,'Data shares'!$C$2:$CA$231,77,0)</f>
        <v>-0.1406</v>
      </c>
      <c r="H153" s="86">
        <f>VLOOKUP($A153,'Data shares'!$C:$FA,90)</f>
        <v>1486660</v>
      </c>
      <c r="I153" s="86">
        <f>VLOOKUP($A153,'Data shares'!$C:$FA,92)</f>
        <v>-18098360</v>
      </c>
      <c r="J153" s="87">
        <f>VLOOKUP($A153,'Data shares'!$C:$FA,93)</f>
        <v>-0.92410000000000003</v>
      </c>
      <c r="K153" s="86">
        <f>VLOOKUP($A153,'Data shares'!$C:$FA,94)</f>
        <v>1782480</v>
      </c>
      <c r="L153" s="86">
        <f>VLOOKUP($A153,'Data shares'!$C:$FA,96)</f>
        <v>-13133400</v>
      </c>
      <c r="M153" s="87">
        <f>VLOOKUP($A153,'Data shares'!$C:$FA,97)</f>
        <v>-0.88049999999999995</v>
      </c>
      <c r="N153" s="86">
        <f>VLOOKUP($A153,'Data shares'!$C:$FA,78)</f>
        <v>386260</v>
      </c>
      <c r="O153" s="87">
        <f>VLOOKUP($A153,'Data shares'!$C:$FA,81)</f>
        <v>-0.5554</v>
      </c>
    </row>
    <row r="154" spans="1:15" x14ac:dyDescent="0.25">
      <c r="A154" s="100" t="str">
        <f>'OI(Value)'!A154</f>
        <v>MOTHERSON</v>
      </c>
      <c r="B154" s="82">
        <f>VLOOKUP(A154,'Data shares'!$C$2:$CV$231,98,0)</f>
        <v>187827150</v>
      </c>
      <c r="C154" s="82">
        <f>VLOOKUP(A154,'Data shares'!$C$2:$CX$231,100,0)</f>
        <v>-42779400</v>
      </c>
      <c r="D154" s="141">
        <f>VLOOKUP(A154,'Data shares'!$C$2:$CY$554,101,0)</f>
        <v>-0.1855</v>
      </c>
      <c r="E154" s="86">
        <f>VLOOKUP($A154,'Data shares'!$C:$FA,74)</f>
        <v>155730300</v>
      </c>
      <c r="F154" s="86">
        <f>VLOOKUP($A154,'Data shares'!$C:$FA,76)</f>
        <v>-4784700</v>
      </c>
      <c r="G154" s="87">
        <f>VLOOKUP(A154,'Data shares'!$C$2:$CA$231,77,0)</f>
        <v>-2.98E-2</v>
      </c>
      <c r="H154" s="86">
        <f>VLOOKUP($A154,'Data shares'!$C:$FA,90)</f>
        <v>19003500</v>
      </c>
      <c r="I154" s="86">
        <f>VLOOKUP($A154,'Data shares'!$C:$FA,92)</f>
        <v>-24532350</v>
      </c>
      <c r="J154" s="87">
        <f>VLOOKUP($A154,'Data shares'!$C:$FA,93)</f>
        <v>-0.5635</v>
      </c>
      <c r="K154" s="86">
        <f>VLOOKUP($A154,'Data shares'!$C:$FA,94)</f>
        <v>13093350</v>
      </c>
      <c r="L154" s="86">
        <f>VLOOKUP($A154,'Data shares'!$C:$FA,96)</f>
        <v>-13462350</v>
      </c>
      <c r="M154" s="87">
        <f>VLOOKUP($A154,'Data shares'!$C:$FA,97)</f>
        <v>-0.50690000000000002</v>
      </c>
      <c r="N154" s="86">
        <f>VLOOKUP($A154,'Data shares'!$C:$FA,78)</f>
        <v>9114300</v>
      </c>
      <c r="O154" s="87">
        <f>VLOOKUP($A154,'Data shares'!$C:$FA,81)</f>
        <v>-0.67330000000000001</v>
      </c>
    </row>
    <row r="155" spans="1:15" x14ac:dyDescent="0.25">
      <c r="A155" s="100" t="str">
        <f>'OI(Value)'!A155</f>
        <v>MPHASIS</v>
      </c>
      <c r="B155" s="82">
        <f>VLOOKUP(A155,'Data shares'!$C$2:$CV$231,98,0)</f>
        <v>4690950</v>
      </c>
      <c r="C155" s="82">
        <f>VLOOKUP(A155,'Data shares'!$C$2:$CX$231,100,0)</f>
        <v>-2223650</v>
      </c>
      <c r="D155" s="141">
        <f>VLOOKUP(A155,'Data shares'!$C$2:$CY$554,101,0)</f>
        <v>-0.3216</v>
      </c>
      <c r="E155" s="86">
        <f>VLOOKUP($A155,'Data shares'!$C:$FA,74)</f>
        <v>4071375</v>
      </c>
      <c r="F155" s="86">
        <f>VLOOKUP($A155,'Data shares'!$C:$FA,76)</f>
        <v>-523875</v>
      </c>
      <c r="G155" s="87">
        <f>VLOOKUP(A155,'Data shares'!$C$2:$CA$231,77,0)</f>
        <v>-0.114</v>
      </c>
      <c r="H155" s="86">
        <f>VLOOKUP($A155,'Data shares'!$C:$FA,90)</f>
        <v>368775</v>
      </c>
      <c r="I155" s="86">
        <f>VLOOKUP($A155,'Data shares'!$C:$FA,92)</f>
        <v>-890175</v>
      </c>
      <c r="J155" s="87">
        <f>VLOOKUP($A155,'Data shares'!$C:$FA,93)</f>
        <v>-0.70709999999999995</v>
      </c>
      <c r="K155" s="86">
        <f>VLOOKUP($A155,'Data shares'!$C:$FA,94)</f>
        <v>250800</v>
      </c>
      <c r="L155" s="86">
        <f>VLOOKUP($A155,'Data shares'!$C:$FA,96)</f>
        <v>-809600</v>
      </c>
      <c r="M155" s="87">
        <f>VLOOKUP($A155,'Data shares'!$C:$FA,97)</f>
        <v>-0.76349999999999996</v>
      </c>
      <c r="N155" s="86">
        <f>VLOOKUP($A155,'Data shares'!$C:$FA,78)</f>
        <v>509575</v>
      </c>
      <c r="O155" s="87">
        <f>VLOOKUP($A155,'Data shares'!$C:$FA,81)</f>
        <v>-0.51349999999999996</v>
      </c>
    </row>
    <row r="156" spans="1:15" x14ac:dyDescent="0.25">
      <c r="A156" s="100" t="str">
        <f>'OI(Value)'!A156</f>
        <v>MUTHOOTFIN</v>
      </c>
      <c r="B156" s="82">
        <f>VLOOKUP(A156,'Data shares'!$C$2:$CV$231,98,0)</f>
        <v>4923325</v>
      </c>
      <c r="C156" s="82">
        <f>VLOOKUP(A156,'Data shares'!$C$2:$CX$231,100,0)</f>
        <v>-3941850</v>
      </c>
      <c r="D156" s="141">
        <f>VLOOKUP(A156,'Data shares'!$C$2:$CY$554,101,0)</f>
        <v>-0.4446</v>
      </c>
      <c r="E156" s="86">
        <f>VLOOKUP($A156,'Data shares'!$C:$FA,74)</f>
        <v>3131150</v>
      </c>
      <c r="F156" s="86">
        <f>VLOOKUP($A156,'Data shares'!$C:$FA,76)</f>
        <v>-2258575</v>
      </c>
      <c r="G156" s="87">
        <f>VLOOKUP(A156,'Data shares'!$C$2:$CA$231,77,0)</f>
        <v>-0.41909999999999997</v>
      </c>
      <c r="H156" s="86">
        <f>VLOOKUP($A156,'Data shares'!$C:$FA,90)</f>
        <v>1425875</v>
      </c>
      <c r="I156" s="86">
        <f>VLOOKUP($A156,'Data shares'!$C:$FA,92)</f>
        <v>-892100</v>
      </c>
      <c r="J156" s="87">
        <f>VLOOKUP($A156,'Data shares'!$C:$FA,93)</f>
        <v>-0.38490000000000002</v>
      </c>
      <c r="K156" s="86">
        <f>VLOOKUP($A156,'Data shares'!$C:$FA,94)</f>
        <v>366300</v>
      </c>
      <c r="L156" s="86">
        <f>VLOOKUP($A156,'Data shares'!$C:$FA,96)</f>
        <v>-791175</v>
      </c>
      <c r="M156" s="87">
        <f>VLOOKUP($A156,'Data shares'!$C:$FA,97)</f>
        <v>-0.6835</v>
      </c>
      <c r="N156" s="86">
        <f>VLOOKUP($A156,'Data shares'!$C:$FA,78)</f>
        <v>1956900</v>
      </c>
      <c r="O156" s="87">
        <f>VLOOKUP($A156,'Data shares'!$C:$FA,81)</f>
        <v>-0.14979999999999999</v>
      </c>
    </row>
    <row r="157" spans="1:15" x14ac:dyDescent="0.25">
      <c r="A157" s="100" t="str">
        <f>'OI(Value)'!A157</f>
        <v>NATIONALUM</v>
      </c>
      <c r="B157" s="82">
        <f>VLOOKUP(A157,'Data shares'!$C$2:$CV$231,98,0)</f>
        <v>90780000</v>
      </c>
      <c r="C157" s="82">
        <f>VLOOKUP(A157,'Data shares'!$C$2:$CX$231,100,0)</f>
        <v>-16713750</v>
      </c>
      <c r="D157" s="141">
        <f>VLOOKUP(A157,'Data shares'!$C$2:$CY$554,101,0)</f>
        <v>-0.1555</v>
      </c>
      <c r="E157" s="86">
        <f>VLOOKUP($A157,'Data shares'!$C:$FA,74)</f>
        <v>63641250</v>
      </c>
      <c r="F157" s="86">
        <f>VLOOKUP($A157,'Data shares'!$C:$FA,76)</f>
        <v>-2418750</v>
      </c>
      <c r="G157" s="87">
        <f>VLOOKUP(A157,'Data shares'!$C$2:$CA$231,77,0)</f>
        <v>-3.6600000000000001E-2</v>
      </c>
      <c r="H157" s="86">
        <f>VLOOKUP($A157,'Data shares'!$C:$FA,90)</f>
        <v>14036250</v>
      </c>
      <c r="I157" s="86">
        <f>VLOOKUP($A157,'Data shares'!$C:$FA,92)</f>
        <v>-10095000</v>
      </c>
      <c r="J157" s="87">
        <f>VLOOKUP($A157,'Data shares'!$C:$FA,93)</f>
        <v>-0.41830000000000001</v>
      </c>
      <c r="K157" s="86">
        <f>VLOOKUP($A157,'Data shares'!$C:$FA,94)</f>
        <v>13102500</v>
      </c>
      <c r="L157" s="86">
        <f>VLOOKUP($A157,'Data shares'!$C:$FA,96)</f>
        <v>-4200000</v>
      </c>
      <c r="M157" s="87">
        <f>VLOOKUP($A157,'Data shares'!$C:$FA,97)</f>
        <v>-0.2427</v>
      </c>
      <c r="N157" s="86">
        <f>VLOOKUP($A157,'Data shares'!$C:$FA,78)</f>
        <v>3495000</v>
      </c>
      <c r="O157" s="87">
        <f>VLOOKUP($A157,'Data shares'!$C:$FA,81)</f>
        <v>-0.76900000000000002</v>
      </c>
    </row>
    <row r="158" spans="1:15" x14ac:dyDescent="0.25">
      <c r="A158" s="100" t="str">
        <f>'OI(Value)'!A158</f>
        <v>NAUKRI</v>
      </c>
      <c r="B158" s="82">
        <f>VLOOKUP(A158,'Data shares'!$C$2:$CV$231,98,0)</f>
        <v>11896500</v>
      </c>
      <c r="C158" s="82">
        <f>VLOOKUP(A158,'Data shares'!$C$2:$CX$231,100,0)</f>
        <v>-3462750</v>
      </c>
      <c r="D158" s="141">
        <f>VLOOKUP(A158,'Data shares'!$C$2:$CY$554,101,0)</f>
        <v>-0.22550000000000001</v>
      </c>
      <c r="E158" s="86">
        <f>VLOOKUP($A158,'Data shares'!$C:$FA,74)</f>
        <v>11004375</v>
      </c>
      <c r="F158" s="86">
        <f>VLOOKUP($A158,'Data shares'!$C:$FA,76)</f>
        <v>-1337250</v>
      </c>
      <c r="G158" s="87">
        <f>VLOOKUP(A158,'Data shares'!$C$2:$CA$231,77,0)</f>
        <v>-0.1084</v>
      </c>
      <c r="H158" s="86">
        <f>VLOOKUP($A158,'Data shares'!$C:$FA,90)</f>
        <v>443625</v>
      </c>
      <c r="I158" s="86">
        <f>VLOOKUP($A158,'Data shares'!$C:$FA,92)</f>
        <v>-1374375</v>
      </c>
      <c r="J158" s="87">
        <f>VLOOKUP($A158,'Data shares'!$C:$FA,93)</f>
        <v>-0.75600000000000001</v>
      </c>
      <c r="K158" s="86">
        <f>VLOOKUP($A158,'Data shares'!$C:$FA,94)</f>
        <v>448500</v>
      </c>
      <c r="L158" s="86">
        <f>VLOOKUP($A158,'Data shares'!$C:$FA,96)</f>
        <v>-751125</v>
      </c>
      <c r="M158" s="87">
        <f>VLOOKUP($A158,'Data shares'!$C:$FA,97)</f>
        <v>-0.62609999999999999</v>
      </c>
      <c r="N158" s="86">
        <f>VLOOKUP($A158,'Data shares'!$C:$FA,78)</f>
        <v>792000</v>
      </c>
      <c r="O158" s="87">
        <f>VLOOKUP($A158,'Data shares'!$C:$FA,81)</f>
        <v>-0.51239999999999997</v>
      </c>
    </row>
    <row r="159" spans="1:15" x14ac:dyDescent="0.25">
      <c r="A159" s="100" t="str">
        <f>'OI(Value)'!A159</f>
        <v>NBCC</v>
      </c>
      <c r="B159" s="82">
        <f>VLOOKUP(A159,'Data shares'!$C$2:$CV$231,98,0)</f>
        <v>63836500</v>
      </c>
      <c r="C159" s="82">
        <f>VLOOKUP(A159,'Data shares'!$C$2:$CX$231,100,0)</f>
        <v>-37661000</v>
      </c>
      <c r="D159" s="141">
        <f>VLOOKUP(A159,'Data shares'!$C$2:$CY$554,101,0)</f>
        <v>-0.37109999999999999</v>
      </c>
      <c r="E159" s="86">
        <f>VLOOKUP($A159,'Data shares'!$C:$FA,74)</f>
        <v>53183000</v>
      </c>
      <c r="F159" s="86">
        <f>VLOOKUP($A159,'Data shares'!$C:$FA,76)</f>
        <v>-7845500</v>
      </c>
      <c r="G159" s="87">
        <f>VLOOKUP(A159,'Data shares'!$C$2:$CA$231,77,0)</f>
        <v>-0.12859999999999999</v>
      </c>
      <c r="H159" s="86">
        <f>VLOOKUP($A159,'Data shares'!$C:$FA,90)</f>
        <v>6344000</v>
      </c>
      <c r="I159" s="86">
        <f>VLOOKUP($A159,'Data shares'!$C:$FA,92)</f>
        <v>-21385000</v>
      </c>
      <c r="J159" s="87">
        <f>VLOOKUP($A159,'Data shares'!$C:$FA,93)</f>
        <v>-0.7712</v>
      </c>
      <c r="K159" s="86">
        <f>VLOOKUP($A159,'Data shares'!$C:$FA,94)</f>
        <v>4309500</v>
      </c>
      <c r="L159" s="86">
        <f>VLOOKUP($A159,'Data shares'!$C:$FA,96)</f>
        <v>-8430500</v>
      </c>
      <c r="M159" s="87">
        <f>VLOOKUP($A159,'Data shares'!$C:$FA,97)</f>
        <v>-0.66169999999999995</v>
      </c>
      <c r="N159" s="86">
        <f>VLOOKUP($A159,'Data shares'!$C:$FA,78)</f>
        <v>7416500</v>
      </c>
      <c r="O159" s="87">
        <f>VLOOKUP($A159,'Data shares'!$C:$FA,81)</f>
        <v>-0.59279999999999999</v>
      </c>
    </row>
    <row r="160" spans="1:15" x14ac:dyDescent="0.25">
      <c r="A160" s="100" t="str">
        <f>'OI(Value)'!A160</f>
        <v>NCC</v>
      </c>
      <c r="B160" s="82">
        <f>VLOOKUP(A160,'Data shares'!$C$2:$CV$231,98,0)</f>
        <v>18227700</v>
      </c>
      <c r="C160" s="82">
        <f>VLOOKUP(A160,'Data shares'!$C$2:$CX$231,100,0)</f>
        <v>-10538100</v>
      </c>
      <c r="D160" s="141">
        <f>VLOOKUP(A160,'Data shares'!$C$2:$CY$554,101,0)</f>
        <v>-0.36630000000000001</v>
      </c>
      <c r="E160" s="86">
        <f>VLOOKUP($A160,'Data shares'!$C:$FA,74)</f>
        <v>13532400</v>
      </c>
      <c r="F160" s="86">
        <f>VLOOKUP($A160,'Data shares'!$C:$FA,76)</f>
        <v>-1344600</v>
      </c>
      <c r="G160" s="87">
        <f>VLOOKUP(A160,'Data shares'!$C$2:$CA$231,77,0)</f>
        <v>-9.0399999999999994E-2</v>
      </c>
      <c r="H160" s="86">
        <f>VLOOKUP($A160,'Data shares'!$C:$FA,90)</f>
        <v>2705400</v>
      </c>
      <c r="I160" s="86">
        <f>VLOOKUP($A160,'Data shares'!$C:$FA,92)</f>
        <v>-6442200</v>
      </c>
      <c r="J160" s="87">
        <f>VLOOKUP($A160,'Data shares'!$C:$FA,93)</f>
        <v>-0.70430000000000004</v>
      </c>
      <c r="K160" s="86">
        <f>VLOOKUP($A160,'Data shares'!$C:$FA,94)</f>
        <v>1989900</v>
      </c>
      <c r="L160" s="86">
        <f>VLOOKUP($A160,'Data shares'!$C:$FA,96)</f>
        <v>-2751300</v>
      </c>
      <c r="M160" s="87">
        <f>VLOOKUP($A160,'Data shares'!$C:$FA,97)</f>
        <v>-0.58030000000000004</v>
      </c>
      <c r="N160" s="86">
        <f>VLOOKUP($A160,'Data shares'!$C:$FA,78)</f>
        <v>1271700</v>
      </c>
      <c r="O160" s="87">
        <f>VLOOKUP($A160,'Data shares'!$C:$FA,81)</f>
        <v>-0.60350000000000004</v>
      </c>
    </row>
    <row r="161" spans="1:15" x14ac:dyDescent="0.25">
      <c r="A161" s="100" t="str">
        <f>'OI(Value)'!A161</f>
        <v>NESTLEIND</v>
      </c>
      <c r="B161" s="82">
        <f>VLOOKUP(A161,'Data shares'!$C$2:$CV$231,98,0)</f>
        <v>13100250</v>
      </c>
      <c r="C161" s="82">
        <f>VLOOKUP(A161,'Data shares'!$C$2:$CX$231,100,0)</f>
        <v>-4311750</v>
      </c>
      <c r="D161" s="141">
        <f>VLOOKUP(A161,'Data shares'!$C$2:$CY$554,101,0)</f>
        <v>-0.24759999999999999</v>
      </c>
      <c r="E161" s="86">
        <f>VLOOKUP($A161,'Data shares'!$C:$FA,74)</f>
        <v>10425500</v>
      </c>
      <c r="F161" s="86">
        <f>VLOOKUP($A161,'Data shares'!$C:$FA,76)</f>
        <v>-613750</v>
      </c>
      <c r="G161" s="87">
        <f>VLOOKUP(A161,'Data shares'!$C$2:$CA$231,77,0)</f>
        <v>-5.5599999999999997E-2</v>
      </c>
      <c r="H161" s="86">
        <f>VLOOKUP($A161,'Data shares'!$C:$FA,90)</f>
        <v>1401750</v>
      </c>
      <c r="I161" s="86">
        <f>VLOOKUP($A161,'Data shares'!$C:$FA,92)</f>
        <v>-2384500</v>
      </c>
      <c r="J161" s="87">
        <f>VLOOKUP($A161,'Data shares'!$C:$FA,93)</f>
        <v>-0.62980000000000003</v>
      </c>
      <c r="K161" s="86">
        <f>VLOOKUP($A161,'Data shares'!$C:$FA,94)</f>
        <v>1273000</v>
      </c>
      <c r="L161" s="86">
        <f>VLOOKUP($A161,'Data shares'!$C:$FA,96)</f>
        <v>-1313500</v>
      </c>
      <c r="M161" s="87">
        <f>VLOOKUP($A161,'Data shares'!$C:$FA,97)</f>
        <v>-0.50780000000000003</v>
      </c>
      <c r="N161" s="86">
        <f>VLOOKUP($A161,'Data shares'!$C:$FA,78)</f>
        <v>590500</v>
      </c>
      <c r="O161" s="87">
        <f>VLOOKUP($A161,'Data shares'!$C:$FA,81)</f>
        <v>-0.55779999999999996</v>
      </c>
    </row>
    <row r="162" spans="1:15" x14ac:dyDescent="0.25">
      <c r="A162" s="100" t="str">
        <f>'OI(Value)'!A162</f>
        <v>NHPC</v>
      </c>
      <c r="B162" s="82">
        <f>VLOOKUP(A162,'Data shares'!$C$2:$CV$231,98,0)</f>
        <v>62572800</v>
      </c>
      <c r="C162" s="82">
        <f>VLOOKUP(A162,'Data shares'!$C$2:$CX$231,100,0)</f>
        <v>-36422400</v>
      </c>
      <c r="D162" s="141">
        <f>VLOOKUP(A162,'Data shares'!$C$2:$CY$554,101,0)</f>
        <v>-0.3679</v>
      </c>
      <c r="E162" s="86">
        <f>VLOOKUP($A162,'Data shares'!$C:$FA,74)</f>
        <v>51065600</v>
      </c>
      <c r="F162" s="86">
        <f>VLOOKUP($A162,'Data shares'!$C:$FA,76)</f>
        <v>-15308800</v>
      </c>
      <c r="G162" s="87">
        <f>VLOOKUP(A162,'Data shares'!$C$2:$CA$231,77,0)</f>
        <v>-0.2306</v>
      </c>
      <c r="H162" s="86">
        <f>VLOOKUP($A162,'Data shares'!$C:$FA,90)</f>
        <v>7072000</v>
      </c>
      <c r="I162" s="86">
        <f>VLOOKUP($A162,'Data shares'!$C:$FA,92)</f>
        <v>-14899200</v>
      </c>
      <c r="J162" s="87">
        <f>VLOOKUP($A162,'Data shares'!$C:$FA,93)</f>
        <v>-0.67810000000000004</v>
      </c>
      <c r="K162" s="86">
        <f>VLOOKUP($A162,'Data shares'!$C:$FA,94)</f>
        <v>4435200</v>
      </c>
      <c r="L162" s="86">
        <f>VLOOKUP($A162,'Data shares'!$C:$FA,96)</f>
        <v>-6214400</v>
      </c>
      <c r="M162" s="87">
        <f>VLOOKUP($A162,'Data shares'!$C:$FA,97)</f>
        <v>-0.58350000000000002</v>
      </c>
      <c r="N162" s="86">
        <f>VLOOKUP($A162,'Data shares'!$C:$FA,78)</f>
        <v>14867200</v>
      </c>
      <c r="O162" s="87">
        <f>VLOOKUP($A162,'Data shares'!$C:$FA,81)</f>
        <v>-0.38319999999999999</v>
      </c>
    </row>
    <row r="163" spans="1:15" x14ac:dyDescent="0.25">
      <c r="A163" s="100" t="str">
        <f>'OI(Value)'!A163</f>
        <v>NIFTY</v>
      </c>
      <c r="B163" s="82">
        <f>VLOOKUP(A163,'Data shares'!$C$2:$CV$231,98,0)</f>
        <v>262017225</v>
      </c>
      <c r="C163" s="82">
        <f>VLOOKUP(A163,'Data shares'!$C$2:$CX$231,100,0)</f>
        <v>-257536025</v>
      </c>
      <c r="D163" s="141">
        <f>VLOOKUP(A163,'Data shares'!$C$2:$CY$554,101,0)</f>
        <v>-0.49569999999999997</v>
      </c>
      <c r="E163" s="86">
        <f>VLOOKUP($A163,'Data shares'!$C:$FA,74)</f>
        <v>16453050</v>
      </c>
      <c r="F163" s="86">
        <f>VLOOKUP($A163,'Data shares'!$C:$FA,76)</f>
        <v>-3904425</v>
      </c>
      <c r="G163" s="87">
        <f>VLOOKUP(A163,'Data shares'!$C$2:$CA$231,77,0)</f>
        <v>-0.1918</v>
      </c>
      <c r="H163" s="86">
        <f>VLOOKUP($A163,'Data shares'!$C:$FA,90)</f>
        <v>120340800</v>
      </c>
      <c r="I163" s="86">
        <f>VLOOKUP($A163,'Data shares'!$C:$FA,92)</f>
        <v>-146166750</v>
      </c>
      <c r="J163" s="87">
        <f>VLOOKUP($A163,'Data shares'!$C:$FA,93)</f>
        <v>-0.54849999999999999</v>
      </c>
      <c r="K163" s="86">
        <f>VLOOKUP($A163,'Data shares'!$C:$FA,94)</f>
        <v>125223375</v>
      </c>
      <c r="L163" s="86">
        <f>VLOOKUP($A163,'Data shares'!$C:$FA,96)</f>
        <v>-107464850</v>
      </c>
      <c r="M163" s="87">
        <f>VLOOKUP($A163,'Data shares'!$C:$FA,97)</f>
        <v>-0.46179999999999999</v>
      </c>
      <c r="N163" s="86">
        <f>VLOOKUP($A163,'Data shares'!$C:$FA,78)</f>
        <v>5278950</v>
      </c>
      <c r="O163" s="87">
        <f>VLOOKUP($A163,'Data shares'!$C:$FA,81)</f>
        <v>-0.24560000000000001</v>
      </c>
    </row>
    <row r="164" spans="1:15" x14ac:dyDescent="0.25">
      <c r="A164" s="100" t="str">
        <f>'OI(Value)'!A164</f>
        <v>NIFTYNXT50</v>
      </c>
      <c r="B164" s="82">
        <f>VLOOKUP(A164,'Data shares'!$C$2:$CV$231,98,0)</f>
        <v>20425</v>
      </c>
      <c r="C164" s="82">
        <f>VLOOKUP(A164,'Data shares'!$C$2:$CX$231,100,0)</f>
        <v>-41750</v>
      </c>
      <c r="D164" s="141">
        <f>VLOOKUP(A164,'Data shares'!$C$2:$CY$554,101,0)</f>
        <v>-0.67149999999999999</v>
      </c>
      <c r="E164" s="86">
        <f>VLOOKUP($A164,'Data shares'!$C:$FA,74)</f>
        <v>20350</v>
      </c>
      <c r="F164" s="86">
        <f>VLOOKUP($A164,'Data shares'!$C:$FA,76)</f>
        <v>-4825</v>
      </c>
      <c r="G164" s="87">
        <f>VLOOKUP(A164,'Data shares'!$C$2:$CA$231,77,0)</f>
        <v>-0.19170000000000001</v>
      </c>
      <c r="H164" s="86">
        <f>VLOOKUP($A164,'Data shares'!$C:$FA,90)</f>
        <v>0</v>
      </c>
      <c r="I164" s="86">
        <f>VLOOKUP($A164,'Data shares'!$C:$FA,92)</f>
        <v>-24075</v>
      </c>
      <c r="J164" s="87">
        <f>VLOOKUP($A164,'Data shares'!$C:$FA,93)</f>
        <v>-1</v>
      </c>
      <c r="K164" s="86">
        <f>VLOOKUP($A164,'Data shares'!$C:$FA,94)</f>
        <v>75</v>
      </c>
      <c r="L164" s="86">
        <f>VLOOKUP($A164,'Data shares'!$C:$FA,96)</f>
        <v>-12850</v>
      </c>
      <c r="M164" s="87">
        <f>VLOOKUP($A164,'Data shares'!$C:$FA,97)</f>
        <v>-0.99419999999999997</v>
      </c>
      <c r="N164" s="86">
        <f>VLOOKUP($A164,'Data shares'!$C:$FA,78)</f>
        <v>3725</v>
      </c>
      <c r="O164" s="87">
        <f>VLOOKUP($A164,'Data shares'!$C:$FA,81)</f>
        <v>-0.51780000000000004</v>
      </c>
    </row>
    <row r="165" spans="1:15" x14ac:dyDescent="0.25">
      <c r="A165" s="100" t="str">
        <f>'OI(Value)'!A165</f>
        <v>NMDC</v>
      </c>
      <c r="B165" s="82">
        <f>VLOOKUP(A165,'Data shares'!$C$2:$CV$231,98,0)</f>
        <v>370804500</v>
      </c>
      <c r="C165" s="82">
        <f>VLOOKUP(A165,'Data shares'!$C$2:$CX$231,100,0)</f>
        <v>-189958500</v>
      </c>
      <c r="D165" s="141">
        <f>VLOOKUP(A165,'Data shares'!$C$2:$CY$554,101,0)</f>
        <v>-0.33879999999999999</v>
      </c>
      <c r="E165" s="86">
        <f>VLOOKUP($A165,'Data shares'!$C:$FA,74)</f>
        <v>239962500</v>
      </c>
      <c r="F165" s="86">
        <f>VLOOKUP($A165,'Data shares'!$C:$FA,76)</f>
        <v>-82093500</v>
      </c>
      <c r="G165" s="87">
        <f>VLOOKUP(A165,'Data shares'!$C$2:$CA$231,77,0)</f>
        <v>-0.25490000000000002</v>
      </c>
      <c r="H165" s="86">
        <f>VLOOKUP($A165,'Data shares'!$C:$FA,90)</f>
        <v>69430500</v>
      </c>
      <c r="I165" s="86">
        <f>VLOOKUP($A165,'Data shares'!$C:$FA,92)</f>
        <v>-58846500</v>
      </c>
      <c r="J165" s="87">
        <f>VLOOKUP($A165,'Data shares'!$C:$FA,93)</f>
        <v>-0.4587</v>
      </c>
      <c r="K165" s="86">
        <f>VLOOKUP($A165,'Data shares'!$C:$FA,94)</f>
        <v>61411500</v>
      </c>
      <c r="L165" s="86">
        <f>VLOOKUP($A165,'Data shares'!$C:$FA,96)</f>
        <v>-49018500</v>
      </c>
      <c r="M165" s="87">
        <f>VLOOKUP($A165,'Data shares'!$C:$FA,97)</f>
        <v>-0.44390000000000002</v>
      </c>
      <c r="N165" s="86">
        <f>VLOOKUP($A165,'Data shares'!$C:$FA,78)</f>
        <v>33412500</v>
      </c>
      <c r="O165" s="87">
        <f>VLOOKUP($A165,'Data shares'!$C:$FA,81)</f>
        <v>-0.7016</v>
      </c>
    </row>
    <row r="166" spans="1:15" x14ac:dyDescent="0.25">
      <c r="A166" s="100" t="str">
        <f>'OI(Value)'!A166</f>
        <v>NTPC</v>
      </c>
      <c r="B166" s="82">
        <f>VLOOKUP(A166,'Data shares'!$C$2:$CV$231,98,0)</f>
        <v>124138500</v>
      </c>
      <c r="C166" s="82">
        <f>VLOOKUP(A166,'Data shares'!$C$2:$CX$231,100,0)</f>
        <v>-86149500</v>
      </c>
      <c r="D166" s="141">
        <f>VLOOKUP(A166,'Data shares'!$C$2:$CY$554,101,0)</f>
        <v>-0.40970000000000001</v>
      </c>
      <c r="E166" s="86">
        <f>VLOOKUP($A166,'Data shares'!$C:$FA,74)</f>
        <v>103177500</v>
      </c>
      <c r="F166" s="86">
        <f>VLOOKUP($A166,'Data shares'!$C:$FA,76)</f>
        <v>-8172000</v>
      </c>
      <c r="G166" s="87">
        <f>VLOOKUP(A166,'Data shares'!$C$2:$CA$231,77,0)</f>
        <v>-7.3400000000000007E-2</v>
      </c>
      <c r="H166" s="86">
        <f>VLOOKUP($A166,'Data shares'!$C:$FA,90)</f>
        <v>11134500</v>
      </c>
      <c r="I166" s="86">
        <f>VLOOKUP($A166,'Data shares'!$C:$FA,92)</f>
        <v>-64228500</v>
      </c>
      <c r="J166" s="87">
        <f>VLOOKUP($A166,'Data shares'!$C:$FA,93)</f>
        <v>-0.85229999999999995</v>
      </c>
      <c r="K166" s="86">
        <f>VLOOKUP($A166,'Data shares'!$C:$FA,94)</f>
        <v>9826500</v>
      </c>
      <c r="L166" s="86">
        <f>VLOOKUP($A166,'Data shares'!$C:$FA,96)</f>
        <v>-13749000</v>
      </c>
      <c r="M166" s="87">
        <f>VLOOKUP($A166,'Data shares'!$C:$FA,97)</f>
        <v>-0.58320000000000005</v>
      </c>
      <c r="N166" s="86">
        <f>VLOOKUP($A166,'Data shares'!$C:$FA,78)</f>
        <v>4515000</v>
      </c>
      <c r="O166" s="87">
        <f>VLOOKUP($A166,'Data shares'!$C:$FA,81)</f>
        <v>-0.63349999999999995</v>
      </c>
    </row>
    <row r="167" spans="1:15" x14ac:dyDescent="0.25">
      <c r="A167" s="100" t="str">
        <f>'OI(Value)'!A167</f>
        <v>NYKAA</v>
      </c>
      <c r="B167" s="82">
        <f>VLOOKUP(A167,'Data shares'!$C$2:$CV$231,98,0)</f>
        <v>52553125</v>
      </c>
      <c r="C167" s="82">
        <f>VLOOKUP(A167,'Data shares'!$C$2:$CX$231,100,0)</f>
        <v>-28415625</v>
      </c>
      <c r="D167" s="141">
        <f>VLOOKUP(A167,'Data shares'!$C$2:$CY$554,101,0)</f>
        <v>-0.35089999999999999</v>
      </c>
      <c r="E167" s="86">
        <f>VLOOKUP($A167,'Data shares'!$C:$FA,74)</f>
        <v>46828125</v>
      </c>
      <c r="F167" s="86">
        <f>VLOOKUP($A167,'Data shares'!$C:$FA,76)</f>
        <v>-10181250</v>
      </c>
      <c r="G167" s="87">
        <f>VLOOKUP(A167,'Data shares'!$C$2:$CA$231,77,0)</f>
        <v>-0.17860000000000001</v>
      </c>
      <c r="H167" s="86">
        <f>VLOOKUP($A167,'Data shares'!$C:$FA,90)</f>
        <v>3778125</v>
      </c>
      <c r="I167" s="86">
        <f>VLOOKUP($A167,'Data shares'!$C:$FA,92)</f>
        <v>-11275000</v>
      </c>
      <c r="J167" s="87">
        <f>VLOOKUP($A167,'Data shares'!$C:$FA,93)</f>
        <v>-0.749</v>
      </c>
      <c r="K167" s="86">
        <f>VLOOKUP($A167,'Data shares'!$C:$FA,94)</f>
        <v>1946875</v>
      </c>
      <c r="L167" s="86">
        <f>VLOOKUP($A167,'Data shares'!$C:$FA,96)</f>
        <v>-6959375</v>
      </c>
      <c r="M167" s="87">
        <f>VLOOKUP($A167,'Data shares'!$C:$FA,97)</f>
        <v>-0.78139999999999998</v>
      </c>
      <c r="N167" s="86">
        <f>VLOOKUP($A167,'Data shares'!$C:$FA,78)</f>
        <v>5987500</v>
      </c>
      <c r="O167" s="87">
        <f>VLOOKUP($A167,'Data shares'!$C:$FA,81)</f>
        <v>-0.4748</v>
      </c>
    </row>
    <row r="168" spans="1:15" x14ac:dyDescent="0.25">
      <c r="A168" s="100" t="str">
        <f>'OI(Value)'!A168</f>
        <v>OBEROIRLTY</v>
      </c>
      <c r="B168" s="82">
        <f>VLOOKUP(A168,'Data shares'!$C$2:$CV$231,98,0)</f>
        <v>6419350</v>
      </c>
      <c r="C168" s="82">
        <f>VLOOKUP(A168,'Data shares'!$C$2:$CX$231,100,0)</f>
        <v>-3787700</v>
      </c>
      <c r="D168" s="141">
        <f>VLOOKUP(A168,'Data shares'!$C$2:$CY$554,101,0)</f>
        <v>-0.37109999999999999</v>
      </c>
      <c r="E168" s="86">
        <f>VLOOKUP($A168,'Data shares'!$C:$FA,74)</f>
        <v>5087950</v>
      </c>
      <c r="F168" s="86">
        <f>VLOOKUP($A168,'Data shares'!$C:$FA,76)</f>
        <v>-633150</v>
      </c>
      <c r="G168" s="87">
        <f>VLOOKUP(A168,'Data shares'!$C$2:$CA$231,77,0)</f>
        <v>-0.11070000000000001</v>
      </c>
      <c r="H168" s="86">
        <f>VLOOKUP($A168,'Data shares'!$C:$FA,90)</f>
        <v>661500</v>
      </c>
      <c r="I168" s="86">
        <f>VLOOKUP($A168,'Data shares'!$C:$FA,92)</f>
        <v>-2302650</v>
      </c>
      <c r="J168" s="87">
        <f>VLOOKUP($A168,'Data shares'!$C:$FA,93)</f>
        <v>-0.77680000000000005</v>
      </c>
      <c r="K168" s="86">
        <f>VLOOKUP($A168,'Data shares'!$C:$FA,94)</f>
        <v>669900</v>
      </c>
      <c r="L168" s="86">
        <f>VLOOKUP($A168,'Data shares'!$C:$FA,96)</f>
        <v>-851900</v>
      </c>
      <c r="M168" s="87">
        <f>VLOOKUP($A168,'Data shares'!$C:$FA,97)</f>
        <v>-0.55979999999999996</v>
      </c>
      <c r="N168" s="86">
        <f>VLOOKUP($A168,'Data shares'!$C:$FA,78)</f>
        <v>600950</v>
      </c>
      <c r="O168" s="87">
        <f>VLOOKUP($A168,'Data shares'!$C:$FA,81)</f>
        <v>-0.53390000000000004</v>
      </c>
    </row>
    <row r="169" spans="1:15" x14ac:dyDescent="0.25">
      <c r="A169" s="100" t="str">
        <f>'OI(Value)'!A169</f>
        <v>OFSS</v>
      </c>
      <c r="B169" s="82">
        <f>VLOOKUP(A169,'Data shares'!$C$2:$CV$231,98,0)</f>
        <v>1341525</v>
      </c>
      <c r="C169" s="82">
        <f>VLOOKUP(A169,'Data shares'!$C$2:$CX$231,100,0)</f>
        <v>-845325</v>
      </c>
      <c r="D169" s="141">
        <f>VLOOKUP(A169,'Data shares'!$C$2:$CY$554,101,0)</f>
        <v>-0.38650000000000001</v>
      </c>
      <c r="E169" s="86">
        <f>VLOOKUP($A169,'Data shares'!$C:$FA,74)</f>
        <v>994425</v>
      </c>
      <c r="F169" s="86">
        <f>VLOOKUP($A169,'Data shares'!$C:$FA,76)</f>
        <v>-150975</v>
      </c>
      <c r="G169" s="87">
        <f>VLOOKUP(A169,'Data shares'!$C$2:$CA$231,77,0)</f>
        <v>-0.1318</v>
      </c>
      <c r="H169" s="86">
        <f>VLOOKUP($A169,'Data shares'!$C:$FA,90)</f>
        <v>215100</v>
      </c>
      <c r="I169" s="86">
        <f>VLOOKUP($A169,'Data shares'!$C:$FA,92)</f>
        <v>-447450</v>
      </c>
      <c r="J169" s="87">
        <f>VLOOKUP($A169,'Data shares'!$C:$FA,93)</f>
        <v>-0.67530000000000001</v>
      </c>
      <c r="K169" s="86">
        <f>VLOOKUP($A169,'Data shares'!$C:$FA,94)</f>
        <v>132000</v>
      </c>
      <c r="L169" s="86">
        <f>VLOOKUP($A169,'Data shares'!$C:$FA,96)</f>
        <v>-246900</v>
      </c>
      <c r="M169" s="87">
        <f>VLOOKUP($A169,'Data shares'!$C:$FA,97)</f>
        <v>-0.65159999999999996</v>
      </c>
      <c r="N169" s="86">
        <f>VLOOKUP($A169,'Data shares'!$C:$FA,78)</f>
        <v>105750</v>
      </c>
      <c r="O169" s="87">
        <f>VLOOKUP($A169,'Data shares'!$C:$FA,81)</f>
        <v>-0.6452</v>
      </c>
    </row>
    <row r="170" spans="1:15" x14ac:dyDescent="0.25">
      <c r="A170" s="100" t="str">
        <f>'OI(Value)'!A170</f>
        <v>OIL</v>
      </c>
      <c r="B170" s="82">
        <f>VLOOKUP(A170,'Data shares'!$C$2:$CV$231,98,0)</f>
        <v>12538400</v>
      </c>
      <c r="C170" s="82">
        <f>VLOOKUP(A170,'Data shares'!$C$2:$CX$231,100,0)</f>
        <v>-11068400</v>
      </c>
      <c r="D170" s="141">
        <f>VLOOKUP(A170,'Data shares'!$C$2:$CY$554,101,0)</f>
        <v>-0.46889999999999998</v>
      </c>
      <c r="E170" s="86">
        <f>VLOOKUP($A170,'Data shares'!$C:$FA,74)</f>
        <v>10215800</v>
      </c>
      <c r="F170" s="86">
        <f>VLOOKUP($A170,'Data shares'!$C:$FA,76)</f>
        <v>-3504200</v>
      </c>
      <c r="G170" s="87">
        <f>VLOOKUP(A170,'Data shares'!$C$2:$CA$231,77,0)</f>
        <v>-0.25540000000000002</v>
      </c>
      <c r="H170" s="86">
        <f>VLOOKUP($A170,'Data shares'!$C:$FA,90)</f>
        <v>1388800</v>
      </c>
      <c r="I170" s="86">
        <f>VLOOKUP($A170,'Data shares'!$C:$FA,92)</f>
        <v>-4697000</v>
      </c>
      <c r="J170" s="87">
        <f>VLOOKUP($A170,'Data shares'!$C:$FA,93)</f>
        <v>-0.77180000000000004</v>
      </c>
      <c r="K170" s="86">
        <f>VLOOKUP($A170,'Data shares'!$C:$FA,94)</f>
        <v>933800</v>
      </c>
      <c r="L170" s="86">
        <f>VLOOKUP($A170,'Data shares'!$C:$FA,96)</f>
        <v>-2867200</v>
      </c>
      <c r="M170" s="87">
        <f>VLOOKUP($A170,'Data shares'!$C:$FA,97)</f>
        <v>-0.75429999999999997</v>
      </c>
      <c r="N170" s="86">
        <f>VLOOKUP($A170,'Data shares'!$C:$FA,78)</f>
        <v>2669800</v>
      </c>
      <c r="O170" s="87">
        <f>VLOOKUP($A170,'Data shares'!$C:$FA,81)</f>
        <v>-0.40649999999999997</v>
      </c>
    </row>
    <row r="171" spans="1:15" x14ac:dyDescent="0.25">
      <c r="A171" s="100" t="str">
        <f>'OI(Value)'!A171</f>
        <v>ONGC</v>
      </c>
      <c r="B171" s="82">
        <f>VLOOKUP(A171,'Data shares'!$C$2:$CV$231,98,0)</f>
        <v>110857500</v>
      </c>
      <c r="C171" s="82">
        <f>VLOOKUP(A171,'Data shares'!$C$2:$CX$231,100,0)</f>
        <v>-81409500</v>
      </c>
      <c r="D171" s="141">
        <f>VLOOKUP(A171,'Data shares'!$C$2:$CY$554,101,0)</f>
        <v>-0.4234</v>
      </c>
      <c r="E171" s="86">
        <f>VLOOKUP($A171,'Data shares'!$C:$FA,74)</f>
        <v>87426000</v>
      </c>
      <c r="F171" s="86">
        <f>VLOOKUP($A171,'Data shares'!$C:$FA,76)</f>
        <v>-11621250</v>
      </c>
      <c r="G171" s="87">
        <f>VLOOKUP(A171,'Data shares'!$C$2:$CA$231,77,0)</f>
        <v>-0.1173</v>
      </c>
      <c r="H171" s="86">
        <f>VLOOKUP($A171,'Data shares'!$C:$FA,90)</f>
        <v>12321000</v>
      </c>
      <c r="I171" s="86">
        <f>VLOOKUP($A171,'Data shares'!$C:$FA,92)</f>
        <v>-59589000</v>
      </c>
      <c r="J171" s="87">
        <f>VLOOKUP($A171,'Data shares'!$C:$FA,93)</f>
        <v>-0.82869999999999999</v>
      </c>
      <c r="K171" s="86">
        <f>VLOOKUP($A171,'Data shares'!$C:$FA,94)</f>
        <v>11110500</v>
      </c>
      <c r="L171" s="86">
        <f>VLOOKUP($A171,'Data shares'!$C:$FA,96)</f>
        <v>-10199250</v>
      </c>
      <c r="M171" s="87">
        <f>VLOOKUP($A171,'Data shares'!$C:$FA,97)</f>
        <v>-0.47860000000000003</v>
      </c>
      <c r="N171" s="86">
        <f>VLOOKUP($A171,'Data shares'!$C:$FA,78)</f>
        <v>11328750</v>
      </c>
      <c r="O171" s="87">
        <f>VLOOKUP($A171,'Data shares'!$C:$FA,81)</f>
        <v>-0.57650000000000001</v>
      </c>
    </row>
    <row r="172" spans="1:15" x14ac:dyDescent="0.25">
      <c r="A172" s="100" t="str">
        <f>'OI(Value)'!A172</f>
        <v>PAGEIND</v>
      </c>
      <c r="B172" s="82">
        <f>VLOOKUP(A172,'Data shares'!$C$2:$CV$231,98,0)</f>
        <v>293760</v>
      </c>
      <c r="C172" s="82">
        <f>VLOOKUP(A172,'Data shares'!$C$2:$CX$231,100,0)</f>
        <v>-101655</v>
      </c>
      <c r="D172" s="141">
        <f>VLOOKUP(A172,'Data shares'!$C$2:$CY$554,101,0)</f>
        <v>-0.2571</v>
      </c>
      <c r="E172" s="86">
        <f>VLOOKUP($A172,'Data shares'!$C:$FA,74)</f>
        <v>280080</v>
      </c>
      <c r="F172" s="86">
        <f>VLOOKUP($A172,'Data shares'!$C:$FA,76)</f>
        <v>-34035</v>
      </c>
      <c r="G172" s="87">
        <f>VLOOKUP(A172,'Data shares'!$C$2:$CA$231,77,0)</f>
        <v>-0.1084</v>
      </c>
      <c r="H172" s="86">
        <f>VLOOKUP($A172,'Data shares'!$C:$FA,90)</f>
        <v>10620</v>
      </c>
      <c r="I172" s="86">
        <f>VLOOKUP($A172,'Data shares'!$C:$FA,92)</f>
        <v>-46755</v>
      </c>
      <c r="J172" s="87">
        <f>VLOOKUP($A172,'Data shares'!$C:$FA,93)</f>
        <v>-0.81489999999999996</v>
      </c>
      <c r="K172" s="86">
        <f>VLOOKUP($A172,'Data shares'!$C:$FA,94)</f>
        <v>3060</v>
      </c>
      <c r="L172" s="86">
        <f>VLOOKUP($A172,'Data shares'!$C:$FA,96)</f>
        <v>-20865</v>
      </c>
      <c r="M172" s="87">
        <f>VLOOKUP($A172,'Data shares'!$C:$FA,97)</f>
        <v>-0.87209999999999999</v>
      </c>
      <c r="N172" s="86">
        <f>VLOOKUP($A172,'Data shares'!$C:$FA,78)</f>
        <v>35595</v>
      </c>
      <c r="O172" s="87">
        <f>VLOOKUP($A172,'Data shares'!$C:$FA,81)</f>
        <v>-0.31830000000000003</v>
      </c>
    </row>
    <row r="173" spans="1:15" x14ac:dyDescent="0.25">
      <c r="A173" s="100" t="str">
        <f>'OI(Value)'!A173</f>
        <v>PATANJALI</v>
      </c>
      <c r="B173" s="82">
        <f>VLOOKUP(A173,'Data shares'!$C$2:$CV$231,98,0)</f>
        <v>10991700</v>
      </c>
      <c r="C173" s="82">
        <f>VLOOKUP(A173,'Data shares'!$C$2:$CX$231,100,0)</f>
        <v>-5563200</v>
      </c>
      <c r="D173" s="141">
        <f>VLOOKUP(A173,'Data shares'!$C$2:$CY$554,101,0)</f>
        <v>-0.33600000000000002</v>
      </c>
      <c r="E173" s="86">
        <f>VLOOKUP($A173,'Data shares'!$C:$FA,74)</f>
        <v>9879000</v>
      </c>
      <c r="F173" s="86">
        <f>VLOOKUP($A173,'Data shares'!$C:$FA,76)</f>
        <v>-835200</v>
      </c>
      <c r="G173" s="87">
        <f>VLOOKUP(A173,'Data shares'!$C$2:$CA$231,77,0)</f>
        <v>-7.8E-2</v>
      </c>
      <c r="H173" s="86">
        <f>VLOOKUP($A173,'Data shares'!$C:$FA,90)</f>
        <v>708300</v>
      </c>
      <c r="I173" s="86">
        <f>VLOOKUP($A173,'Data shares'!$C:$FA,92)</f>
        <v>-2991300</v>
      </c>
      <c r="J173" s="87">
        <f>VLOOKUP($A173,'Data shares'!$C:$FA,93)</f>
        <v>-0.8085</v>
      </c>
      <c r="K173" s="86">
        <f>VLOOKUP($A173,'Data shares'!$C:$FA,94)</f>
        <v>404400</v>
      </c>
      <c r="L173" s="86">
        <f>VLOOKUP($A173,'Data shares'!$C:$FA,96)</f>
        <v>-1736700</v>
      </c>
      <c r="M173" s="87">
        <f>VLOOKUP($A173,'Data shares'!$C:$FA,97)</f>
        <v>-0.81110000000000004</v>
      </c>
      <c r="N173" s="86">
        <f>VLOOKUP($A173,'Data shares'!$C:$FA,78)</f>
        <v>1119000</v>
      </c>
      <c r="O173" s="87">
        <f>VLOOKUP($A173,'Data shares'!$C:$FA,81)</f>
        <v>-0.66169999999999995</v>
      </c>
    </row>
    <row r="174" spans="1:15" x14ac:dyDescent="0.25">
      <c r="A174" s="100" t="str">
        <f>'OI(Value)'!A174</f>
        <v>PAYTM</v>
      </c>
      <c r="B174" s="82">
        <f>VLOOKUP(A174,'Data shares'!$C$2:$CV$231,98,0)</f>
        <v>29793150</v>
      </c>
      <c r="C174" s="82">
        <f>VLOOKUP(A174,'Data shares'!$C$2:$CX$231,100,0)</f>
        <v>-14853800</v>
      </c>
      <c r="D174" s="141">
        <f>VLOOKUP(A174,'Data shares'!$C$2:$CY$554,101,0)</f>
        <v>-0.3327</v>
      </c>
      <c r="E174" s="86">
        <f>VLOOKUP($A174,'Data shares'!$C:$FA,74)</f>
        <v>22204575</v>
      </c>
      <c r="F174" s="86">
        <f>VLOOKUP($A174,'Data shares'!$C:$FA,76)</f>
        <v>-2482400</v>
      </c>
      <c r="G174" s="87">
        <f>VLOOKUP(A174,'Data shares'!$C$2:$CA$231,77,0)</f>
        <v>-0.10059999999999999</v>
      </c>
      <c r="H174" s="86">
        <f>VLOOKUP($A174,'Data shares'!$C:$FA,90)</f>
        <v>4452950</v>
      </c>
      <c r="I174" s="86">
        <f>VLOOKUP($A174,'Data shares'!$C:$FA,92)</f>
        <v>-7153575</v>
      </c>
      <c r="J174" s="87">
        <f>VLOOKUP($A174,'Data shares'!$C:$FA,93)</f>
        <v>-0.61629999999999996</v>
      </c>
      <c r="K174" s="86">
        <f>VLOOKUP($A174,'Data shares'!$C:$FA,94)</f>
        <v>3135625</v>
      </c>
      <c r="L174" s="86">
        <f>VLOOKUP($A174,'Data shares'!$C:$FA,96)</f>
        <v>-5217825</v>
      </c>
      <c r="M174" s="87">
        <f>VLOOKUP($A174,'Data shares'!$C:$FA,97)</f>
        <v>-0.62460000000000004</v>
      </c>
      <c r="N174" s="86">
        <f>VLOOKUP($A174,'Data shares'!$C:$FA,78)</f>
        <v>2411350</v>
      </c>
      <c r="O174" s="87">
        <f>VLOOKUP($A174,'Data shares'!$C:$FA,81)</f>
        <v>-0.38500000000000001</v>
      </c>
    </row>
    <row r="175" spans="1:15" x14ac:dyDescent="0.25">
      <c r="A175" s="100" t="str">
        <f>'OI(Value)'!A175</f>
        <v>PEL</v>
      </c>
      <c r="B175" s="82">
        <f>VLOOKUP(A175,'Data shares'!$C$2:$CV$231,98,0)</f>
        <v>4395000</v>
      </c>
      <c r="C175" s="82">
        <f>VLOOKUP(A175,'Data shares'!$C$2:$CX$231,100,0)</f>
        <v>-4887000</v>
      </c>
      <c r="D175" s="141">
        <f>VLOOKUP(A175,'Data shares'!$C$2:$CY$554,101,0)</f>
        <v>-0.52649999999999997</v>
      </c>
      <c r="E175" s="86">
        <f>VLOOKUP($A175,'Data shares'!$C:$FA,74)</f>
        <v>0</v>
      </c>
      <c r="F175" s="86">
        <f>VLOOKUP($A175,'Data shares'!$C:$FA,76)</f>
        <v>-3124500</v>
      </c>
      <c r="G175" s="87">
        <f>VLOOKUP(A175,'Data shares'!$C$2:$CA$231,77,0)</f>
        <v>-1</v>
      </c>
      <c r="H175" s="86">
        <f>VLOOKUP($A175,'Data shares'!$C:$FA,90)</f>
        <v>2763000</v>
      </c>
      <c r="I175" s="86">
        <f>VLOOKUP($A175,'Data shares'!$C:$FA,92)</f>
        <v>-1291500</v>
      </c>
      <c r="J175" s="87">
        <f>VLOOKUP($A175,'Data shares'!$C:$FA,93)</f>
        <v>-0.31850000000000001</v>
      </c>
      <c r="K175" s="86">
        <f>VLOOKUP($A175,'Data shares'!$C:$FA,94)</f>
        <v>1632000</v>
      </c>
      <c r="L175" s="86">
        <f>VLOOKUP($A175,'Data shares'!$C:$FA,96)</f>
        <v>-471000</v>
      </c>
      <c r="M175" s="87">
        <f>VLOOKUP($A175,'Data shares'!$C:$FA,97)</f>
        <v>-0.224</v>
      </c>
      <c r="N175" s="86">
        <f>VLOOKUP($A175,'Data shares'!$C:$FA,78)</f>
        <v>2283000</v>
      </c>
      <c r="O175" s="87">
        <f>VLOOKUP($A175,'Data shares'!$C:$FA,81)</f>
        <v>-0.26929999999999998</v>
      </c>
    </row>
    <row r="176" spans="1:15" x14ac:dyDescent="0.25">
      <c r="A176" s="100" t="str">
        <f>'OI(Value)'!A176</f>
        <v>PERSISTENT</v>
      </c>
      <c r="B176" s="82">
        <f>VLOOKUP(A176,'Data shares'!$C$2:$CV$231,98,0)</f>
        <v>4862500</v>
      </c>
      <c r="C176" s="82">
        <f>VLOOKUP(A176,'Data shares'!$C$2:$CX$231,100,0)</f>
        <v>-2590900</v>
      </c>
      <c r="D176" s="141">
        <f>VLOOKUP(A176,'Data shares'!$C$2:$CY$554,101,0)</f>
        <v>-0.34760000000000002</v>
      </c>
      <c r="E176" s="86">
        <f>VLOOKUP($A176,'Data shares'!$C:$FA,74)</f>
        <v>2966100</v>
      </c>
      <c r="F176" s="86">
        <f>VLOOKUP($A176,'Data shares'!$C:$FA,76)</f>
        <v>-473300</v>
      </c>
      <c r="G176" s="87">
        <f>VLOOKUP(A176,'Data shares'!$C$2:$CA$231,77,0)</f>
        <v>-0.1376</v>
      </c>
      <c r="H176" s="86">
        <f>VLOOKUP($A176,'Data shares'!$C:$FA,90)</f>
        <v>1254600</v>
      </c>
      <c r="I176" s="86">
        <f>VLOOKUP($A176,'Data shares'!$C:$FA,92)</f>
        <v>-1481400</v>
      </c>
      <c r="J176" s="87">
        <f>VLOOKUP($A176,'Data shares'!$C:$FA,93)</f>
        <v>-0.54139999999999999</v>
      </c>
      <c r="K176" s="86">
        <f>VLOOKUP($A176,'Data shares'!$C:$FA,94)</f>
        <v>641800</v>
      </c>
      <c r="L176" s="86">
        <f>VLOOKUP($A176,'Data shares'!$C:$FA,96)</f>
        <v>-636200</v>
      </c>
      <c r="M176" s="87">
        <f>VLOOKUP($A176,'Data shares'!$C:$FA,97)</f>
        <v>-0.49780000000000002</v>
      </c>
      <c r="N176" s="86">
        <f>VLOOKUP($A176,'Data shares'!$C:$FA,78)</f>
        <v>412300</v>
      </c>
      <c r="O176" s="87">
        <f>VLOOKUP($A176,'Data shares'!$C:$FA,81)</f>
        <v>-0.5081</v>
      </c>
    </row>
    <row r="177" spans="1:15" x14ac:dyDescent="0.25">
      <c r="A177" s="100" t="str">
        <f>'OI(Value)'!A177</f>
        <v>PETRONET</v>
      </c>
      <c r="B177" s="82">
        <f>VLOOKUP(A177,'Data shares'!$C$2:$CV$231,98,0)</f>
        <v>53964000</v>
      </c>
      <c r="C177" s="82">
        <f>VLOOKUP(A177,'Data shares'!$C$2:$CX$231,100,0)</f>
        <v>-10283400</v>
      </c>
      <c r="D177" s="141">
        <f>VLOOKUP(A177,'Data shares'!$C$2:$CY$554,101,0)</f>
        <v>-0.16009999999999999</v>
      </c>
      <c r="E177" s="86">
        <f>VLOOKUP($A177,'Data shares'!$C:$FA,74)</f>
        <v>37605600</v>
      </c>
      <c r="F177" s="86">
        <f>VLOOKUP($A177,'Data shares'!$C:$FA,76)</f>
        <v>-430200</v>
      </c>
      <c r="G177" s="87">
        <f>VLOOKUP(A177,'Data shares'!$C$2:$CA$231,77,0)</f>
        <v>-1.1299999999999999E-2</v>
      </c>
      <c r="H177" s="86">
        <f>VLOOKUP($A177,'Data shares'!$C:$FA,90)</f>
        <v>9086400</v>
      </c>
      <c r="I177" s="86">
        <f>VLOOKUP($A177,'Data shares'!$C:$FA,92)</f>
        <v>-6526800</v>
      </c>
      <c r="J177" s="87">
        <f>VLOOKUP($A177,'Data shares'!$C:$FA,93)</f>
        <v>-0.41799999999999998</v>
      </c>
      <c r="K177" s="86">
        <f>VLOOKUP($A177,'Data shares'!$C:$FA,94)</f>
        <v>7272000</v>
      </c>
      <c r="L177" s="86">
        <f>VLOOKUP($A177,'Data shares'!$C:$FA,96)</f>
        <v>-3326400</v>
      </c>
      <c r="M177" s="87">
        <f>VLOOKUP($A177,'Data shares'!$C:$FA,97)</f>
        <v>-0.31390000000000001</v>
      </c>
      <c r="N177" s="86">
        <f>VLOOKUP($A177,'Data shares'!$C:$FA,78)</f>
        <v>2934000</v>
      </c>
      <c r="O177" s="87">
        <f>VLOOKUP($A177,'Data shares'!$C:$FA,81)</f>
        <v>-0.4839</v>
      </c>
    </row>
    <row r="178" spans="1:15" x14ac:dyDescent="0.25">
      <c r="A178" s="100" t="str">
        <f>'OI(Value)'!A178</f>
        <v>PFC</v>
      </c>
      <c r="B178" s="82">
        <f>VLOOKUP(A178,'Data shares'!$C$2:$CV$231,98,0)</f>
        <v>73557900</v>
      </c>
      <c r="C178" s="82">
        <f>VLOOKUP(A178,'Data shares'!$C$2:$CX$231,100,0)</f>
        <v>-22092200</v>
      </c>
      <c r="D178" s="141">
        <f>VLOOKUP(A178,'Data shares'!$C$2:$CY$554,101,0)</f>
        <v>-0.23100000000000001</v>
      </c>
      <c r="E178" s="86">
        <f>VLOOKUP($A178,'Data shares'!$C:$FA,74)</f>
        <v>48664200</v>
      </c>
      <c r="F178" s="86">
        <f>VLOOKUP($A178,'Data shares'!$C:$FA,76)</f>
        <v>-7315100</v>
      </c>
      <c r="G178" s="87">
        <f>VLOOKUP(A178,'Data shares'!$C$2:$CA$231,77,0)</f>
        <v>-0.13070000000000001</v>
      </c>
      <c r="H178" s="86">
        <f>VLOOKUP($A178,'Data shares'!$C:$FA,90)</f>
        <v>12223900</v>
      </c>
      <c r="I178" s="86">
        <f>VLOOKUP($A178,'Data shares'!$C:$FA,92)</f>
        <v>-10151700</v>
      </c>
      <c r="J178" s="87">
        <f>VLOOKUP($A178,'Data shares'!$C:$FA,93)</f>
        <v>-0.45369999999999999</v>
      </c>
      <c r="K178" s="86">
        <f>VLOOKUP($A178,'Data shares'!$C:$FA,94)</f>
        <v>12669800</v>
      </c>
      <c r="L178" s="86">
        <f>VLOOKUP($A178,'Data shares'!$C:$FA,96)</f>
        <v>-4625400</v>
      </c>
      <c r="M178" s="87">
        <f>VLOOKUP($A178,'Data shares'!$C:$FA,97)</f>
        <v>-0.26740000000000003</v>
      </c>
      <c r="N178" s="86">
        <f>VLOOKUP($A178,'Data shares'!$C:$FA,78)</f>
        <v>6143800</v>
      </c>
      <c r="O178" s="87">
        <f>VLOOKUP($A178,'Data shares'!$C:$FA,81)</f>
        <v>-0.5968</v>
      </c>
    </row>
    <row r="179" spans="1:15" x14ac:dyDescent="0.25">
      <c r="A179" s="100" t="str">
        <f>'OI(Value)'!A179</f>
        <v>PGEL</v>
      </c>
      <c r="B179" s="82">
        <f>VLOOKUP(A179,'Data shares'!$C$2:$CV$231,98,0)</f>
        <v>8029000</v>
      </c>
      <c r="C179" s="82">
        <f>VLOOKUP(A179,'Data shares'!$C$2:$CX$231,100,0)</f>
        <v>-1282400</v>
      </c>
      <c r="D179" s="141">
        <f>VLOOKUP(A179,'Data shares'!$C$2:$CY$554,101,0)</f>
        <v>-0.13769999999999999</v>
      </c>
      <c r="E179" s="86">
        <f>VLOOKUP($A179,'Data shares'!$C:$FA,74)</f>
        <v>6881000</v>
      </c>
      <c r="F179" s="86">
        <f>VLOOKUP($A179,'Data shares'!$C:$FA,76)</f>
        <v>151900</v>
      </c>
      <c r="G179" s="87">
        <f>VLOOKUP(A179,'Data shares'!$C$2:$CA$231,77,0)</f>
        <v>2.2599999999999999E-2</v>
      </c>
      <c r="H179" s="86">
        <f>VLOOKUP($A179,'Data shares'!$C:$FA,90)</f>
        <v>806400</v>
      </c>
      <c r="I179" s="86">
        <f>VLOOKUP($A179,'Data shares'!$C:$FA,92)</f>
        <v>-853300</v>
      </c>
      <c r="J179" s="87">
        <f>VLOOKUP($A179,'Data shares'!$C:$FA,93)</f>
        <v>-0.5141</v>
      </c>
      <c r="K179" s="86">
        <f>VLOOKUP($A179,'Data shares'!$C:$FA,94)</f>
        <v>341600</v>
      </c>
      <c r="L179" s="86">
        <f>VLOOKUP($A179,'Data shares'!$C:$FA,96)</f>
        <v>-581000</v>
      </c>
      <c r="M179" s="87">
        <f>VLOOKUP($A179,'Data shares'!$C:$FA,97)</f>
        <v>-0.62970000000000004</v>
      </c>
      <c r="N179" s="86">
        <f>VLOOKUP($A179,'Data shares'!$C:$FA,78)</f>
        <v>205100</v>
      </c>
      <c r="O179" s="87">
        <f>VLOOKUP($A179,'Data shares'!$C:$FA,81)</f>
        <v>-0.83120000000000005</v>
      </c>
    </row>
    <row r="180" spans="1:15" x14ac:dyDescent="0.25">
      <c r="A180" s="100" t="str">
        <f>'OI(Value)'!A180</f>
        <v>PHOENIXLTD</v>
      </c>
      <c r="B180" s="82">
        <f>VLOOKUP(A180,'Data shares'!$C$2:$CV$231,98,0)</f>
        <v>4481400</v>
      </c>
      <c r="C180" s="82">
        <f>VLOOKUP(A180,'Data shares'!$C$2:$CX$231,100,0)</f>
        <v>-1862700</v>
      </c>
      <c r="D180" s="141">
        <f>VLOOKUP(A180,'Data shares'!$C$2:$CY$554,101,0)</f>
        <v>-0.29360000000000003</v>
      </c>
      <c r="E180" s="86">
        <f>VLOOKUP($A180,'Data shares'!$C:$FA,74)</f>
        <v>4010650</v>
      </c>
      <c r="F180" s="86">
        <f>VLOOKUP($A180,'Data shares'!$C:$FA,76)</f>
        <v>-638400</v>
      </c>
      <c r="G180" s="87">
        <f>VLOOKUP(A180,'Data shares'!$C$2:$CA$231,77,0)</f>
        <v>-0.13730000000000001</v>
      </c>
      <c r="H180" s="86">
        <f>VLOOKUP($A180,'Data shares'!$C:$FA,90)</f>
        <v>297150</v>
      </c>
      <c r="I180" s="86">
        <f>VLOOKUP($A180,'Data shares'!$C:$FA,92)</f>
        <v>-813400</v>
      </c>
      <c r="J180" s="87">
        <f>VLOOKUP($A180,'Data shares'!$C:$FA,93)</f>
        <v>-0.73240000000000005</v>
      </c>
      <c r="K180" s="86">
        <f>VLOOKUP($A180,'Data shares'!$C:$FA,94)</f>
        <v>173600</v>
      </c>
      <c r="L180" s="86">
        <f>VLOOKUP($A180,'Data shares'!$C:$FA,96)</f>
        <v>-410900</v>
      </c>
      <c r="M180" s="87">
        <f>VLOOKUP($A180,'Data shares'!$C:$FA,97)</f>
        <v>-0.70299999999999996</v>
      </c>
      <c r="N180" s="86">
        <f>VLOOKUP($A180,'Data shares'!$C:$FA,78)</f>
        <v>640850</v>
      </c>
      <c r="O180" s="87">
        <f>VLOOKUP($A180,'Data shares'!$C:$FA,81)</f>
        <v>-0.54479999999999995</v>
      </c>
    </row>
    <row r="181" spans="1:15" x14ac:dyDescent="0.25">
      <c r="A181" s="100" t="str">
        <f>'OI(Value)'!A181</f>
        <v>PIDILITIND</v>
      </c>
      <c r="B181" s="82">
        <f>VLOOKUP(A181,'Data shares'!$C$2:$CV$231,98,0)</f>
        <v>3892250</v>
      </c>
      <c r="C181" s="82">
        <f>VLOOKUP(A181,'Data shares'!$C$2:$CX$231,100,0)</f>
        <v>-1211500</v>
      </c>
      <c r="D181" s="141">
        <f>VLOOKUP(A181,'Data shares'!$C$2:$CY$554,101,0)</f>
        <v>-0.2374</v>
      </c>
      <c r="E181" s="86">
        <f>VLOOKUP($A181,'Data shares'!$C:$FA,74)</f>
        <v>3324750</v>
      </c>
      <c r="F181" s="86">
        <f>VLOOKUP($A181,'Data shares'!$C:$FA,76)</f>
        <v>-158750</v>
      </c>
      <c r="G181" s="87">
        <f>VLOOKUP(A181,'Data shares'!$C$2:$CA$231,77,0)</f>
        <v>-4.5600000000000002E-2</v>
      </c>
      <c r="H181" s="86">
        <f>VLOOKUP($A181,'Data shares'!$C:$FA,90)</f>
        <v>320000</v>
      </c>
      <c r="I181" s="86">
        <f>VLOOKUP($A181,'Data shares'!$C:$FA,92)</f>
        <v>-736750</v>
      </c>
      <c r="J181" s="87">
        <f>VLOOKUP($A181,'Data shares'!$C:$FA,93)</f>
        <v>-0.69720000000000004</v>
      </c>
      <c r="K181" s="86">
        <f>VLOOKUP($A181,'Data shares'!$C:$FA,94)</f>
        <v>247500</v>
      </c>
      <c r="L181" s="86">
        <f>VLOOKUP($A181,'Data shares'!$C:$FA,96)</f>
        <v>-316000</v>
      </c>
      <c r="M181" s="87">
        <f>VLOOKUP($A181,'Data shares'!$C:$FA,97)</f>
        <v>-0.56079999999999997</v>
      </c>
      <c r="N181" s="86">
        <f>VLOOKUP($A181,'Data shares'!$C:$FA,78)</f>
        <v>176250</v>
      </c>
      <c r="O181" s="87">
        <f>VLOOKUP($A181,'Data shares'!$C:$FA,81)</f>
        <v>-0.6139</v>
      </c>
    </row>
    <row r="182" spans="1:15" x14ac:dyDescent="0.25">
      <c r="A182" s="100" t="str">
        <f>'OI(Value)'!A182</f>
        <v>PIIND</v>
      </c>
      <c r="B182" s="82">
        <f>VLOOKUP(A182,'Data shares'!$C$2:$CV$231,98,0)</f>
        <v>1926225</v>
      </c>
      <c r="C182" s="82">
        <f>VLOOKUP(A182,'Data shares'!$C$2:$CX$231,100,0)</f>
        <v>-419300</v>
      </c>
      <c r="D182" s="141">
        <f>VLOOKUP(A182,'Data shares'!$C$2:$CY$554,101,0)</f>
        <v>-0.17879999999999999</v>
      </c>
      <c r="E182" s="86">
        <f>VLOOKUP($A182,'Data shares'!$C:$FA,74)</f>
        <v>1561525</v>
      </c>
      <c r="F182" s="86">
        <f>VLOOKUP($A182,'Data shares'!$C:$FA,76)</f>
        <v>-7875</v>
      </c>
      <c r="G182" s="87">
        <f>VLOOKUP(A182,'Data shares'!$C$2:$CA$231,77,0)</f>
        <v>-5.0000000000000001E-3</v>
      </c>
      <c r="H182" s="86">
        <f>VLOOKUP($A182,'Data shares'!$C:$FA,90)</f>
        <v>232750</v>
      </c>
      <c r="I182" s="86">
        <f>VLOOKUP($A182,'Data shares'!$C:$FA,92)</f>
        <v>-240450</v>
      </c>
      <c r="J182" s="87">
        <f>VLOOKUP($A182,'Data shares'!$C:$FA,93)</f>
        <v>-0.5081</v>
      </c>
      <c r="K182" s="86">
        <f>VLOOKUP($A182,'Data shares'!$C:$FA,94)</f>
        <v>131950</v>
      </c>
      <c r="L182" s="86">
        <f>VLOOKUP($A182,'Data shares'!$C:$FA,96)</f>
        <v>-170975</v>
      </c>
      <c r="M182" s="87">
        <f>VLOOKUP($A182,'Data shares'!$C:$FA,97)</f>
        <v>-0.56440000000000001</v>
      </c>
      <c r="N182" s="86">
        <f>VLOOKUP($A182,'Data shares'!$C:$FA,78)</f>
        <v>55475</v>
      </c>
      <c r="O182" s="87">
        <f>VLOOKUP($A182,'Data shares'!$C:$FA,81)</f>
        <v>-0.4173</v>
      </c>
    </row>
    <row r="183" spans="1:15" x14ac:dyDescent="0.25">
      <c r="A183" s="100" t="str">
        <f>'OI(Value)'!A183</f>
        <v>PNB</v>
      </c>
      <c r="B183" s="82">
        <f>VLOOKUP(A183,'Data shares'!$C$2:$CV$231,98,0)</f>
        <v>411280000</v>
      </c>
      <c r="C183" s="82">
        <f>VLOOKUP(A183,'Data shares'!$C$2:$CX$231,100,0)</f>
        <v>-130704000</v>
      </c>
      <c r="D183" s="141">
        <f>VLOOKUP(A183,'Data shares'!$C$2:$CY$554,101,0)</f>
        <v>-0.2412</v>
      </c>
      <c r="E183" s="86">
        <f>VLOOKUP($A183,'Data shares'!$C:$FA,74)</f>
        <v>255792000</v>
      </c>
      <c r="F183" s="86">
        <f>VLOOKUP($A183,'Data shares'!$C:$FA,76)</f>
        <v>-5856000</v>
      </c>
      <c r="G183" s="87">
        <f>VLOOKUP(A183,'Data shares'!$C$2:$CA$231,77,0)</f>
        <v>-2.24E-2</v>
      </c>
      <c r="H183" s="86">
        <f>VLOOKUP($A183,'Data shares'!$C:$FA,90)</f>
        <v>93056000</v>
      </c>
      <c r="I183" s="86">
        <f>VLOOKUP($A183,'Data shares'!$C:$FA,92)</f>
        <v>-75944000</v>
      </c>
      <c r="J183" s="87">
        <f>VLOOKUP($A183,'Data shares'!$C:$FA,93)</f>
        <v>-0.44940000000000002</v>
      </c>
      <c r="K183" s="86">
        <f>VLOOKUP($A183,'Data shares'!$C:$FA,94)</f>
        <v>62432000</v>
      </c>
      <c r="L183" s="86">
        <f>VLOOKUP($A183,'Data shares'!$C:$FA,96)</f>
        <v>-48904000</v>
      </c>
      <c r="M183" s="87">
        <f>VLOOKUP($A183,'Data shares'!$C:$FA,97)</f>
        <v>-0.43919999999999998</v>
      </c>
      <c r="N183" s="86">
        <f>VLOOKUP($A183,'Data shares'!$C:$FA,78)</f>
        <v>21272000</v>
      </c>
      <c r="O183" s="87">
        <f>VLOOKUP($A183,'Data shares'!$C:$FA,81)</f>
        <v>-0.60219999999999996</v>
      </c>
    </row>
    <row r="184" spans="1:15" x14ac:dyDescent="0.25">
      <c r="A184" s="100" t="str">
        <f>'OI(Value)'!A184</f>
        <v>PNBHOUSING</v>
      </c>
      <c r="B184" s="82">
        <f>VLOOKUP(A184,'Data shares'!$C$2:$CV$231,98,0)</f>
        <v>11120850</v>
      </c>
      <c r="C184" s="82">
        <f>VLOOKUP(A184,'Data shares'!$C$2:$CX$231,100,0)</f>
        <v>-4914650</v>
      </c>
      <c r="D184" s="141">
        <f>VLOOKUP(A184,'Data shares'!$C$2:$CY$554,101,0)</f>
        <v>-0.30649999999999999</v>
      </c>
      <c r="E184" s="86">
        <f>VLOOKUP($A184,'Data shares'!$C:$FA,74)</f>
        <v>9108450</v>
      </c>
      <c r="F184" s="86">
        <f>VLOOKUP($A184,'Data shares'!$C:$FA,76)</f>
        <v>-1039350</v>
      </c>
      <c r="G184" s="87">
        <f>VLOOKUP(A184,'Data shares'!$C$2:$CA$231,77,0)</f>
        <v>-0.1024</v>
      </c>
      <c r="H184" s="86">
        <f>VLOOKUP($A184,'Data shares'!$C:$FA,90)</f>
        <v>1069250</v>
      </c>
      <c r="I184" s="86">
        <f>VLOOKUP($A184,'Data shares'!$C:$FA,92)</f>
        <v>-2721550</v>
      </c>
      <c r="J184" s="87">
        <f>VLOOKUP($A184,'Data shares'!$C:$FA,93)</f>
        <v>-0.71789999999999998</v>
      </c>
      <c r="K184" s="86">
        <f>VLOOKUP($A184,'Data shares'!$C:$FA,94)</f>
        <v>943150</v>
      </c>
      <c r="L184" s="86">
        <f>VLOOKUP($A184,'Data shares'!$C:$FA,96)</f>
        <v>-1153750</v>
      </c>
      <c r="M184" s="87">
        <f>VLOOKUP($A184,'Data shares'!$C:$FA,97)</f>
        <v>-0.55020000000000002</v>
      </c>
      <c r="N184" s="86">
        <f>VLOOKUP($A184,'Data shares'!$C:$FA,78)</f>
        <v>1051050</v>
      </c>
      <c r="O184" s="87">
        <f>VLOOKUP($A184,'Data shares'!$C:$FA,81)</f>
        <v>-0.45240000000000002</v>
      </c>
    </row>
    <row r="185" spans="1:15" x14ac:dyDescent="0.25">
      <c r="A185" s="100" t="str">
        <f>'OI(Value)'!A185</f>
        <v>POLICYBZR</v>
      </c>
      <c r="B185" s="82">
        <f>VLOOKUP(A185,'Data shares'!$C$2:$CV$231,98,0)</f>
        <v>8509200</v>
      </c>
      <c r="C185" s="82">
        <f>VLOOKUP(A185,'Data shares'!$C$2:$CX$231,100,0)</f>
        <v>-2427600</v>
      </c>
      <c r="D185" s="141">
        <f>VLOOKUP(A185,'Data shares'!$C$2:$CY$554,101,0)</f>
        <v>-0.222</v>
      </c>
      <c r="E185" s="86">
        <f>VLOOKUP($A185,'Data shares'!$C:$FA,74)</f>
        <v>7751450</v>
      </c>
      <c r="F185" s="86">
        <f>VLOOKUP($A185,'Data shares'!$C:$FA,76)</f>
        <v>-618450</v>
      </c>
      <c r="G185" s="87">
        <f>VLOOKUP(A185,'Data shares'!$C$2:$CA$231,77,0)</f>
        <v>-7.3899999999999993E-2</v>
      </c>
      <c r="H185" s="86">
        <f>VLOOKUP($A185,'Data shares'!$C:$FA,90)</f>
        <v>333900</v>
      </c>
      <c r="I185" s="86">
        <f>VLOOKUP($A185,'Data shares'!$C:$FA,92)</f>
        <v>-1197000</v>
      </c>
      <c r="J185" s="87">
        <f>VLOOKUP($A185,'Data shares'!$C:$FA,93)</f>
        <v>-0.78190000000000004</v>
      </c>
      <c r="K185" s="86">
        <f>VLOOKUP($A185,'Data shares'!$C:$FA,94)</f>
        <v>423850</v>
      </c>
      <c r="L185" s="86">
        <f>VLOOKUP($A185,'Data shares'!$C:$FA,96)</f>
        <v>-612150</v>
      </c>
      <c r="M185" s="87">
        <f>VLOOKUP($A185,'Data shares'!$C:$FA,97)</f>
        <v>-0.59089999999999998</v>
      </c>
      <c r="N185" s="86">
        <f>VLOOKUP($A185,'Data shares'!$C:$FA,78)</f>
        <v>521150</v>
      </c>
      <c r="O185" s="87">
        <f>VLOOKUP($A185,'Data shares'!$C:$FA,81)</f>
        <v>-0.61639999999999995</v>
      </c>
    </row>
    <row r="186" spans="1:15" x14ac:dyDescent="0.25">
      <c r="A186" s="100" t="str">
        <f>'OI(Value)'!A186</f>
        <v>POLYCAB</v>
      </c>
      <c r="B186" s="82">
        <f>VLOOKUP(A186,'Data shares'!$C$2:$CV$231,98,0)</f>
        <v>2675375</v>
      </c>
      <c r="C186" s="82">
        <f>VLOOKUP(A186,'Data shares'!$C$2:$CX$231,100,0)</f>
        <v>-1581625</v>
      </c>
      <c r="D186" s="141">
        <f>VLOOKUP(A186,'Data shares'!$C$2:$CY$554,101,0)</f>
        <v>-0.3715</v>
      </c>
      <c r="E186" s="86">
        <f>VLOOKUP($A186,'Data shares'!$C:$FA,74)</f>
        <v>1832125</v>
      </c>
      <c r="F186" s="86">
        <f>VLOOKUP($A186,'Data shares'!$C:$FA,76)</f>
        <v>-248250</v>
      </c>
      <c r="G186" s="87">
        <f>VLOOKUP(A186,'Data shares'!$C$2:$CA$231,77,0)</f>
        <v>-0.1193</v>
      </c>
      <c r="H186" s="86">
        <f>VLOOKUP($A186,'Data shares'!$C:$FA,90)</f>
        <v>533000</v>
      </c>
      <c r="I186" s="86">
        <f>VLOOKUP($A186,'Data shares'!$C:$FA,92)</f>
        <v>-693625</v>
      </c>
      <c r="J186" s="87">
        <f>VLOOKUP($A186,'Data shares'!$C:$FA,93)</f>
        <v>-0.5655</v>
      </c>
      <c r="K186" s="86">
        <f>VLOOKUP($A186,'Data shares'!$C:$FA,94)</f>
        <v>310250</v>
      </c>
      <c r="L186" s="86">
        <f>VLOOKUP($A186,'Data shares'!$C:$FA,96)</f>
        <v>-639750</v>
      </c>
      <c r="M186" s="87">
        <f>VLOOKUP($A186,'Data shares'!$C:$FA,97)</f>
        <v>-0.6734</v>
      </c>
      <c r="N186" s="86">
        <f>VLOOKUP($A186,'Data shares'!$C:$FA,78)</f>
        <v>139250</v>
      </c>
      <c r="O186" s="87">
        <f>VLOOKUP($A186,'Data shares'!$C:$FA,81)</f>
        <v>-0.69099999999999995</v>
      </c>
    </row>
    <row r="187" spans="1:15" x14ac:dyDescent="0.25">
      <c r="A187" s="100" t="str">
        <f>'OI(Value)'!A187</f>
        <v>POONAWALLA</v>
      </c>
      <c r="B187" s="82">
        <f>VLOOKUP(A187,'Data shares'!$C$2:$CV$231,98,0)</f>
        <v>15558400</v>
      </c>
      <c r="C187" s="82">
        <f>VLOOKUP(A187,'Data shares'!$C$2:$CX$231,100,0)</f>
        <v>-12642900</v>
      </c>
      <c r="D187" s="141">
        <f>VLOOKUP(A187,'Data shares'!$C$2:$CY$554,101,0)</f>
        <v>-0.44829999999999998</v>
      </c>
      <c r="E187" s="86">
        <f>VLOOKUP($A187,'Data shares'!$C:$FA,74)</f>
        <v>11446100</v>
      </c>
      <c r="F187" s="86">
        <f>VLOOKUP($A187,'Data shares'!$C:$FA,76)</f>
        <v>-3665200</v>
      </c>
      <c r="G187" s="87">
        <f>VLOOKUP(A187,'Data shares'!$C$2:$CA$231,77,0)</f>
        <v>-0.24249999999999999</v>
      </c>
      <c r="H187" s="86">
        <f>VLOOKUP($A187,'Data shares'!$C:$FA,90)</f>
        <v>2475200</v>
      </c>
      <c r="I187" s="86">
        <f>VLOOKUP($A187,'Data shares'!$C:$FA,92)</f>
        <v>-6063900</v>
      </c>
      <c r="J187" s="87">
        <f>VLOOKUP($A187,'Data shares'!$C:$FA,93)</f>
        <v>-0.71009999999999995</v>
      </c>
      <c r="K187" s="86">
        <f>VLOOKUP($A187,'Data shares'!$C:$FA,94)</f>
        <v>1637100</v>
      </c>
      <c r="L187" s="86">
        <f>VLOOKUP($A187,'Data shares'!$C:$FA,96)</f>
        <v>-2913800</v>
      </c>
      <c r="M187" s="87">
        <f>VLOOKUP($A187,'Data shares'!$C:$FA,97)</f>
        <v>-0.64029999999999998</v>
      </c>
      <c r="N187" s="86">
        <f>VLOOKUP($A187,'Data shares'!$C:$FA,78)</f>
        <v>2507500</v>
      </c>
      <c r="O187" s="87">
        <f>VLOOKUP($A187,'Data shares'!$C:$FA,81)</f>
        <v>-0.41949999999999998</v>
      </c>
    </row>
    <row r="188" spans="1:15" x14ac:dyDescent="0.25">
      <c r="A188" s="100" t="str">
        <f>'OI(Value)'!A188</f>
        <v>POWERGRID</v>
      </c>
      <c r="B188" s="82">
        <f>VLOOKUP(A188,'Data shares'!$C$2:$CV$231,98,0)</f>
        <v>88403200</v>
      </c>
      <c r="C188" s="82">
        <f>VLOOKUP(A188,'Data shares'!$C$2:$CX$231,100,0)</f>
        <v>-35501500</v>
      </c>
      <c r="D188" s="141">
        <f>VLOOKUP(A188,'Data shares'!$C$2:$CY$554,101,0)</f>
        <v>-0.28649999999999998</v>
      </c>
      <c r="E188" s="86">
        <f>VLOOKUP($A188,'Data shares'!$C:$FA,74)</f>
        <v>70231600</v>
      </c>
      <c r="F188" s="86">
        <f>VLOOKUP($A188,'Data shares'!$C:$FA,76)</f>
        <v>-8536700</v>
      </c>
      <c r="G188" s="87">
        <f>VLOOKUP(A188,'Data shares'!$C$2:$CA$231,77,0)</f>
        <v>-0.1084</v>
      </c>
      <c r="H188" s="86">
        <f>VLOOKUP($A188,'Data shares'!$C:$FA,90)</f>
        <v>8595600</v>
      </c>
      <c r="I188" s="86">
        <f>VLOOKUP($A188,'Data shares'!$C:$FA,92)</f>
        <v>-18756800</v>
      </c>
      <c r="J188" s="87">
        <f>VLOOKUP($A188,'Data shares'!$C:$FA,93)</f>
        <v>-0.68569999999999998</v>
      </c>
      <c r="K188" s="86">
        <f>VLOOKUP($A188,'Data shares'!$C:$FA,94)</f>
        <v>9576000</v>
      </c>
      <c r="L188" s="86">
        <f>VLOOKUP($A188,'Data shares'!$C:$FA,96)</f>
        <v>-8208000</v>
      </c>
      <c r="M188" s="87">
        <f>VLOOKUP($A188,'Data shares'!$C:$FA,97)</f>
        <v>-0.46150000000000002</v>
      </c>
      <c r="N188" s="86">
        <f>VLOOKUP($A188,'Data shares'!$C:$FA,78)</f>
        <v>8580400</v>
      </c>
      <c r="O188" s="87">
        <f>VLOOKUP($A188,'Data shares'!$C:$FA,81)</f>
        <v>-0.27089999999999997</v>
      </c>
    </row>
    <row r="189" spans="1:15" x14ac:dyDescent="0.25">
      <c r="A189" s="100" t="str">
        <f>'OI(Value)'!A189</f>
        <v>ZYDUSLIFE</v>
      </c>
      <c r="B189" s="82">
        <f>VLOOKUP(A189,'Data shares'!$C$2:$CV$231,98,0)</f>
        <v>10848600</v>
      </c>
      <c r="C189" s="82">
        <f>VLOOKUP(A189,'Data shares'!$C$2:$CX$231,100,0)</f>
        <v>-4329000</v>
      </c>
      <c r="D189" s="141">
        <f>VLOOKUP(A189,'Data shares'!$C$2:$CY$554,101,0)</f>
        <v>-0.28520000000000001</v>
      </c>
      <c r="E189" s="86">
        <f>VLOOKUP($A189,'Data shares'!$C:$FA,74)</f>
        <v>8605800</v>
      </c>
      <c r="F189" s="86">
        <f>VLOOKUP($A189,'Data shares'!$C:$FA,76)</f>
        <v>-1144800</v>
      </c>
      <c r="G189" s="87">
        <f>VLOOKUP(A189,'Data shares'!$C$2:$CA$231,77,0)</f>
        <v>-0.1174</v>
      </c>
      <c r="H189" s="86">
        <f>VLOOKUP($A189,'Data shares'!$C:$FA,90)</f>
        <v>1262700</v>
      </c>
      <c r="I189" s="86">
        <f>VLOOKUP($A189,'Data shares'!$C:$FA,92)</f>
        <v>-1800000</v>
      </c>
      <c r="J189" s="87">
        <f>VLOOKUP($A189,'Data shares'!$C:$FA,93)</f>
        <v>-0.5877</v>
      </c>
      <c r="K189" s="86">
        <f>VLOOKUP($A189,'Data shares'!$C:$FA,94)</f>
        <v>980100</v>
      </c>
      <c r="L189" s="86">
        <f>VLOOKUP($A189,'Data shares'!$C:$FA,96)</f>
        <v>-1384200</v>
      </c>
      <c r="M189" s="87">
        <f>VLOOKUP($A189,'Data shares'!$C:$FA,97)</f>
        <v>-0.58550000000000002</v>
      </c>
      <c r="N189" s="86">
        <f>VLOOKUP($A189,'Data shares'!$C:$FA,78)</f>
        <v>454500</v>
      </c>
      <c r="O189" s="87">
        <f>VLOOKUP($A189,'Data shares'!$C:$FA,81)</f>
        <v>-0.75800000000000001</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14672306552</v>
      </c>
      <c r="C216" s="119">
        <f>SUM(C7:C215)</f>
        <v>-5177283455</v>
      </c>
      <c r="D216" s="120">
        <f>C216*100/(B216-C216)</f>
        <v>-26.082571242903356</v>
      </c>
      <c r="E216" s="119">
        <f>SUM(E7:E215)</f>
        <v>11115096038</v>
      </c>
      <c r="F216" s="119">
        <f>SUM(F7:F215)</f>
        <v>-704719692</v>
      </c>
      <c r="G216" s="120">
        <f>F216*100/(E216-F216)</f>
        <v>-5.9621884815965736</v>
      </c>
      <c r="H216" s="119">
        <f>SUM(H7:H215)</f>
        <v>1975061229</v>
      </c>
      <c r="I216" s="119">
        <f>SUM(I7:I215)</f>
        <v>-2973095113</v>
      </c>
      <c r="J216" s="120">
        <f>I216*100/(H216-I216)</f>
        <v>-60.084906529010397</v>
      </c>
      <c r="K216" s="119">
        <f>SUM(K7:K215)</f>
        <v>1582149285</v>
      </c>
      <c r="L216" s="119">
        <f>SUM(L7:L215)</f>
        <v>-1499468650</v>
      </c>
      <c r="M216" s="120">
        <f>L216*100/(K216-L216)</f>
        <v>-48.658486601130193</v>
      </c>
      <c r="N216" s="119">
        <f>SUM(N7:N215)</f>
        <v>667402432</v>
      </c>
      <c r="O216" s="120">
        <f>(N216-FII!V3)/N216*100</f>
        <v>-315.47121887023633</v>
      </c>
    </row>
    <row r="217" spans="1:15" s="89" customFormat="1" ht="16.5" customHeight="1" x14ac:dyDescent="0.25">
      <c r="A217" s="118" t="s">
        <v>409</v>
      </c>
      <c r="B217" s="121">
        <f>B216/10000000</f>
        <v>1467.2306552</v>
      </c>
      <c r="C217" s="121">
        <f>C216/10000000</f>
        <v>-517.72834550000005</v>
      </c>
      <c r="D217" s="120">
        <f>D216</f>
        <v>-26.082571242903356</v>
      </c>
      <c r="E217" s="121">
        <f>E216/10000000</f>
        <v>1111.5096037999999</v>
      </c>
      <c r="F217" s="121">
        <f>F216/10000000</f>
        <v>-70.471969200000004</v>
      </c>
      <c r="G217" s="120">
        <f>G216</f>
        <v>-5.9621884815965736</v>
      </c>
      <c r="H217" s="121">
        <f>H216/10000000</f>
        <v>197.50612290000001</v>
      </c>
      <c r="I217" s="121">
        <f>I216/10000000</f>
        <v>-297.3095113</v>
      </c>
      <c r="J217" s="120">
        <f>J216</f>
        <v>-60.084906529010397</v>
      </c>
      <c r="K217" s="121">
        <f>K216/10000000</f>
        <v>158.21492850000001</v>
      </c>
      <c r="L217" s="121">
        <f>L216/10000000</f>
        <v>-149.946865</v>
      </c>
      <c r="M217" s="120">
        <f>M216</f>
        <v>-48.658486601130193</v>
      </c>
      <c r="N217" s="121">
        <f>N216/10000000</f>
        <v>66.740243199999995</v>
      </c>
      <c r="O217" s="120">
        <f>O216</f>
        <v>-315.47121887023633</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1111.5096037999999</v>
      </c>
      <c r="C227" s="37">
        <f>F217</f>
        <v>-70.471969200000004</v>
      </c>
      <c r="D227" s="39">
        <f>C227/B227</f>
        <v>-6.340203355784986E-2</v>
      </c>
    </row>
    <row r="228" spans="1:4" x14ac:dyDescent="0.25">
      <c r="A228" s="36" t="s">
        <v>404</v>
      </c>
      <c r="B228" s="37">
        <f>H217</f>
        <v>197.50612290000001</v>
      </c>
      <c r="C228" s="37">
        <f>I217</f>
        <v>-297.3095113</v>
      </c>
      <c r="D228" s="39">
        <f>C228/B228</f>
        <v>-1.5053179462721356</v>
      </c>
    </row>
    <row r="229" spans="1:4" x14ac:dyDescent="0.25">
      <c r="A229" s="36" t="s">
        <v>405</v>
      </c>
      <c r="B229" s="37">
        <f>K217</f>
        <v>158.21492850000001</v>
      </c>
      <c r="C229" s="37">
        <f>L217</f>
        <v>-149.946865</v>
      </c>
      <c r="D229" s="39">
        <f>C229/B229</f>
        <v>-0.94774157168108186</v>
      </c>
    </row>
    <row r="230" spans="1:4" x14ac:dyDescent="0.25">
      <c r="A230" s="36" t="s">
        <v>406</v>
      </c>
      <c r="B230" s="40">
        <f>SUM(B227:B229)</f>
        <v>1467.2306552</v>
      </c>
      <c r="C230" s="40">
        <f>SUM(C227:C229)</f>
        <v>-517.72834549999993</v>
      </c>
      <c r="D230" s="41">
        <f>C230/B230</f>
        <v>-0.35286091090390131</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45869</v>
      </c>
      <c r="C6" s="76" t="s">
        <v>333</v>
      </c>
      <c r="D6" s="76" t="s">
        <v>328</v>
      </c>
      <c r="E6" s="3">
        <f>B6</f>
        <v>45869</v>
      </c>
      <c r="F6" s="76" t="s">
        <v>333</v>
      </c>
      <c r="G6" s="76" t="s">
        <v>328</v>
      </c>
      <c r="H6" s="3">
        <f>E6</f>
        <v>45869</v>
      </c>
      <c r="I6" s="76" t="s">
        <v>333</v>
      </c>
      <c r="J6" s="76" t="s">
        <v>328</v>
      </c>
      <c r="K6" s="3">
        <f>E6</f>
        <v>45869</v>
      </c>
      <c r="L6" s="76" t="s">
        <v>333</v>
      </c>
      <c r="M6" s="76" t="s">
        <v>328</v>
      </c>
      <c r="N6" s="76" t="s">
        <v>339</v>
      </c>
      <c r="O6" s="76" t="s">
        <v>328</v>
      </c>
    </row>
    <row r="7" spans="1:15" x14ac:dyDescent="0.25">
      <c r="A7" s="97" t="str">
        <f>'Data Vlaue (Cr)'!C2</f>
        <v>360ONE</v>
      </c>
      <c r="B7" s="142">
        <f>VLOOKUP(A7,'Data Vlaue (Cr)'!C2:CW231,99,0)</f>
        <v>657</v>
      </c>
      <c r="C7" s="90">
        <f>VLOOKUP(A7,'Data Vlaue (Cr)'!C2:CY231,101,0)</f>
        <v>-377</v>
      </c>
      <c r="D7" s="139">
        <f>VLOOKUP(A7,'Data Vlaue (Cr)'!C2:CZ231,102,0)</f>
        <v>-0.36459999999999998</v>
      </c>
      <c r="E7" s="91">
        <f>VLOOKUP($A7,'Data Vlaue (Cr)'!$C:$FB,75)</f>
        <v>504</v>
      </c>
      <c r="F7" s="91">
        <f>VLOOKUP($A7,'Data Vlaue (Cr)'!$C:$FB,77)</f>
        <v>-154</v>
      </c>
      <c r="G7" s="92">
        <f>VLOOKUP(A7,'Data Vlaue (Cr)'!C2:CB231,78,0)</f>
        <v>-0.2336</v>
      </c>
      <c r="H7" s="91">
        <f>VLOOKUP($A7,'Data Vlaue (Cr)'!$C:$FB,91)</f>
        <v>88</v>
      </c>
      <c r="I7" s="91">
        <f>VLOOKUP($A7,'Data Vlaue (Cr)'!$C:$FB,93)</f>
        <v>-151</v>
      </c>
      <c r="J7" s="92">
        <f>VLOOKUP($A7,'Data Vlaue (Cr)'!$C:$FB,94)</f>
        <v>-0.63260000000000005</v>
      </c>
      <c r="K7" s="91">
        <f>VLOOKUP($A7,'Data Vlaue (Cr)'!$C:$FB,95)</f>
        <v>66</v>
      </c>
      <c r="L7" s="91">
        <f>VLOOKUP($A7,'Data Vlaue (Cr)'!$C:$FB,97)</f>
        <v>-73</v>
      </c>
      <c r="M7" s="92">
        <f>VLOOKUP($A7,'Data Vlaue (Cr)'!$C:$FB,98)</f>
        <v>-0.52569999999999995</v>
      </c>
      <c r="N7" s="91">
        <f>VLOOKUP($A7,'Data Vlaue (Cr)'!$C:$FB,79)</f>
        <v>191</v>
      </c>
      <c r="O7" s="92">
        <f>VLOOKUP($A7,'Data Vlaue (Cr)'!$C:$FB,82)</f>
        <v>-0.157</v>
      </c>
    </row>
    <row r="8" spans="1:15" x14ac:dyDescent="0.25">
      <c r="A8" s="97" t="str">
        <f>'Data Vlaue (Cr)'!C3</f>
        <v>AARTIIND</v>
      </c>
      <c r="B8" s="142">
        <f>VLOOKUP(A8,'Data Vlaue (Cr)'!C3:CW232,99,0)</f>
        <v>0</v>
      </c>
      <c r="C8" s="90">
        <f>VLOOKUP(A8,'Data Vlaue (Cr)'!C3:CY232,101,0)</f>
        <v>0</v>
      </c>
      <c r="D8" s="139">
        <f>VLOOKUP(A8,'Data Vlaue (Cr)'!C3:CZ232,102,0)</f>
        <v>-0.46739999999999998</v>
      </c>
      <c r="E8" s="91">
        <f>VLOOKUP($A8,'Data Vlaue (Cr)'!$C:$FB,75)</f>
        <v>0</v>
      </c>
      <c r="F8" s="91">
        <f>VLOOKUP($A8,'Data Vlaue (Cr)'!$C:$FB,77)</f>
        <v>0</v>
      </c>
      <c r="G8" s="92">
        <f>VLOOKUP(A8,'Data Vlaue (Cr)'!C3:CB232,78,0)</f>
        <v>-1</v>
      </c>
      <c r="H8" s="91">
        <f>VLOOKUP($A8,'Data Vlaue (Cr)'!$C:$FB,91)</f>
        <v>0</v>
      </c>
      <c r="I8" s="91">
        <f>VLOOKUP($A8,'Data Vlaue (Cr)'!$C:$FB,93)</f>
        <v>0</v>
      </c>
      <c r="J8" s="92">
        <f>VLOOKUP($A8,'Data Vlaue (Cr)'!$C:$FB,94)</f>
        <v>-0.1237</v>
      </c>
      <c r="K8" s="91">
        <f>VLOOKUP($A8,'Data Vlaue (Cr)'!$C:$FB,95)</f>
        <v>0</v>
      </c>
      <c r="L8" s="91">
        <f>VLOOKUP($A8,'Data Vlaue (Cr)'!$C:$FB,97)</f>
        <v>0</v>
      </c>
      <c r="M8" s="92">
        <f>VLOOKUP($A8,'Data Vlaue (Cr)'!$C:$FB,98)</f>
        <v>-0.2427</v>
      </c>
      <c r="N8" s="91">
        <f>VLOOKUP($A8,'Data Vlaue (Cr)'!$C:$FB,79)</f>
        <v>0</v>
      </c>
      <c r="O8" s="92">
        <f>VLOOKUP($A8,'Data Vlaue (Cr)'!$C:$FB,82)</f>
        <v>-0.57699999999999996</v>
      </c>
    </row>
    <row r="9" spans="1:15" x14ac:dyDescent="0.25">
      <c r="A9" s="97" t="str">
        <f>'Data Vlaue (Cr)'!C4</f>
        <v>ABB</v>
      </c>
      <c r="B9" s="142">
        <f>VLOOKUP(A9,'Data Vlaue (Cr)'!C4:CW233,99,0)</f>
        <v>2002</v>
      </c>
      <c r="C9" s="90">
        <f>VLOOKUP(A9,'Data Vlaue (Cr)'!C4:CY233,101,0)</f>
        <v>-856</v>
      </c>
      <c r="D9" s="139">
        <f>VLOOKUP(A9,'Data Vlaue (Cr)'!C4:CZ233,102,0)</f>
        <v>-0.29959999999999998</v>
      </c>
      <c r="E9" s="91">
        <f>VLOOKUP($A9,'Data Vlaue (Cr)'!$C:$FB,75)</f>
        <v>1509</v>
      </c>
      <c r="F9" s="91">
        <f>VLOOKUP($A9,'Data Vlaue (Cr)'!$C:$FB,77)</f>
        <v>-79</v>
      </c>
      <c r="G9" s="92">
        <f>VLOOKUP(A9,'Data Vlaue (Cr)'!C4:CB233,78,0)</f>
        <v>-4.9700000000000001E-2</v>
      </c>
      <c r="H9" s="91">
        <f>VLOOKUP($A9,'Data Vlaue (Cr)'!$C:$FB,91)</f>
        <v>231</v>
      </c>
      <c r="I9" s="91">
        <f>VLOOKUP($A9,'Data Vlaue (Cr)'!$C:$FB,93)</f>
        <v>-567</v>
      </c>
      <c r="J9" s="92">
        <f>VLOOKUP($A9,'Data Vlaue (Cr)'!$C:$FB,94)</f>
        <v>-0.7107</v>
      </c>
      <c r="K9" s="91">
        <f>VLOOKUP($A9,'Data Vlaue (Cr)'!$C:$FB,95)</f>
        <v>262</v>
      </c>
      <c r="L9" s="91">
        <f>VLOOKUP($A9,'Data Vlaue (Cr)'!$C:$FB,97)</f>
        <v>-211</v>
      </c>
      <c r="M9" s="92">
        <f>VLOOKUP($A9,'Data Vlaue (Cr)'!$C:$FB,98)</f>
        <v>-0.4456</v>
      </c>
      <c r="N9" s="91">
        <f>VLOOKUP($A9,'Data Vlaue (Cr)'!$C:$FB,79)</f>
        <v>93</v>
      </c>
      <c r="O9" s="92">
        <f>VLOOKUP($A9,'Data Vlaue (Cr)'!$C:$FB,82)</f>
        <v>-0.68420000000000003</v>
      </c>
    </row>
    <row r="10" spans="1:15" x14ac:dyDescent="0.25">
      <c r="A10" s="97" t="str">
        <f>'Data Vlaue (Cr)'!C5</f>
        <v>ABCAPITAL</v>
      </c>
      <c r="B10" s="142">
        <f>VLOOKUP(A10,'Data Vlaue (Cr)'!C5:CW234,99,0)</f>
        <v>1758</v>
      </c>
      <c r="C10" s="90">
        <f>VLOOKUP(A10,'Data Vlaue (Cr)'!C5:CY234,101,0)</f>
        <v>-599</v>
      </c>
      <c r="D10" s="139">
        <f>VLOOKUP(A10,'Data Vlaue (Cr)'!C5:CZ234,102,0)</f>
        <v>-0.254</v>
      </c>
      <c r="E10" s="91">
        <f>VLOOKUP($A10,'Data Vlaue (Cr)'!$C:$FB,75)</f>
        <v>1322</v>
      </c>
      <c r="F10" s="91">
        <f>VLOOKUP($A10,'Data Vlaue (Cr)'!$C:$FB,77)</f>
        <v>-134</v>
      </c>
      <c r="G10" s="92">
        <f>VLOOKUP(A10,'Data Vlaue (Cr)'!C5:CB234,78,0)</f>
        <v>-9.1999999999999998E-2</v>
      </c>
      <c r="H10" s="91">
        <f>VLOOKUP($A10,'Data Vlaue (Cr)'!$C:$FB,91)</f>
        <v>277</v>
      </c>
      <c r="I10" s="91">
        <f>VLOOKUP($A10,'Data Vlaue (Cr)'!$C:$FB,93)</f>
        <v>-318</v>
      </c>
      <c r="J10" s="92">
        <f>VLOOKUP($A10,'Data Vlaue (Cr)'!$C:$FB,94)</f>
        <v>-0.5343</v>
      </c>
      <c r="K10" s="91">
        <f>VLOOKUP($A10,'Data Vlaue (Cr)'!$C:$FB,95)</f>
        <v>159</v>
      </c>
      <c r="L10" s="91">
        <f>VLOOKUP($A10,'Data Vlaue (Cr)'!$C:$FB,97)</f>
        <v>-147</v>
      </c>
      <c r="M10" s="92">
        <f>VLOOKUP($A10,'Data Vlaue (Cr)'!$C:$FB,98)</f>
        <v>-0.48039999999999999</v>
      </c>
      <c r="N10" s="91">
        <f>VLOOKUP($A10,'Data Vlaue (Cr)'!$C:$FB,79)</f>
        <v>53</v>
      </c>
      <c r="O10" s="92">
        <f>VLOOKUP($A10,'Data Vlaue (Cr)'!$C:$FB,82)</f>
        <v>-0.72360000000000002</v>
      </c>
    </row>
    <row r="11" spans="1:15" x14ac:dyDescent="0.25">
      <c r="A11" s="97" t="str">
        <f>'Data Vlaue (Cr)'!C6</f>
        <v>ABFRL</v>
      </c>
      <c r="B11" s="142">
        <f>VLOOKUP(A11,'Data Vlaue (Cr)'!C6:CW235,99,0)</f>
        <v>469</v>
      </c>
      <c r="C11" s="90">
        <f>VLOOKUP(A11,'Data Vlaue (Cr)'!C6:CY235,101,0)</f>
        <v>-211</v>
      </c>
      <c r="D11" s="139">
        <f>VLOOKUP(A11,'Data Vlaue (Cr)'!C6:CZ235,102,0)</f>
        <v>-0.31069999999999998</v>
      </c>
      <c r="E11" s="91">
        <f>VLOOKUP($A11,'Data Vlaue (Cr)'!$C:$FB,75)</f>
        <v>365</v>
      </c>
      <c r="F11" s="91">
        <f>VLOOKUP($A11,'Data Vlaue (Cr)'!$C:$FB,77)</f>
        <v>-19</v>
      </c>
      <c r="G11" s="92">
        <f>VLOOKUP(A11,'Data Vlaue (Cr)'!C6:CB235,78,0)</f>
        <v>-4.9299999999999997E-2</v>
      </c>
      <c r="H11" s="91">
        <f>VLOOKUP($A11,'Data Vlaue (Cr)'!$C:$FB,91)</f>
        <v>53</v>
      </c>
      <c r="I11" s="91">
        <f>VLOOKUP($A11,'Data Vlaue (Cr)'!$C:$FB,93)</f>
        <v>-122</v>
      </c>
      <c r="J11" s="92">
        <f>VLOOKUP($A11,'Data Vlaue (Cr)'!$C:$FB,94)</f>
        <v>-0.69710000000000005</v>
      </c>
      <c r="K11" s="91">
        <f>VLOOKUP($A11,'Data Vlaue (Cr)'!$C:$FB,95)</f>
        <v>51</v>
      </c>
      <c r="L11" s="91">
        <f>VLOOKUP($A11,'Data Vlaue (Cr)'!$C:$FB,97)</f>
        <v>-70</v>
      </c>
      <c r="M11" s="92">
        <f>VLOOKUP($A11,'Data Vlaue (Cr)'!$C:$FB,98)</f>
        <v>-0.57979999999999998</v>
      </c>
      <c r="N11" s="91">
        <f>VLOOKUP($A11,'Data Vlaue (Cr)'!$C:$FB,79)</f>
        <v>24</v>
      </c>
      <c r="O11" s="92">
        <f>VLOOKUP($A11,'Data Vlaue (Cr)'!$C:$FB,82)</f>
        <v>-0.78069999999999995</v>
      </c>
    </row>
    <row r="12" spans="1:15" x14ac:dyDescent="0.25">
      <c r="A12" s="97" t="str">
        <f>'Data Vlaue (Cr)'!C7</f>
        <v>ACC</v>
      </c>
      <c r="B12" s="142">
        <f>VLOOKUP(A12,'Data Vlaue (Cr)'!C7:CW236,99,0)</f>
        <v>0</v>
      </c>
      <c r="C12" s="90">
        <f>VLOOKUP(A12,'Data Vlaue (Cr)'!C7:CY236,101,0)</f>
        <v>0</v>
      </c>
      <c r="D12" s="139">
        <f>VLOOKUP(A12,'Data Vlaue (Cr)'!C7:CZ236,102,0)</f>
        <v>-0.5968</v>
      </c>
      <c r="E12" s="91">
        <f>VLOOKUP($A12,'Data Vlaue (Cr)'!$C:$FB,75)</f>
        <v>0</v>
      </c>
      <c r="F12" s="91">
        <f>VLOOKUP($A12,'Data Vlaue (Cr)'!$C:$FB,77)</f>
        <v>0</v>
      </c>
      <c r="G12" s="92">
        <f>VLOOKUP(A12,'Data Vlaue (Cr)'!C7:CB236,78,0)</f>
        <v>-1</v>
      </c>
      <c r="H12" s="91">
        <f>VLOOKUP($A12,'Data Vlaue (Cr)'!$C:$FB,91)</f>
        <v>0</v>
      </c>
      <c r="I12" s="91">
        <f>VLOOKUP($A12,'Data Vlaue (Cr)'!$C:$FB,93)</f>
        <v>0</v>
      </c>
      <c r="J12" s="92">
        <f>VLOOKUP($A12,'Data Vlaue (Cr)'!$C:$FB,94)</f>
        <v>-0.253</v>
      </c>
      <c r="K12" s="91">
        <f>VLOOKUP($A12,'Data Vlaue (Cr)'!$C:$FB,95)</f>
        <v>0</v>
      </c>
      <c r="L12" s="91">
        <f>VLOOKUP($A12,'Data Vlaue (Cr)'!$C:$FB,97)</f>
        <v>0</v>
      </c>
      <c r="M12" s="92">
        <f>VLOOKUP($A12,'Data Vlaue (Cr)'!$C:$FB,98)</f>
        <v>-0.37819999999999998</v>
      </c>
      <c r="N12" s="91">
        <f>VLOOKUP($A12,'Data Vlaue (Cr)'!$C:$FB,79)</f>
        <v>0</v>
      </c>
      <c r="O12" s="92">
        <f>VLOOKUP($A12,'Data Vlaue (Cr)'!$C:$FB,82)</f>
        <v>-0.52559999999999996</v>
      </c>
    </row>
    <row r="13" spans="1:15" x14ac:dyDescent="0.25">
      <c r="A13" s="97" t="str">
        <f>'Data Vlaue (Cr)'!C8</f>
        <v>ADANIENSOL</v>
      </c>
      <c r="B13" s="142">
        <f>VLOOKUP(A13,'Data Vlaue (Cr)'!C8:CW237,99,0)</f>
        <v>1811</v>
      </c>
      <c r="C13" s="90">
        <f>VLOOKUP(A13,'Data Vlaue (Cr)'!C8:CY237,101,0)</f>
        <v>-350</v>
      </c>
      <c r="D13" s="139">
        <f>VLOOKUP(A13,'Data Vlaue (Cr)'!C8:CZ237,102,0)</f>
        <v>-0.1618</v>
      </c>
      <c r="E13" s="91">
        <f>VLOOKUP($A13,'Data Vlaue (Cr)'!$C:$FB,75)</f>
        <v>1583</v>
      </c>
      <c r="F13" s="91">
        <f>VLOOKUP($A13,'Data Vlaue (Cr)'!$C:$FB,77)</f>
        <v>-32</v>
      </c>
      <c r="G13" s="92">
        <f>VLOOKUP(A13,'Data Vlaue (Cr)'!C8:CB237,78,0)</f>
        <v>-0.02</v>
      </c>
      <c r="H13" s="91">
        <f>VLOOKUP($A13,'Data Vlaue (Cr)'!$C:$FB,91)</f>
        <v>113</v>
      </c>
      <c r="I13" s="91">
        <f>VLOOKUP($A13,'Data Vlaue (Cr)'!$C:$FB,93)</f>
        <v>-203</v>
      </c>
      <c r="J13" s="92">
        <f>VLOOKUP($A13,'Data Vlaue (Cr)'!$C:$FB,94)</f>
        <v>-0.64259999999999995</v>
      </c>
      <c r="K13" s="91">
        <f>VLOOKUP($A13,'Data Vlaue (Cr)'!$C:$FB,95)</f>
        <v>115</v>
      </c>
      <c r="L13" s="91">
        <f>VLOOKUP($A13,'Data Vlaue (Cr)'!$C:$FB,97)</f>
        <v>-114</v>
      </c>
      <c r="M13" s="92">
        <f>VLOOKUP($A13,'Data Vlaue (Cr)'!$C:$FB,98)</f>
        <v>-0.49740000000000001</v>
      </c>
      <c r="N13" s="91">
        <f>VLOOKUP($A13,'Data Vlaue (Cr)'!$C:$FB,79)</f>
        <v>62</v>
      </c>
      <c r="O13" s="92">
        <f>VLOOKUP($A13,'Data Vlaue (Cr)'!$C:$FB,82)</f>
        <v>-0.64319999999999999</v>
      </c>
    </row>
    <row r="14" spans="1:15" x14ac:dyDescent="0.25">
      <c r="A14" s="97" t="str">
        <f>'Data Vlaue (Cr)'!C9</f>
        <v>ADANIENT</v>
      </c>
      <c r="B14" s="142">
        <f>VLOOKUP(A14,'Data Vlaue (Cr)'!C9:CW238,99,0)</f>
        <v>6720</v>
      </c>
      <c r="C14" s="90">
        <f>VLOOKUP(A14,'Data Vlaue (Cr)'!C9:CY238,101,0)</f>
        <v>-1404</v>
      </c>
      <c r="D14" s="139">
        <f>VLOOKUP(A14,'Data Vlaue (Cr)'!C9:CZ238,102,0)</f>
        <v>-0.17280000000000001</v>
      </c>
      <c r="E14" s="91">
        <f>VLOOKUP($A14,'Data Vlaue (Cr)'!$C:$FB,75)</f>
        <v>4413</v>
      </c>
      <c r="F14" s="91">
        <f>VLOOKUP($A14,'Data Vlaue (Cr)'!$C:$FB,77)</f>
        <v>-45</v>
      </c>
      <c r="G14" s="92">
        <f>VLOOKUP(A14,'Data Vlaue (Cr)'!C9:CB238,78,0)</f>
        <v>-1.0200000000000001E-2</v>
      </c>
      <c r="H14" s="91">
        <f>VLOOKUP($A14,'Data Vlaue (Cr)'!$C:$FB,91)</f>
        <v>1110</v>
      </c>
      <c r="I14" s="91">
        <f>VLOOKUP($A14,'Data Vlaue (Cr)'!$C:$FB,93)</f>
        <v>-924</v>
      </c>
      <c r="J14" s="92">
        <f>VLOOKUP($A14,'Data Vlaue (Cr)'!$C:$FB,94)</f>
        <v>-0.45419999999999999</v>
      </c>
      <c r="K14" s="91">
        <f>VLOOKUP($A14,'Data Vlaue (Cr)'!$C:$FB,95)</f>
        <v>1197</v>
      </c>
      <c r="L14" s="91">
        <f>VLOOKUP($A14,'Data Vlaue (Cr)'!$C:$FB,97)</f>
        <v>-434</v>
      </c>
      <c r="M14" s="92">
        <f>VLOOKUP($A14,'Data Vlaue (Cr)'!$C:$FB,98)</f>
        <v>-0.26619999999999999</v>
      </c>
      <c r="N14" s="91">
        <f>VLOOKUP($A14,'Data Vlaue (Cr)'!$C:$FB,79)</f>
        <v>287</v>
      </c>
      <c r="O14" s="92">
        <f>VLOOKUP($A14,'Data Vlaue (Cr)'!$C:$FB,82)</f>
        <v>-0.64219999999999999</v>
      </c>
    </row>
    <row r="15" spans="1:15" x14ac:dyDescent="0.25">
      <c r="A15" s="97" t="str">
        <f>'Data Vlaue (Cr)'!C10</f>
        <v>ADANIGREEN</v>
      </c>
      <c r="B15" s="142">
        <f>VLOOKUP(A15,'Data Vlaue (Cr)'!C10:CW239,99,0)</f>
        <v>2517</v>
      </c>
      <c r="C15" s="90">
        <f>VLOOKUP(A15,'Data Vlaue (Cr)'!C10:CY239,101,0)</f>
        <v>-723</v>
      </c>
      <c r="D15" s="139">
        <f>VLOOKUP(A15,'Data Vlaue (Cr)'!C10:CZ239,102,0)</f>
        <v>-0.22320000000000001</v>
      </c>
      <c r="E15" s="91">
        <f>VLOOKUP($A15,'Data Vlaue (Cr)'!$C:$FB,75)</f>
        <v>1958</v>
      </c>
      <c r="F15" s="91">
        <f>VLOOKUP($A15,'Data Vlaue (Cr)'!$C:$FB,77)</f>
        <v>-55</v>
      </c>
      <c r="G15" s="92">
        <f>VLOOKUP(A15,'Data Vlaue (Cr)'!C10:CB239,78,0)</f>
        <v>-2.7199999999999998E-2</v>
      </c>
      <c r="H15" s="91">
        <f>VLOOKUP($A15,'Data Vlaue (Cr)'!$C:$FB,91)</f>
        <v>344</v>
      </c>
      <c r="I15" s="91">
        <f>VLOOKUP($A15,'Data Vlaue (Cr)'!$C:$FB,93)</f>
        <v>-413</v>
      </c>
      <c r="J15" s="92">
        <f>VLOOKUP($A15,'Data Vlaue (Cr)'!$C:$FB,94)</f>
        <v>-0.54579999999999995</v>
      </c>
      <c r="K15" s="91">
        <f>VLOOKUP($A15,'Data Vlaue (Cr)'!$C:$FB,95)</f>
        <v>215</v>
      </c>
      <c r="L15" s="91">
        <f>VLOOKUP($A15,'Data Vlaue (Cr)'!$C:$FB,97)</f>
        <v>-255</v>
      </c>
      <c r="M15" s="92">
        <f>VLOOKUP($A15,'Data Vlaue (Cr)'!$C:$FB,98)</f>
        <v>-0.54290000000000005</v>
      </c>
      <c r="N15" s="91">
        <f>VLOOKUP($A15,'Data Vlaue (Cr)'!$C:$FB,79)</f>
        <v>80</v>
      </c>
      <c r="O15" s="92">
        <f>VLOOKUP($A15,'Data Vlaue (Cr)'!$C:$FB,82)</f>
        <v>-0.7873</v>
      </c>
    </row>
    <row r="16" spans="1:15" x14ac:dyDescent="0.25">
      <c r="A16" s="97" t="str">
        <f>'Data Vlaue (Cr)'!C11</f>
        <v>ADANIPORTS</v>
      </c>
      <c r="B16" s="142">
        <f>VLOOKUP(A16,'Data Vlaue (Cr)'!C11:CW240,99,0)</f>
        <v>3805</v>
      </c>
      <c r="C16" s="90">
        <f>VLOOKUP(A16,'Data Vlaue (Cr)'!C11:CY240,101,0)</f>
        <v>-1124</v>
      </c>
      <c r="D16" s="139">
        <f>VLOOKUP(A16,'Data Vlaue (Cr)'!C11:CZ240,102,0)</f>
        <v>-0.22800000000000001</v>
      </c>
      <c r="E16" s="91">
        <f>VLOOKUP($A16,'Data Vlaue (Cr)'!$C:$FB,75)</f>
        <v>2999</v>
      </c>
      <c r="F16" s="91">
        <f>VLOOKUP($A16,'Data Vlaue (Cr)'!$C:$FB,77)</f>
        <v>-100</v>
      </c>
      <c r="G16" s="92">
        <f>VLOOKUP(A16,'Data Vlaue (Cr)'!C11:CB240,78,0)</f>
        <v>-3.2199999999999999E-2</v>
      </c>
      <c r="H16" s="91">
        <f>VLOOKUP($A16,'Data Vlaue (Cr)'!$C:$FB,91)</f>
        <v>383</v>
      </c>
      <c r="I16" s="91">
        <f>VLOOKUP($A16,'Data Vlaue (Cr)'!$C:$FB,93)</f>
        <v>-638</v>
      </c>
      <c r="J16" s="92">
        <f>VLOOKUP($A16,'Data Vlaue (Cr)'!$C:$FB,94)</f>
        <v>-0.625</v>
      </c>
      <c r="K16" s="91">
        <f>VLOOKUP($A16,'Data Vlaue (Cr)'!$C:$FB,95)</f>
        <v>423</v>
      </c>
      <c r="L16" s="91">
        <f>VLOOKUP($A16,'Data Vlaue (Cr)'!$C:$FB,97)</f>
        <v>-386</v>
      </c>
      <c r="M16" s="92">
        <f>VLOOKUP($A16,'Data Vlaue (Cr)'!$C:$FB,98)</f>
        <v>-0.4768</v>
      </c>
      <c r="N16" s="91">
        <f>VLOOKUP($A16,'Data Vlaue (Cr)'!$C:$FB,79)</f>
        <v>184</v>
      </c>
      <c r="O16" s="92">
        <f>VLOOKUP($A16,'Data Vlaue (Cr)'!$C:$FB,82)</f>
        <v>-0.62380000000000002</v>
      </c>
    </row>
    <row r="17" spans="1:15" x14ac:dyDescent="0.25">
      <c r="A17" s="97" t="str">
        <f>'Data Vlaue (Cr)'!C12</f>
        <v>ALKEM</v>
      </c>
      <c r="B17" s="142">
        <f>VLOOKUP(A17,'Data Vlaue (Cr)'!C12:CW241,99,0)</f>
        <v>654</v>
      </c>
      <c r="C17" s="90">
        <f>VLOOKUP(A17,'Data Vlaue (Cr)'!C12:CY241,101,0)</f>
        <v>-214</v>
      </c>
      <c r="D17" s="139">
        <f>VLOOKUP(A17,'Data Vlaue (Cr)'!C12:CZ241,102,0)</f>
        <v>-0.2467</v>
      </c>
      <c r="E17" s="91">
        <f>VLOOKUP($A17,'Data Vlaue (Cr)'!$C:$FB,75)</f>
        <v>574</v>
      </c>
      <c r="F17" s="91">
        <f>VLOOKUP($A17,'Data Vlaue (Cr)'!$C:$FB,77)</f>
        <v>-41</v>
      </c>
      <c r="G17" s="92">
        <f>VLOOKUP(A17,'Data Vlaue (Cr)'!C12:CB241,78,0)</f>
        <v>-6.7100000000000007E-2</v>
      </c>
      <c r="H17" s="91">
        <f>VLOOKUP($A17,'Data Vlaue (Cr)'!$C:$FB,91)</f>
        <v>50</v>
      </c>
      <c r="I17" s="91">
        <f>VLOOKUP($A17,'Data Vlaue (Cr)'!$C:$FB,93)</f>
        <v>-100</v>
      </c>
      <c r="J17" s="92">
        <f>VLOOKUP($A17,'Data Vlaue (Cr)'!$C:$FB,94)</f>
        <v>-0.66359999999999997</v>
      </c>
      <c r="K17" s="91">
        <f>VLOOKUP($A17,'Data Vlaue (Cr)'!$C:$FB,95)</f>
        <v>30</v>
      </c>
      <c r="L17" s="91">
        <f>VLOOKUP($A17,'Data Vlaue (Cr)'!$C:$FB,97)</f>
        <v>-73</v>
      </c>
      <c r="M17" s="92">
        <f>VLOOKUP($A17,'Data Vlaue (Cr)'!$C:$FB,98)</f>
        <v>-0.71279999999999999</v>
      </c>
      <c r="N17" s="91">
        <f>VLOOKUP($A17,'Data Vlaue (Cr)'!$C:$FB,79)</f>
        <v>33</v>
      </c>
      <c r="O17" s="92">
        <f>VLOOKUP($A17,'Data Vlaue (Cr)'!$C:$FB,82)</f>
        <v>-0.65139999999999998</v>
      </c>
    </row>
    <row r="18" spans="1:15" x14ac:dyDescent="0.25">
      <c r="A18" s="97" t="str">
        <f>'Data Vlaue (Cr)'!C13</f>
        <v>AMBER</v>
      </c>
      <c r="B18" s="142">
        <f>VLOOKUP(A18,'Data Vlaue (Cr)'!C13:CW242,99,0)</f>
        <v>685</v>
      </c>
      <c r="C18" s="90">
        <f>VLOOKUP(A18,'Data Vlaue (Cr)'!C13:CY242,101,0)</f>
        <v>-434</v>
      </c>
      <c r="D18" s="139">
        <f>VLOOKUP(A18,'Data Vlaue (Cr)'!C13:CZ242,102,0)</f>
        <v>-0.38800000000000001</v>
      </c>
      <c r="E18" s="91">
        <f>VLOOKUP($A18,'Data Vlaue (Cr)'!$C:$FB,75)</f>
        <v>389</v>
      </c>
      <c r="F18" s="91">
        <f>VLOOKUP($A18,'Data Vlaue (Cr)'!$C:$FB,77)</f>
        <v>-62</v>
      </c>
      <c r="G18" s="92">
        <f>VLOOKUP(A18,'Data Vlaue (Cr)'!C13:CB242,78,0)</f>
        <v>-0.13739999999999999</v>
      </c>
      <c r="H18" s="91">
        <f>VLOOKUP($A18,'Data Vlaue (Cr)'!$C:$FB,91)</f>
        <v>182</v>
      </c>
      <c r="I18" s="91">
        <f>VLOOKUP($A18,'Data Vlaue (Cr)'!$C:$FB,93)</f>
        <v>-189</v>
      </c>
      <c r="J18" s="92">
        <f>VLOOKUP($A18,'Data Vlaue (Cr)'!$C:$FB,94)</f>
        <v>-0.50919999999999999</v>
      </c>
      <c r="K18" s="91">
        <f>VLOOKUP($A18,'Data Vlaue (Cr)'!$C:$FB,95)</f>
        <v>114</v>
      </c>
      <c r="L18" s="91">
        <f>VLOOKUP($A18,'Data Vlaue (Cr)'!$C:$FB,97)</f>
        <v>-184</v>
      </c>
      <c r="M18" s="92">
        <f>VLOOKUP($A18,'Data Vlaue (Cr)'!$C:$FB,98)</f>
        <v>-0.61709999999999998</v>
      </c>
      <c r="N18" s="91">
        <f>VLOOKUP($A18,'Data Vlaue (Cr)'!$C:$FB,79)</f>
        <v>21</v>
      </c>
      <c r="O18" s="92">
        <f>VLOOKUP($A18,'Data Vlaue (Cr)'!$C:$FB,82)</f>
        <v>-0.65559999999999996</v>
      </c>
    </row>
    <row r="19" spans="1:15" x14ac:dyDescent="0.25">
      <c r="A19" s="97" t="str">
        <f>'Data Vlaue (Cr)'!C14</f>
        <v>AMBUJACEM</v>
      </c>
      <c r="B19" s="142">
        <f>VLOOKUP(A19,'Data Vlaue (Cr)'!C14:CW243,99,0)</f>
        <v>2480</v>
      </c>
      <c r="C19" s="90">
        <f>VLOOKUP(A19,'Data Vlaue (Cr)'!C14:CY243,101,0)</f>
        <v>35</v>
      </c>
      <c r="D19" s="139">
        <f>VLOOKUP(A19,'Data Vlaue (Cr)'!C14:CZ243,102,0)</f>
        <v>1.43E-2</v>
      </c>
      <c r="E19" s="91">
        <f>VLOOKUP($A19,'Data Vlaue (Cr)'!$C:$FB,75)</f>
        <v>1747</v>
      </c>
      <c r="F19" s="91">
        <f>VLOOKUP($A19,'Data Vlaue (Cr)'!$C:$FB,77)</f>
        <v>116</v>
      </c>
      <c r="G19" s="92">
        <f>VLOOKUP(A19,'Data Vlaue (Cr)'!C14:CB243,78,0)</f>
        <v>7.1199999999999999E-2</v>
      </c>
      <c r="H19" s="91">
        <f>VLOOKUP($A19,'Data Vlaue (Cr)'!$C:$FB,91)</f>
        <v>465</v>
      </c>
      <c r="I19" s="91">
        <f>VLOOKUP($A19,'Data Vlaue (Cr)'!$C:$FB,93)</f>
        <v>34</v>
      </c>
      <c r="J19" s="92">
        <f>VLOOKUP($A19,'Data Vlaue (Cr)'!$C:$FB,94)</f>
        <v>7.7799999999999994E-2</v>
      </c>
      <c r="K19" s="91">
        <f>VLOOKUP($A19,'Data Vlaue (Cr)'!$C:$FB,95)</f>
        <v>267</v>
      </c>
      <c r="L19" s="91">
        <f>VLOOKUP($A19,'Data Vlaue (Cr)'!$C:$FB,97)</f>
        <v>-115</v>
      </c>
      <c r="M19" s="92">
        <f>VLOOKUP($A19,'Data Vlaue (Cr)'!$C:$FB,98)</f>
        <v>-0.30109999999999998</v>
      </c>
      <c r="N19" s="91">
        <f>VLOOKUP($A19,'Data Vlaue (Cr)'!$C:$FB,79)</f>
        <v>102</v>
      </c>
      <c r="O19" s="92">
        <f>VLOOKUP($A19,'Data Vlaue (Cr)'!$C:$FB,82)</f>
        <v>-0.56740000000000002</v>
      </c>
    </row>
    <row r="20" spans="1:15" x14ac:dyDescent="0.25">
      <c r="A20" s="97" t="str">
        <f>'Data Vlaue (Cr)'!C15</f>
        <v>ANGELONE</v>
      </c>
      <c r="B20" s="142">
        <f>VLOOKUP(A20,'Data Vlaue (Cr)'!C15:CW244,99,0)</f>
        <v>872</v>
      </c>
      <c r="C20" s="90">
        <f>VLOOKUP(A20,'Data Vlaue (Cr)'!C15:CY244,101,0)</f>
        <v>-1003</v>
      </c>
      <c r="D20" s="139">
        <f>VLOOKUP(A20,'Data Vlaue (Cr)'!C15:CZ244,102,0)</f>
        <v>-0.53500000000000003</v>
      </c>
      <c r="E20" s="91">
        <f>VLOOKUP($A20,'Data Vlaue (Cr)'!$C:$FB,75)</f>
        <v>558</v>
      </c>
      <c r="F20" s="91">
        <f>VLOOKUP($A20,'Data Vlaue (Cr)'!$C:$FB,77)</f>
        <v>-150</v>
      </c>
      <c r="G20" s="92">
        <f>VLOOKUP(A20,'Data Vlaue (Cr)'!C15:CB244,78,0)</f>
        <v>-0.21190000000000001</v>
      </c>
      <c r="H20" s="91">
        <f>VLOOKUP($A20,'Data Vlaue (Cr)'!$C:$FB,91)</f>
        <v>172</v>
      </c>
      <c r="I20" s="91">
        <f>VLOOKUP($A20,'Data Vlaue (Cr)'!$C:$FB,93)</f>
        <v>-542</v>
      </c>
      <c r="J20" s="92">
        <f>VLOOKUP($A20,'Data Vlaue (Cr)'!$C:$FB,94)</f>
        <v>-0.75880000000000003</v>
      </c>
      <c r="K20" s="91">
        <f>VLOOKUP($A20,'Data Vlaue (Cr)'!$C:$FB,95)</f>
        <v>141</v>
      </c>
      <c r="L20" s="91">
        <f>VLOOKUP($A20,'Data Vlaue (Cr)'!$C:$FB,97)</f>
        <v>-311</v>
      </c>
      <c r="M20" s="92">
        <f>VLOOKUP($A20,'Data Vlaue (Cr)'!$C:$FB,98)</f>
        <v>-0.68730000000000002</v>
      </c>
      <c r="N20" s="91">
        <f>VLOOKUP($A20,'Data Vlaue (Cr)'!$C:$FB,79)</f>
        <v>106</v>
      </c>
      <c r="O20" s="92">
        <f>VLOOKUP($A20,'Data Vlaue (Cr)'!$C:$FB,82)</f>
        <v>-0.45340000000000003</v>
      </c>
    </row>
    <row r="21" spans="1:15" x14ac:dyDescent="0.25">
      <c r="A21" s="97" t="str">
        <f>'Data Vlaue (Cr)'!C16</f>
        <v>APLAPOLLO</v>
      </c>
      <c r="B21" s="142">
        <f>VLOOKUP(A21,'Data Vlaue (Cr)'!C16:CW245,99,0)</f>
        <v>1202</v>
      </c>
      <c r="C21" s="90">
        <f>VLOOKUP(A21,'Data Vlaue (Cr)'!C16:CY245,101,0)</f>
        <v>-656</v>
      </c>
      <c r="D21" s="139">
        <f>VLOOKUP(A21,'Data Vlaue (Cr)'!C16:CZ245,102,0)</f>
        <v>-0.35289999999999999</v>
      </c>
      <c r="E21" s="91">
        <f>VLOOKUP($A21,'Data Vlaue (Cr)'!$C:$FB,75)</f>
        <v>780</v>
      </c>
      <c r="F21" s="91">
        <f>VLOOKUP($A21,'Data Vlaue (Cr)'!$C:$FB,77)</f>
        <v>-72</v>
      </c>
      <c r="G21" s="92">
        <f>VLOOKUP(A21,'Data Vlaue (Cr)'!C16:CB245,78,0)</f>
        <v>-8.4199999999999997E-2</v>
      </c>
      <c r="H21" s="91">
        <f>VLOOKUP($A21,'Data Vlaue (Cr)'!$C:$FB,91)</f>
        <v>201</v>
      </c>
      <c r="I21" s="91">
        <f>VLOOKUP($A21,'Data Vlaue (Cr)'!$C:$FB,93)</f>
        <v>-383</v>
      </c>
      <c r="J21" s="92">
        <f>VLOOKUP($A21,'Data Vlaue (Cr)'!$C:$FB,94)</f>
        <v>-0.65539999999999998</v>
      </c>
      <c r="K21" s="91">
        <f>VLOOKUP($A21,'Data Vlaue (Cr)'!$C:$FB,95)</f>
        <v>220</v>
      </c>
      <c r="L21" s="91">
        <f>VLOOKUP($A21,'Data Vlaue (Cr)'!$C:$FB,97)</f>
        <v>-201</v>
      </c>
      <c r="M21" s="92">
        <f>VLOOKUP($A21,'Data Vlaue (Cr)'!$C:$FB,98)</f>
        <v>-0.47710000000000002</v>
      </c>
      <c r="N21" s="91">
        <f>VLOOKUP($A21,'Data Vlaue (Cr)'!$C:$FB,79)</f>
        <v>90</v>
      </c>
      <c r="O21" s="92">
        <f>VLOOKUP($A21,'Data Vlaue (Cr)'!$C:$FB,82)</f>
        <v>-0.43569999999999998</v>
      </c>
    </row>
    <row r="22" spans="1:15" x14ac:dyDescent="0.25">
      <c r="A22" s="97" t="str">
        <f>'Data Vlaue (Cr)'!C17</f>
        <v>APOLLOHOSP</v>
      </c>
      <c r="B22" s="142">
        <f>VLOOKUP(A22,'Data Vlaue (Cr)'!C17:CW246,99,0)</f>
        <v>2113</v>
      </c>
      <c r="C22" s="90">
        <f>VLOOKUP(A22,'Data Vlaue (Cr)'!C17:CY246,101,0)</f>
        <v>-1710</v>
      </c>
      <c r="D22" s="139">
        <f>VLOOKUP(A22,'Data Vlaue (Cr)'!C17:CZ246,102,0)</f>
        <v>-0.44740000000000002</v>
      </c>
      <c r="E22" s="91">
        <f>VLOOKUP($A22,'Data Vlaue (Cr)'!$C:$FB,75)</f>
        <v>1845</v>
      </c>
      <c r="F22" s="91">
        <f>VLOOKUP($A22,'Data Vlaue (Cr)'!$C:$FB,77)</f>
        <v>-132</v>
      </c>
      <c r="G22" s="92">
        <f>VLOOKUP(A22,'Data Vlaue (Cr)'!C17:CB246,78,0)</f>
        <v>-6.6699999999999995E-2</v>
      </c>
      <c r="H22" s="91">
        <f>VLOOKUP($A22,'Data Vlaue (Cr)'!$C:$FB,91)</f>
        <v>163</v>
      </c>
      <c r="I22" s="91">
        <f>VLOOKUP($A22,'Data Vlaue (Cr)'!$C:$FB,93)</f>
        <v>-1024</v>
      </c>
      <c r="J22" s="92">
        <f>VLOOKUP($A22,'Data Vlaue (Cr)'!$C:$FB,94)</f>
        <v>-0.86270000000000002</v>
      </c>
      <c r="K22" s="91">
        <f>VLOOKUP($A22,'Data Vlaue (Cr)'!$C:$FB,95)</f>
        <v>105</v>
      </c>
      <c r="L22" s="91">
        <f>VLOOKUP($A22,'Data Vlaue (Cr)'!$C:$FB,97)</f>
        <v>-554</v>
      </c>
      <c r="M22" s="92">
        <f>VLOOKUP($A22,'Data Vlaue (Cr)'!$C:$FB,98)</f>
        <v>-0.84119999999999995</v>
      </c>
      <c r="N22" s="91">
        <f>VLOOKUP($A22,'Data Vlaue (Cr)'!$C:$FB,79)</f>
        <v>135</v>
      </c>
      <c r="O22" s="92">
        <f>VLOOKUP($A22,'Data Vlaue (Cr)'!$C:$FB,82)</f>
        <v>-0.59289999999999998</v>
      </c>
    </row>
    <row r="23" spans="1:15" x14ac:dyDescent="0.25">
      <c r="A23" s="97" t="str">
        <f>'Data Vlaue (Cr)'!C18</f>
        <v>ASHOKLEY</v>
      </c>
      <c r="B23" s="142">
        <f>VLOOKUP(A23,'Data Vlaue (Cr)'!C18:CW247,99,0)</f>
        <v>1263</v>
      </c>
      <c r="C23" s="90">
        <f>VLOOKUP(A23,'Data Vlaue (Cr)'!C18:CY247,101,0)</f>
        <v>-463</v>
      </c>
      <c r="D23" s="139">
        <f>VLOOKUP(A23,'Data Vlaue (Cr)'!C18:CZ247,102,0)</f>
        <v>-0.26829999999999998</v>
      </c>
      <c r="E23" s="91">
        <f>VLOOKUP($A23,'Data Vlaue (Cr)'!$C:$FB,75)</f>
        <v>1032</v>
      </c>
      <c r="F23" s="91">
        <f>VLOOKUP($A23,'Data Vlaue (Cr)'!$C:$FB,77)</f>
        <v>-73</v>
      </c>
      <c r="G23" s="92">
        <f>VLOOKUP(A23,'Data Vlaue (Cr)'!C18:CB247,78,0)</f>
        <v>-6.59E-2</v>
      </c>
      <c r="H23" s="91">
        <f>VLOOKUP($A23,'Data Vlaue (Cr)'!$C:$FB,91)</f>
        <v>129</v>
      </c>
      <c r="I23" s="91">
        <f>VLOOKUP($A23,'Data Vlaue (Cr)'!$C:$FB,93)</f>
        <v>-241</v>
      </c>
      <c r="J23" s="92">
        <f>VLOOKUP($A23,'Data Vlaue (Cr)'!$C:$FB,94)</f>
        <v>-0.65149999999999997</v>
      </c>
      <c r="K23" s="91">
        <f>VLOOKUP($A23,'Data Vlaue (Cr)'!$C:$FB,95)</f>
        <v>102</v>
      </c>
      <c r="L23" s="91">
        <f>VLOOKUP($A23,'Data Vlaue (Cr)'!$C:$FB,97)</f>
        <v>-149</v>
      </c>
      <c r="M23" s="92">
        <f>VLOOKUP($A23,'Data Vlaue (Cr)'!$C:$FB,98)</f>
        <v>-0.59370000000000001</v>
      </c>
      <c r="N23" s="91">
        <f>VLOOKUP($A23,'Data Vlaue (Cr)'!$C:$FB,79)</f>
        <v>42</v>
      </c>
      <c r="O23" s="92">
        <f>VLOOKUP($A23,'Data Vlaue (Cr)'!$C:$FB,82)</f>
        <v>-0.79469999999999996</v>
      </c>
    </row>
    <row r="24" spans="1:15" x14ac:dyDescent="0.25">
      <c r="A24" s="97" t="str">
        <f>'Data Vlaue (Cr)'!C19</f>
        <v>ASIANPAINT</v>
      </c>
      <c r="B24" s="142">
        <f>VLOOKUP(A24,'Data Vlaue (Cr)'!C19:CW248,99,0)</f>
        <v>4489</v>
      </c>
      <c r="C24" s="90">
        <f>VLOOKUP(A24,'Data Vlaue (Cr)'!C19:CY248,101,0)</f>
        <v>-2275</v>
      </c>
      <c r="D24" s="139">
        <f>VLOOKUP(A24,'Data Vlaue (Cr)'!C19:CZ248,102,0)</f>
        <v>-0.33639999999999998</v>
      </c>
      <c r="E24" s="91">
        <f>VLOOKUP($A24,'Data Vlaue (Cr)'!$C:$FB,75)</f>
        <v>3338</v>
      </c>
      <c r="F24" s="91">
        <f>VLOOKUP($A24,'Data Vlaue (Cr)'!$C:$FB,77)</f>
        <v>-343</v>
      </c>
      <c r="G24" s="92">
        <f>VLOOKUP(A24,'Data Vlaue (Cr)'!C19:CB248,78,0)</f>
        <v>-9.3200000000000005E-2</v>
      </c>
      <c r="H24" s="91">
        <f>VLOOKUP($A24,'Data Vlaue (Cr)'!$C:$FB,91)</f>
        <v>645</v>
      </c>
      <c r="I24" s="91">
        <f>VLOOKUP($A24,'Data Vlaue (Cr)'!$C:$FB,93)</f>
        <v>-1313</v>
      </c>
      <c r="J24" s="92">
        <f>VLOOKUP($A24,'Data Vlaue (Cr)'!$C:$FB,94)</f>
        <v>-0.67049999999999998</v>
      </c>
      <c r="K24" s="91">
        <f>VLOOKUP($A24,'Data Vlaue (Cr)'!$C:$FB,95)</f>
        <v>506</v>
      </c>
      <c r="L24" s="91">
        <f>VLOOKUP($A24,'Data Vlaue (Cr)'!$C:$FB,97)</f>
        <v>-619</v>
      </c>
      <c r="M24" s="92">
        <f>VLOOKUP($A24,'Data Vlaue (Cr)'!$C:$FB,98)</f>
        <v>-0.55049999999999999</v>
      </c>
      <c r="N24" s="91">
        <f>VLOOKUP($A24,'Data Vlaue (Cr)'!$C:$FB,79)</f>
        <v>345</v>
      </c>
      <c r="O24" s="92">
        <f>VLOOKUP($A24,'Data Vlaue (Cr)'!$C:$FB,82)</f>
        <v>-0.30030000000000001</v>
      </c>
    </row>
    <row r="25" spans="1:15" x14ac:dyDescent="0.25">
      <c r="A25" s="97" t="str">
        <f>'Data Vlaue (Cr)'!C20</f>
        <v>ASTRAL</v>
      </c>
      <c r="B25" s="142">
        <f>VLOOKUP(A25,'Data Vlaue (Cr)'!C20:CW249,99,0)</f>
        <v>1050</v>
      </c>
      <c r="C25" s="90">
        <f>VLOOKUP(A25,'Data Vlaue (Cr)'!C20:CY249,101,0)</f>
        <v>-464</v>
      </c>
      <c r="D25" s="139">
        <f>VLOOKUP(A25,'Data Vlaue (Cr)'!C20:CZ249,102,0)</f>
        <v>-0.30649999999999999</v>
      </c>
      <c r="E25" s="91">
        <f>VLOOKUP($A25,'Data Vlaue (Cr)'!$C:$FB,75)</f>
        <v>799</v>
      </c>
      <c r="F25" s="91">
        <f>VLOOKUP($A25,'Data Vlaue (Cr)'!$C:$FB,77)</f>
        <v>-76</v>
      </c>
      <c r="G25" s="92">
        <f>VLOOKUP(A25,'Data Vlaue (Cr)'!C20:CB249,78,0)</f>
        <v>-8.6499999999999994E-2</v>
      </c>
      <c r="H25" s="91">
        <f>VLOOKUP($A25,'Data Vlaue (Cr)'!$C:$FB,91)</f>
        <v>142</v>
      </c>
      <c r="I25" s="91">
        <f>VLOOKUP($A25,'Data Vlaue (Cr)'!$C:$FB,93)</f>
        <v>-300</v>
      </c>
      <c r="J25" s="92">
        <f>VLOOKUP($A25,'Data Vlaue (Cr)'!$C:$FB,94)</f>
        <v>-0.67849999999999999</v>
      </c>
      <c r="K25" s="91">
        <f>VLOOKUP($A25,'Data Vlaue (Cr)'!$C:$FB,95)</f>
        <v>108</v>
      </c>
      <c r="L25" s="91">
        <f>VLOOKUP($A25,'Data Vlaue (Cr)'!$C:$FB,97)</f>
        <v>-88</v>
      </c>
      <c r="M25" s="92">
        <f>VLOOKUP($A25,'Data Vlaue (Cr)'!$C:$FB,98)</f>
        <v>-0.44890000000000002</v>
      </c>
      <c r="N25" s="91">
        <f>VLOOKUP($A25,'Data Vlaue (Cr)'!$C:$FB,79)</f>
        <v>73</v>
      </c>
      <c r="O25" s="92">
        <f>VLOOKUP($A25,'Data Vlaue (Cr)'!$C:$FB,82)</f>
        <v>-0.45729999999999998</v>
      </c>
    </row>
    <row r="26" spans="1:15" x14ac:dyDescent="0.25">
      <c r="A26" s="97" t="str">
        <f>'Data Vlaue (Cr)'!C21</f>
        <v>ATGL</v>
      </c>
      <c r="B26" s="142">
        <f>VLOOKUP(A26,'Data Vlaue (Cr)'!C21:CW250,99,0)</f>
        <v>309</v>
      </c>
      <c r="C26" s="90">
        <f>VLOOKUP(A26,'Data Vlaue (Cr)'!C21:CY250,101,0)</f>
        <v>-287</v>
      </c>
      <c r="D26" s="139">
        <f>VLOOKUP(A26,'Data Vlaue (Cr)'!C21:CZ250,102,0)</f>
        <v>-0.48149999999999998</v>
      </c>
      <c r="E26" s="91">
        <f>VLOOKUP($A26,'Data Vlaue (Cr)'!$C:$FB,75)</f>
        <v>228</v>
      </c>
      <c r="F26" s="91">
        <f>VLOOKUP($A26,'Data Vlaue (Cr)'!$C:$FB,77)</f>
        <v>-81</v>
      </c>
      <c r="G26" s="92">
        <f>VLOOKUP(A26,'Data Vlaue (Cr)'!C21:CB250,78,0)</f>
        <v>-0.2631</v>
      </c>
      <c r="H26" s="91">
        <f>VLOOKUP($A26,'Data Vlaue (Cr)'!$C:$FB,91)</f>
        <v>46</v>
      </c>
      <c r="I26" s="91">
        <f>VLOOKUP($A26,'Data Vlaue (Cr)'!$C:$FB,93)</f>
        <v>-143</v>
      </c>
      <c r="J26" s="92">
        <f>VLOOKUP($A26,'Data Vlaue (Cr)'!$C:$FB,94)</f>
        <v>-0.7581</v>
      </c>
      <c r="K26" s="91">
        <f>VLOOKUP($A26,'Data Vlaue (Cr)'!$C:$FB,95)</f>
        <v>36</v>
      </c>
      <c r="L26" s="91">
        <f>VLOOKUP($A26,'Data Vlaue (Cr)'!$C:$FB,97)</f>
        <v>-62</v>
      </c>
      <c r="M26" s="92">
        <f>VLOOKUP($A26,'Data Vlaue (Cr)'!$C:$FB,98)</f>
        <v>-0.63639999999999997</v>
      </c>
      <c r="N26" s="91">
        <f>VLOOKUP($A26,'Data Vlaue (Cr)'!$C:$FB,79)</f>
        <v>49</v>
      </c>
      <c r="O26" s="92">
        <f>VLOOKUP($A26,'Data Vlaue (Cr)'!$C:$FB,82)</f>
        <v>-0.50480000000000003</v>
      </c>
    </row>
    <row r="27" spans="1:15" x14ac:dyDescent="0.25">
      <c r="A27" s="97" t="str">
        <f>'Data Vlaue (Cr)'!C22</f>
        <v>AUBANK</v>
      </c>
      <c r="B27" s="142">
        <f>VLOOKUP(A27,'Data Vlaue (Cr)'!C22:CW251,99,0)</f>
        <v>1831</v>
      </c>
      <c r="C27" s="90">
        <f>VLOOKUP(A27,'Data Vlaue (Cr)'!C22:CY251,101,0)</f>
        <v>-644</v>
      </c>
      <c r="D27" s="139">
        <f>VLOOKUP(A27,'Data Vlaue (Cr)'!C22:CZ251,102,0)</f>
        <v>-0.2601</v>
      </c>
      <c r="E27" s="91">
        <f>VLOOKUP($A27,'Data Vlaue (Cr)'!$C:$FB,75)</f>
        <v>1407</v>
      </c>
      <c r="F27" s="91">
        <f>VLOOKUP($A27,'Data Vlaue (Cr)'!$C:$FB,77)</f>
        <v>-8</v>
      </c>
      <c r="G27" s="92">
        <f>VLOOKUP(A27,'Data Vlaue (Cr)'!C22:CB251,78,0)</f>
        <v>-5.4999999999999997E-3</v>
      </c>
      <c r="H27" s="91">
        <f>VLOOKUP($A27,'Data Vlaue (Cr)'!$C:$FB,91)</f>
        <v>226</v>
      </c>
      <c r="I27" s="91">
        <f>VLOOKUP($A27,'Data Vlaue (Cr)'!$C:$FB,93)</f>
        <v>-429</v>
      </c>
      <c r="J27" s="92">
        <f>VLOOKUP($A27,'Data Vlaue (Cr)'!$C:$FB,94)</f>
        <v>-0.65490000000000004</v>
      </c>
      <c r="K27" s="91">
        <f>VLOOKUP($A27,'Data Vlaue (Cr)'!$C:$FB,95)</f>
        <v>197</v>
      </c>
      <c r="L27" s="91">
        <f>VLOOKUP($A27,'Data Vlaue (Cr)'!$C:$FB,97)</f>
        <v>-207</v>
      </c>
      <c r="M27" s="92">
        <f>VLOOKUP($A27,'Data Vlaue (Cr)'!$C:$FB,98)</f>
        <v>-0.51139999999999997</v>
      </c>
      <c r="N27" s="91">
        <f>VLOOKUP($A27,'Data Vlaue (Cr)'!$C:$FB,79)</f>
        <v>59</v>
      </c>
      <c r="O27" s="92">
        <f>VLOOKUP($A27,'Data Vlaue (Cr)'!$C:$FB,82)</f>
        <v>-0.75819999999999999</v>
      </c>
    </row>
    <row r="28" spans="1:15" x14ac:dyDescent="0.25">
      <c r="A28" s="97" t="str">
        <f>'Data Vlaue (Cr)'!C23</f>
        <v>AUROPHARMA</v>
      </c>
      <c r="B28" s="142">
        <f>VLOOKUP(A28,'Data Vlaue (Cr)'!C23:CW252,99,0)</f>
        <v>2466</v>
      </c>
      <c r="C28" s="90">
        <f>VLOOKUP(A28,'Data Vlaue (Cr)'!C23:CY252,101,0)</f>
        <v>-608</v>
      </c>
      <c r="D28" s="139">
        <f>VLOOKUP(A28,'Data Vlaue (Cr)'!C23:CZ252,102,0)</f>
        <v>-0.19769999999999999</v>
      </c>
      <c r="E28" s="91">
        <f>VLOOKUP($A28,'Data Vlaue (Cr)'!$C:$FB,75)</f>
        <v>2129</v>
      </c>
      <c r="F28" s="91">
        <f>VLOOKUP($A28,'Data Vlaue (Cr)'!$C:$FB,77)</f>
        <v>-207</v>
      </c>
      <c r="G28" s="92">
        <f>VLOOKUP(A28,'Data Vlaue (Cr)'!C23:CB252,78,0)</f>
        <v>-8.8700000000000001E-2</v>
      </c>
      <c r="H28" s="91">
        <f>VLOOKUP($A28,'Data Vlaue (Cr)'!$C:$FB,91)</f>
        <v>157</v>
      </c>
      <c r="I28" s="91">
        <f>VLOOKUP($A28,'Data Vlaue (Cr)'!$C:$FB,93)</f>
        <v>-243</v>
      </c>
      <c r="J28" s="92">
        <f>VLOOKUP($A28,'Data Vlaue (Cr)'!$C:$FB,94)</f>
        <v>-0.60750000000000004</v>
      </c>
      <c r="K28" s="91">
        <f>VLOOKUP($A28,'Data Vlaue (Cr)'!$C:$FB,95)</f>
        <v>180</v>
      </c>
      <c r="L28" s="91">
        <f>VLOOKUP($A28,'Data Vlaue (Cr)'!$C:$FB,97)</f>
        <v>-157</v>
      </c>
      <c r="M28" s="92">
        <f>VLOOKUP($A28,'Data Vlaue (Cr)'!$C:$FB,98)</f>
        <v>-0.4662</v>
      </c>
      <c r="N28" s="91">
        <f>VLOOKUP($A28,'Data Vlaue (Cr)'!$C:$FB,79)</f>
        <v>224</v>
      </c>
      <c r="O28" s="92">
        <f>VLOOKUP($A28,'Data Vlaue (Cr)'!$C:$FB,82)</f>
        <v>-0.45550000000000002</v>
      </c>
    </row>
    <row r="29" spans="1:15" x14ac:dyDescent="0.25">
      <c r="A29" s="97" t="str">
        <f>'Data Vlaue (Cr)'!C24</f>
        <v>AXISBANK</v>
      </c>
      <c r="B29" s="142">
        <f>VLOOKUP(A29,'Data Vlaue (Cr)'!C24:CW253,99,0)</f>
        <v>12779</v>
      </c>
      <c r="C29" s="90">
        <f>VLOOKUP(A29,'Data Vlaue (Cr)'!C24:CY253,101,0)</f>
        <v>-4385</v>
      </c>
      <c r="D29" s="139">
        <f>VLOOKUP(A29,'Data Vlaue (Cr)'!C24:CZ253,102,0)</f>
        <v>-0.2555</v>
      </c>
      <c r="E29" s="91">
        <f>VLOOKUP($A29,'Data Vlaue (Cr)'!$C:$FB,75)</f>
        <v>10435</v>
      </c>
      <c r="F29" s="91">
        <f>VLOOKUP($A29,'Data Vlaue (Cr)'!$C:$FB,77)</f>
        <v>-7</v>
      </c>
      <c r="G29" s="92">
        <f>VLOOKUP(A29,'Data Vlaue (Cr)'!C24:CB253,78,0)</f>
        <v>-6.9999999999999999E-4</v>
      </c>
      <c r="H29" s="91">
        <f>VLOOKUP($A29,'Data Vlaue (Cr)'!$C:$FB,91)</f>
        <v>1464</v>
      </c>
      <c r="I29" s="91">
        <f>VLOOKUP($A29,'Data Vlaue (Cr)'!$C:$FB,93)</f>
        <v>-3350</v>
      </c>
      <c r="J29" s="92">
        <f>VLOOKUP($A29,'Data Vlaue (Cr)'!$C:$FB,94)</f>
        <v>-0.69579999999999997</v>
      </c>
      <c r="K29" s="91">
        <f>VLOOKUP($A29,'Data Vlaue (Cr)'!$C:$FB,95)</f>
        <v>880</v>
      </c>
      <c r="L29" s="91">
        <f>VLOOKUP($A29,'Data Vlaue (Cr)'!$C:$FB,97)</f>
        <v>-1029</v>
      </c>
      <c r="M29" s="92">
        <f>VLOOKUP($A29,'Data Vlaue (Cr)'!$C:$FB,98)</f>
        <v>-0.53900000000000003</v>
      </c>
      <c r="N29" s="91">
        <f>VLOOKUP($A29,'Data Vlaue (Cr)'!$C:$FB,79)</f>
        <v>353</v>
      </c>
      <c r="O29" s="92">
        <f>VLOOKUP($A29,'Data Vlaue (Cr)'!$C:$FB,82)</f>
        <v>-0.68089999999999995</v>
      </c>
    </row>
    <row r="30" spans="1:15" x14ac:dyDescent="0.25">
      <c r="A30" s="97" t="str">
        <f>'Data Vlaue (Cr)'!C25</f>
        <v>BAJAJ-AUTO</v>
      </c>
      <c r="B30" s="142">
        <f>VLOOKUP(A30,'Data Vlaue (Cr)'!C25:CW254,99,0)</f>
        <v>2897</v>
      </c>
      <c r="C30" s="90">
        <f>VLOOKUP(A30,'Data Vlaue (Cr)'!C25:CY254,101,0)</f>
        <v>-1300</v>
      </c>
      <c r="D30" s="139">
        <f>VLOOKUP(A30,'Data Vlaue (Cr)'!C25:CZ254,102,0)</f>
        <v>-0.30969999999999998</v>
      </c>
      <c r="E30" s="91">
        <f>VLOOKUP($A30,'Data Vlaue (Cr)'!$C:$FB,75)</f>
        <v>2204</v>
      </c>
      <c r="F30" s="91">
        <f>VLOOKUP($A30,'Data Vlaue (Cr)'!$C:$FB,77)</f>
        <v>-132</v>
      </c>
      <c r="G30" s="92">
        <f>VLOOKUP(A30,'Data Vlaue (Cr)'!C25:CB254,78,0)</f>
        <v>-5.6500000000000002E-2</v>
      </c>
      <c r="H30" s="91">
        <f>VLOOKUP($A30,'Data Vlaue (Cr)'!$C:$FB,91)</f>
        <v>358</v>
      </c>
      <c r="I30" s="91">
        <f>VLOOKUP($A30,'Data Vlaue (Cr)'!$C:$FB,93)</f>
        <v>-765</v>
      </c>
      <c r="J30" s="92">
        <f>VLOOKUP($A30,'Data Vlaue (Cr)'!$C:$FB,94)</f>
        <v>-0.68140000000000001</v>
      </c>
      <c r="K30" s="91">
        <f>VLOOKUP($A30,'Data Vlaue (Cr)'!$C:$FB,95)</f>
        <v>336</v>
      </c>
      <c r="L30" s="91">
        <f>VLOOKUP($A30,'Data Vlaue (Cr)'!$C:$FB,97)</f>
        <v>-403</v>
      </c>
      <c r="M30" s="92">
        <f>VLOOKUP($A30,'Data Vlaue (Cr)'!$C:$FB,98)</f>
        <v>-0.54549999999999998</v>
      </c>
      <c r="N30" s="91">
        <f>VLOOKUP($A30,'Data Vlaue (Cr)'!$C:$FB,79)</f>
        <v>178</v>
      </c>
      <c r="O30" s="92">
        <f>VLOOKUP($A30,'Data Vlaue (Cr)'!$C:$FB,82)</f>
        <v>-0.55179999999999996</v>
      </c>
    </row>
    <row r="31" spans="1:15" x14ac:dyDescent="0.25">
      <c r="A31" s="97" t="str">
        <f>'Data Vlaue (Cr)'!C26</f>
        <v>BAJAJFINSV</v>
      </c>
      <c r="B31" s="142">
        <f>VLOOKUP(A31,'Data Vlaue (Cr)'!C26:CW255,99,0)</f>
        <v>4219</v>
      </c>
      <c r="C31" s="90">
        <f>VLOOKUP(A31,'Data Vlaue (Cr)'!C26:CY255,101,0)</f>
        <v>-1853</v>
      </c>
      <c r="D31" s="139">
        <f>VLOOKUP(A31,'Data Vlaue (Cr)'!C26:CZ255,102,0)</f>
        <v>-0.30520000000000003</v>
      </c>
      <c r="E31" s="91">
        <f>VLOOKUP($A31,'Data Vlaue (Cr)'!$C:$FB,75)</f>
        <v>3173</v>
      </c>
      <c r="F31" s="91">
        <f>VLOOKUP($A31,'Data Vlaue (Cr)'!$C:$FB,77)</f>
        <v>-62</v>
      </c>
      <c r="G31" s="92">
        <f>VLOOKUP(A31,'Data Vlaue (Cr)'!C26:CB255,78,0)</f>
        <v>-1.9099999999999999E-2</v>
      </c>
      <c r="H31" s="91">
        <f>VLOOKUP($A31,'Data Vlaue (Cr)'!$C:$FB,91)</f>
        <v>643</v>
      </c>
      <c r="I31" s="91">
        <f>VLOOKUP($A31,'Data Vlaue (Cr)'!$C:$FB,93)</f>
        <v>-1325</v>
      </c>
      <c r="J31" s="92">
        <f>VLOOKUP($A31,'Data Vlaue (Cr)'!$C:$FB,94)</f>
        <v>-0.67320000000000002</v>
      </c>
      <c r="K31" s="91">
        <f>VLOOKUP($A31,'Data Vlaue (Cr)'!$C:$FB,95)</f>
        <v>403</v>
      </c>
      <c r="L31" s="91">
        <f>VLOOKUP($A31,'Data Vlaue (Cr)'!$C:$FB,97)</f>
        <v>-467</v>
      </c>
      <c r="M31" s="92">
        <f>VLOOKUP($A31,'Data Vlaue (Cr)'!$C:$FB,98)</f>
        <v>-0.53680000000000005</v>
      </c>
      <c r="N31" s="91">
        <f>VLOOKUP($A31,'Data Vlaue (Cr)'!$C:$FB,79)</f>
        <v>194</v>
      </c>
      <c r="O31" s="92">
        <f>VLOOKUP($A31,'Data Vlaue (Cr)'!$C:$FB,82)</f>
        <v>-0.5978</v>
      </c>
    </row>
    <row r="32" spans="1:15" x14ac:dyDescent="0.25">
      <c r="A32" s="97" t="str">
        <f>'Data Vlaue (Cr)'!C27</f>
        <v>BAJFINANCE</v>
      </c>
      <c r="B32" s="142">
        <f>VLOOKUP(A32,'Data Vlaue (Cr)'!C27:CW256,99,0)</f>
        <v>10685</v>
      </c>
      <c r="C32" s="90">
        <f>VLOOKUP(A32,'Data Vlaue (Cr)'!C27:CY256,101,0)</f>
        <v>-2116</v>
      </c>
      <c r="D32" s="139">
        <f>VLOOKUP(A32,'Data Vlaue (Cr)'!C27:CZ256,102,0)</f>
        <v>-0.1653</v>
      </c>
      <c r="E32" s="91">
        <f>VLOOKUP($A32,'Data Vlaue (Cr)'!$C:$FB,75)</f>
        <v>8209</v>
      </c>
      <c r="F32" s="91">
        <f>VLOOKUP($A32,'Data Vlaue (Cr)'!$C:$FB,77)</f>
        <v>-186</v>
      </c>
      <c r="G32" s="92">
        <f>VLOOKUP(A32,'Data Vlaue (Cr)'!C27:CB256,78,0)</f>
        <v>-2.2100000000000002E-2</v>
      </c>
      <c r="H32" s="91">
        <f>VLOOKUP($A32,'Data Vlaue (Cr)'!$C:$FB,91)</f>
        <v>1602</v>
      </c>
      <c r="I32" s="91">
        <f>VLOOKUP($A32,'Data Vlaue (Cr)'!$C:$FB,93)</f>
        <v>-1319</v>
      </c>
      <c r="J32" s="92">
        <f>VLOOKUP($A32,'Data Vlaue (Cr)'!$C:$FB,94)</f>
        <v>-0.45169999999999999</v>
      </c>
      <c r="K32" s="91">
        <f>VLOOKUP($A32,'Data Vlaue (Cr)'!$C:$FB,95)</f>
        <v>874</v>
      </c>
      <c r="L32" s="91">
        <f>VLOOKUP($A32,'Data Vlaue (Cr)'!$C:$FB,97)</f>
        <v>-611</v>
      </c>
      <c r="M32" s="92">
        <f>VLOOKUP($A32,'Data Vlaue (Cr)'!$C:$FB,98)</f>
        <v>-0.41149999999999998</v>
      </c>
      <c r="N32" s="91">
        <f>VLOOKUP($A32,'Data Vlaue (Cr)'!$C:$FB,79)</f>
        <v>244</v>
      </c>
      <c r="O32" s="92">
        <f>VLOOKUP($A32,'Data Vlaue (Cr)'!$C:$FB,82)</f>
        <v>-0.80210000000000004</v>
      </c>
    </row>
    <row r="33" spans="1:15" x14ac:dyDescent="0.25">
      <c r="A33" s="97" t="str">
        <f>'Data Vlaue (Cr)'!C28</f>
        <v>BALKRISIND</v>
      </c>
      <c r="B33" s="142">
        <f>VLOOKUP(A33,'Data Vlaue (Cr)'!C28:CW257,99,0)</f>
        <v>0</v>
      </c>
      <c r="C33" s="90">
        <f>VLOOKUP(A33,'Data Vlaue (Cr)'!C28:CY257,101,0)</f>
        <v>0</v>
      </c>
      <c r="D33" s="139">
        <f>VLOOKUP(A33,'Data Vlaue (Cr)'!C28:CZ257,102,0)</f>
        <v>-0.4632</v>
      </c>
      <c r="E33" s="91">
        <f>VLOOKUP($A33,'Data Vlaue (Cr)'!$C:$FB,75)</f>
        <v>0</v>
      </c>
      <c r="F33" s="91">
        <f>VLOOKUP($A33,'Data Vlaue (Cr)'!$C:$FB,77)</f>
        <v>0</v>
      </c>
      <c r="G33" s="92">
        <f>VLOOKUP(A33,'Data Vlaue (Cr)'!C28:CB257,78,0)</f>
        <v>-1</v>
      </c>
      <c r="H33" s="91">
        <f>VLOOKUP($A33,'Data Vlaue (Cr)'!$C:$FB,91)</f>
        <v>0</v>
      </c>
      <c r="I33" s="91">
        <f>VLOOKUP($A33,'Data Vlaue (Cr)'!$C:$FB,93)</f>
        <v>0</v>
      </c>
      <c r="J33" s="92">
        <f>VLOOKUP($A33,'Data Vlaue (Cr)'!$C:$FB,94)</f>
        <v>-0.20180000000000001</v>
      </c>
      <c r="K33" s="91">
        <f>VLOOKUP($A33,'Data Vlaue (Cr)'!$C:$FB,95)</f>
        <v>0</v>
      </c>
      <c r="L33" s="91">
        <f>VLOOKUP($A33,'Data Vlaue (Cr)'!$C:$FB,97)</f>
        <v>0</v>
      </c>
      <c r="M33" s="92">
        <f>VLOOKUP($A33,'Data Vlaue (Cr)'!$C:$FB,98)</f>
        <v>-0.27279999999999999</v>
      </c>
      <c r="N33" s="91">
        <f>VLOOKUP($A33,'Data Vlaue (Cr)'!$C:$FB,79)</f>
        <v>0</v>
      </c>
      <c r="O33" s="92">
        <f>VLOOKUP($A33,'Data Vlaue (Cr)'!$C:$FB,82)</f>
        <v>-0.15210000000000001</v>
      </c>
    </row>
    <row r="34" spans="1:15" x14ac:dyDescent="0.25">
      <c r="A34" s="97" t="str">
        <f>'Data Vlaue (Cr)'!C29</f>
        <v>BANDHANBNK</v>
      </c>
      <c r="B34" s="142">
        <f>VLOOKUP(A34,'Data Vlaue (Cr)'!C29:CW258,99,0)</f>
        <v>1798</v>
      </c>
      <c r="C34" s="90">
        <f>VLOOKUP(A34,'Data Vlaue (Cr)'!C29:CY258,101,0)</f>
        <v>-636</v>
      </c>
      <c r="D34" s="139">
        <f>VLOOKUP(A34,'Data Vlaue (Cr)'!C29:CZ258,102,0)</f>
        <v>-0.26140000000000002</v>
      </c>
      <c r="E34" s="91">
        <f>VLOOKUP($A34,'Data Vlaue (Cr)'!$C:$FB,75)</f>
        <v>1375</v>
      </c>
      <c r="F34" s="91">
        <f>VLOOKUP($A34,'Data Vlaue (Cr)'!$C:$FB,77)</f>
        <v>-60</v>
      </c>
      <c r="G34" s="92">
        <f>VLOOKUP(A34,'Data Vlaue (Cr)'!C29:CB258,78,0)</f>
        <v>-4.1700000000000001E-2</v>
      </c>
      <c r="H34" s="91">
        <f>VLOOKUP($A34,'Data Vlaue (Cr)'!$C:$FB,91)</f>
        <v>234</v>
      </c>
      <c r="I34" s="91">
        <f>VLOOKUP($A34,'Data Vlaue (Cr)'!$C:$FB,93)</f>
        <v>-421</v>
      </c>
      <c r="J34" s="92">
        <f>VLOOKUP($A34,'Data Vlaue (Cr)'!$C:$FB,94)</f>
        <v>-0.64219999999999999</v>
      </c>
      <c r="K34" s="91">
        <f>VLOOKUP($A34,'Data Vlaue (Cr)'!$C:$FB,95)</f>
        <v>188</v>
      </c>
      <c r="L34" s="91">
        <f>VLOOKUP($A34,'Data Vlaue (Cr)'!$C:$FB,97)</f>
        <v>-156</v>
      </c>
      <c r="M34" s="92">
        <f>VLOOKUP($A34,'Data Vlaue (Cr)'!$C:$FB,98)</f>
        <v>-0.45300000000000001</v>
      </c>
      <c r="N34" s="91">
        <f>VLOOKUP($A34,'Data Vlaue (Cr)'!$C:$FB,79)</f>
        <v>51</v>
      </c>
      <c r="O34" s="92">
        <f>VLOOKUP($A34,'Data Vlaue (Cr)'!$C:$FB,82)</f>
        <v>-0.79149999999999998</v>
      </c>
    </row>
    <row r="35" spans="1:15" x14ac:dyDescent="0.25">
      <c r="A35" s="97" t="str">
        <f>'Data Vlaue (Cr)'!C30</f>
        <v>BANKBARODA</v>
      </c>
      <c r="B35" s="142">
        <f>VLOOKUP(A35,'Data Vlaue (Cr)'!C30:CW259,99,0)</f>
        <v>3622</v>
      </c>
      <c r="C35" s="90">
        <f>VLOOKUP(A35,'Data Vlaue (Cr)'!C30:CY259,101,0)</f>
        <v>-1013</v>
      </c>
      <c r="D35" s="139">
        <f>VLOOKUP(A35,'Data Vlaue (Cr)'!C30:CZ259,102,0)</f>
        <v>-0.2185</v>
      </c>
      <c r="E35" s="91">
        <f>VLOOKUP($A35,'Data Vlaue (Cr)'!$C:$FB,75)</f>
        <v>2481</v>
      </c>
      <c r="F35" s="91">
        <f>VLOOKUP($A35,'Data Vlaue (Cr)'!$C:$FB,77)</f>
        <v>-85</v>
      </c>
      <c r="G35" s="92">
        <f>VLOOKUP(A35,'Data Vlaue (Cr)'!C30:CB259,78,0)</f>
        <v>-3.32E-2</v>
      </c>
      <c r="H35" s="91">
        <f>VLOOKUP($A35,'Data Vlaue (Cr)'!$C:$FB,91)</f>
        <v>565</v>
      </c>
      <c r="I35" s="91">
        <f>VLOOKUP($A35,'Data Vlaue (Cr)'!$C:$FB,93)</f>
        <v>-534</v>
      </c>
      <c r="J35" s="92">
        <f>VLOOKUP($A35,'Data Vlaue (Cr)'!$C:$FB,94)</f>
        <v>-0.48580000000000001</v>
      </c>
      <c r="K35" s="91">
        <f>VLOOKUP($A35,'Data Vlaue (Cr)'!$C:$FB,95)</f>
        <v>577</v>
      </c>
      <c r="L35" s="91">
        <f>VLOOKUP($A35,'Data Vlaue (Cr)'!$C:$FB,97)</f>
        <v>-394</v>
      </c>
      <c r="M35" s="92">
        <f>VLOOKUP($A35,'Data Vlaue (Cr)'!$C:$FB,98)</f>
        <v>-0.40579999999999999</v>
      </c>
      <c r="N35" s="91">
        <f>VLOOKUP($A35,'Data Vlaue (Cr)'!$C:$FB,79)</f>
        <v>130</v>
      </c>
      <c r="O35" s="92">
        <f>VLOOKUP($A35,'Data Vlaue (Cr)'!$C:$FB,82)</f>
        <v>-0.66990000000000005</v>
      </c>
    </row>
    <row r="36" spans="1:15" x14ac:dyDescent="0.25">
      <c r="A36" s="97" t="str">
        <f>'Data Vlaue (Cr)'!C31</f>
        <v>BANKINDIA</v>
      </c>
      <c r="B36" s="142">
        <f>VLOOKUP(A36,'Data Vlaue (Cr)'!C31:CW260,99,0)</f>
        <v>958</v>
      </c>
      <c r="C36" s="90">
        <f>VLOOKUP(A36,'Data Vlaue (Cr)'!C31:CY260,101,0)</f>
        <v>-383</v>
      </c>
      <c r="D36" s="139">
        <f>VLOOKUP(A36,'Data Vlaue (Cr)'!C31:CZ260,102,0)</f>
        <v>-0.28560000000000002</v>
      </c>
      <c r="E36" s="91">
        <f>VLOOKUP($A36,'Data Vlaue (Cr)'!$C:$FB,75)</f>
        <v>718</v>
      </c>
      <c r="F36" s="91">
        <f>VLOOKUP($A36,'Data Vlaue (Cr)'!$C:$FB,77)</f>
        <v>7</v>
      </c>
      <c r="G36" s="92">
        <f>VLOOKUP(A36,'Data Vlaue (Cr)'!C31:CB260,78,0)</f>
        <v>9.1999999999999998E-3</v>
      </c>
      <c r="H36" s="91">
        <f>VLOOKUP($A36,'Data Vlaue (Cr)'!$C:$FB,91)</f>
        <v>133</v>
      </c>
      <c r="I36" s="91">
        <f>VLOOKUP($A36,'Data Vlaue (Cr)'!$C:$FB,93)</f>
        <v>-256</v>
      </c>
      <c r="J36" s="92">
        <f>VLOOKUP($A36,'Data Vlaue (Cr)'!$C:$FB,94)</f>
        <v>-0.65780000000000005</v>
      </c>
      <c r="K36" s="91">
        <f>VLOOKUP($A36,'Data Vlaue (Cr)'!$C:$FB,95)</f>
        <v>107</v>
      </c>
      <c r="L36" s="91">
        <f>VLOOKUP($A36,'Data Vlaue (Cr)'!$C:$FB,97)</f>
        <v>-134</v>
      </c>
      <c r="M36" s="92">
        <f>VLOOKUP($A36,'Data Vlaue (Cr)'!$C:$FB,98)</f>
        <v>-0.55659999999999998</v>
      </c>
      <c r="N36" s="91">
        <f>VLOOKUP($A36,'Data Vlaue (Cr)'!$C:$FB,79)</f>
        <v>31</v>
      </c>
      <c r="O36" s="92">
        <f>VLOOKUP($A36,'Data Vlaue (Cr)'!$C:$FB,82)</f>
        <v>-0.79259999999999997</v>
      </c>
    </row>
    <row r="37" spans="1:15" x14ac:dyDescent="0.25">
      <c r="A37" s="97" t="str">
        <f>'Data Vlaue (Cr)'!C32</f>
        <v>BANKNIFTY</v>
      </c>
      <c r="B37" s="142">
        <f>VLOOKUP(A37,'Data Vlaue (Cr)'!C32:CW261,99,0)</f>
        <v>117089</v>
      </c>
      <c r="C37" s="90">
        <f>VLOOKUP(A37,'Data Vlaue (Cr)'!C32:CY261,101,0)</f>
        <v>-229405</v>
      </c>
      <c r="D37" s="139">
        <f>VLOOKUP(A37,'Data Vlaue (Cr)'!C32:CZ261,102,0)</f>
        <v>-0.66210000000000002</v>
      </c>
      <c r="E37" s="91">
        <f>VLOOKUP($A37,'Data Vlaue (Cr)'!$C:$FB,75)</f>
        <v>10989</v>
      </c>
      <c r="F37" s="91">
        <f>VLOOKUP($A37,'Data Vlaue (Cr)'!$C:$FB,77)</f>
        <v>-3711</v>
      </c>
      <c r="G37" s="92">
        <f>VLOOKUP(A37,'Data Vlaue (Cr)'!C32:CB261,78,0)</f>
        <v>-0.25240000000000001</v>
      </c>
      <c r="H37" s="91">
        <f>VLOOKUP($A37,'Data Vlaue (Cr)'!$C:$FB,91)</f>
        <v>53744</v>
      </c>
      <c r="I37" s="91">
        <f>VLOOKUP($A37,'Data Vlaue (Cr)'!$C:$FB,93)</f>
        <v>-143492</v>
      </c>
      <c r="J37" s="92">
        <f>VLOOKUP($A37,'Data Vlaue (Cr)'!$C:$FB,94)</f>
        <v>-0.72750000000000004</v>
      </c>
      <c r="K37" s="91">
        <f>VLOOKUP($A37,'Data Vlaue (Cr)'!$C:$FB,95)</f>
        <v>52356</v>
      </c>
      <c r="L37" s="91">
        <f>VLOOKUP($A37,'Data Vlaue (Cr)'!$C:$FB,97)</f>
        <v>-82203</v>
      </c>
      <c r="M37" s="92">
        <f>VLOOKUP($A37,'Data Vlaue (Cr)'!$C:$FB,98)</f>
        <v>-0.6109</v>
      </c>
      <c r="N37" s="91">
        <f>VLOOKUP($A37,'Data Vlaue (Cr)'!$C:$FB,79)</f>
        <v>3103</v>
      </c>
      <c r="O37" s="92">
        <f>VLOOKUP($A37,'Data Vlaue (Cr)'!$C:$FB,82)</f>
        <v>-0.50509999999999999</v>
      </c>
    </row>
    <row r="38" spans="1:15" x14ac:dyDescent="0.25">
      <c r="A38" s="97" t="str">
        <f>'Data Vlaue (Cr)'!C33</f>
        <v>BDL</v>
      </c>
      <c r="B38" s="142">
        <f>VLOOKUP(A38,'Data Vlaue (Cr)'!C33:CW262,99,0)</f>
        <v>936</v>
      </c>
      <c r="C38" s="90">
        <f>VLOOKUP(A38,'Data Vlaue (Cr)'!C33:CY262,101,0)</f>
        <v>-668</v>
      </c>
      <c r="D38" s="139">
        <f>VLOOKUP(A38,'Data Vlaue (Cr)'!C33:CZ262,102,0)</f>
        <v>-0.41639999999999999</v>
      </c>
      <c r="E38" s="91">
        <f>VLOOKUP($A38,'Data Vlaue (Cr)'!$C:$FB,75)</f>
        <v>631</v>
      </c>
      <c r="F38" s="91">
        <f>VLOOKUP($A38,'Data Vlaue (Cr)'!$C:$FB,77)</f>
        <v>-54</v>
      </c>
      <c r="G38" s="92">
        <f>VLOOKUP(A38,'Data Vlaue (Cr)'!C33:CB262,78,0)</f>
        <v>-7.9200000000000007E-2</v>
      </c>
      <c r="H38" s="91">
        <f>VLOOKUP($A38,'Data Vlaue (Cr)'!$C:$FB,91)</f>
        <v>179</v>
      </c>
      <c r="I38" s="91">
        <f>VLOOKUP($A38,'Data Vlaue (Cr)'!$C:$FB,93)</f>
        <v>-466</v>
      </c>
      <c r="J38" s="92">
        <f>VLOOKUP($A38,'Data Vlaue (Cr)'!$C:$FB,94)</f>
        <v>-0.72240000000000004</v>
      </c>
      <c r="K38" s="91">
        <f>VLOOKUP($A38,'Data Vlaue (Cr)'!$C:$FB,95)</f>
        <v>126</v>
      </c>
      <c r="L38" s="91">
        <f>VLOOKUP($A38,'Data Vlaue (Cr)'!$C:$FB,97)</f>
        <v>-148</v>
      </c>
      <c r="M38" s="92">
        <f>VLOOKUP($A38,'Data Vlaue (Cr)'!$C:$FB,98)</f>
        <v>-0.5403</v>
      </c>
      <c r="N38" s="91">
        <f>VLOOKUP($A38,'Data Vlaue (Cr)'!$C:$FB,79)</f>
        <v>51</v>
      </c>
      <c r="O38" s="92">
        <f>VLOOKUP($A38,'Data Vlaue (Cr)'!$C:$FB,82)</f>
        <v>-0.69940000000000002</v>
      </c>
    </row>
    <row r="39" spans="1:15" x14ac:dyDescent="0.25">
      <c r="A39" s="97" t="str">
        <f>'Data Vlaue (Cr)'!C34</f>
        <v>BEL</v>
      </c>
      <c r="B39" s="142">
        <f>VLOOKUP(A39,'Data Vlaue (Cr)'!C34:CW263,99,0)</f>
        <v>7452</v>
      </c>
      <c r="C39" s="90">
        <f>VLOOKUP(A39,'Data Vlaue (Cr)'!C34:CY263,101,0)</f>
        <v>-3231</v>
      </c>
      <c r="D39" s="139">
        <f>VLOOKUP(A39,'Data Vlaue (Cr)'!C34:CZ263,102,0)</f>
        <v>-0.30249999999999999</v>
      </c>
      <c r="E39" s="91">
        <f>VLOOKUP($A39,'Data Vlaue (Cr)'!$C:$FB,75)</f>
        <v>4549</v>
      </c>
      <c r="F39" s="91">
        <f>VLOOKUP($A39,'Data Vlaue (Cr)'!$C:$FB,77)</f>
        <v>-290</v>
      </c>
      <c r="G39" s="92">
        <f>VLOOKUP(A39,'Data Vlaue (Cr)'!C34:CB263,78,0)</f>
        <v>-0.06</v>
      </c>
      <c r="H39" s="91">
        <f>VLOOKUP($A39,'Data Vlaue (Cr)'!$C:$FB,91)</f>
        <v>1707</v>
      </c>
      <c r="I39" s="91">
        <f>VLOOKUP($A39,'Data Vlaue (Cr)'!$C:$FB,93)</f>
        <v>-2127</v>
      </c>
      <c r="J39" s="92">
        <f>VLOOKUP($A39,'Data Vlaue (Cr)'!$C:$FB,94)</f>
        <v>-0.55479999999999996</v>
      </c>
      <c r="K39" s="91">
        <f>VLOOKUP($A39,'Data Vlaue (Cr)'!$C:$FB,95)</f>
        <v>1196</v>
      </c>
      <c r="L39" s="91">
        <f>VLOOKUP($A39,'Data Vlaue (Cr)'!$C:$FB,97)</f>
        <v>-814</v>
      </c>
      <c r="M39" s="92">
        <f>VLOOKUP($A39,'Data Vlaue (Cr)'!$C:$FB,98)</f>
        <v>-0.40500000000000003</v>
      </c>
      <c r="N39" s="91">
        <f>VLOOKUP($A39,'Data Vlaue (Cr)'!$C:$FB,79)</f>
        <v>319</v>
      </c>
      <c r="O39" s="92">
        <f>VLOOKUP($A39,'Data Vlaue (Cr)'!$C:$FB,82)</f>
        <v>-0.67330000000000001</v>
      </c>
    </row>
    <row r="40" spans="1:15" x14ac:dyDescent="0.25">
      <c r="A40" s="97" t="str">
        <f>'Data Vlaue (Cr)'!C35</f>
        <v>BHARATFORG</v>
      </c>
      <c r="B40" s="142">
        <f>VLOOKUP(A40,'Data Vlaue (Cr)'!C35:CW264,99,0)</f>
        <v>1697</v>
      </c>
      <c r="C40" s="90">
        <f>VLOOKUP(A40,'Data Vlaue (Cr)'!C35:CY264,101,0)</f>
        <v>-460</v>
      </c>
      <c r="D40" s="139">
        <f>VLOOKUP(A40,'Data Vlaue (Cr)'!C35:CZ264,102,0)</f>
        <v>-0.21329999999999999</v>
      </c>
      <c r="E40" s="91">
        <f>VLOOKUP($A40,'Data Vlaue (Cr)'!$C:$FB,75)</f>
        <v>1311</v>
      </c>
      <c r="F40" s="91">
        <f>VLOOKUP($A40,'Data Vlaue (Cr)'!$C:$FB,77)</f>
        <v>-92</v>
      </c>
      <c r="G40" s="92">
        <f>VLOOKUP(A40,'Data Vlaue (Cr)'!C35:CB264,78,0)</f>
        <v>-6.54E-2</v>
      </c>
      <c r="H40" s="91">
        <f>VLOOKUP($A40,'Data Vlaue (Cr)'!$C:$FB,91)</f>
        <v>178</v>
      </c>
      <c r="I40" s="91">
        <f>VLOOKUP($A40,'Data Vlaue (Cr)'!$C:$FB,93)</f>
        <v>-269</v>
      </c>
      <c r="J40" s="92">
        <f>VLOOKUP($A40,'Data Vlaue (Cr)'!$C:$FB,94)</f>
        <v>-0.60160000000000002</v>
      </c>
      <c r="K40" s="91">
        <f>VLOOKUP($A40,'Data Vlaue (Cr)'!$C:$FB,95)</f>
        <v>208</v>
      </c>
      <c r="L40" s="91">
        <f>VLOOKUP($A40,'Data Vlaue (Cr)'!$C:$FB,97)</f>
        <v>-100</v>
      </c>
      <c r="M40" s="92">
        <f>VLOOKUP($A40,'Data Vlaue (Cr)'!$C:$FB,98)</f>
        <v>-0.32390000000000002</v>
      </c>
      <c r="N40" s="91">
        <f>VLOOKUP($A40,'Data Vlaue (Cr)'!$C:$FB,79)</f>
        <v>70</v>
      </c>
      <c r="O40" s="92">
        <f>VLOOKUP($A40,'Data Vlaue (Cr)'!$C:$FB,82)</f>
        <v>-0.68659999999999999</v>
      </c>
    </row>
    <row r="41" spans="1:15" x14ac:dyDescent="0.25">
      <c r="A41" s="97" t="str">
        <f>'Data Vlaue (Cr)'!C36</f>
        <v>BHARTIARTL</v>
      </c>
      <c r="B41" s="142">
        <f>VLOOKUP(A41,'Data Vlaue (Cr)'!C36:CW265,99,0)</f>
        <v>9989</v>
      </c>
      <c r="C41" s="90">
        <f>VLOOKUP(A41,'Data Vlaue (Cr)'!C36:CY265,101,0)</f>
        <v>-3893</v>
      </c>
      <c r="D41" s="139">
        <f>VLOOKUP(A41,'Data Vlaue (Cr)'!C36:CZ265,102,0)</f>
        <v>-0.28039999999999998</v>
      </c>
      <c r="E41" s="91">
        <f>VLOOKUP($A41,'Data Vlaue (Cr)'!$C:$FB,75)</f>
        <v>8562</v>
      </c>
      <c r="F41" s="91">
        <f>VLOOKUP($A41,'Data Vlaue (Cr)'!$C:$FB,77)</f>
        <v>-598</v>
      </c>
      <c r="G41" s="92">
        <f>VLOOKUP(A41,'Data Vlaue (Cr)'!C36:CB265,78,0)</f>
        <v>-6.5199999999999994E-2</v>
      </c>
      <c r="H41" s="91">
        <f>VLOOKUP($A41,'Data Vlaue (Cr)'!$C:$FB,91)</f>
        <v>878</v>
      </c>
      <c r="I41" s="91">
        <f>VLOOKUP($A41,'Data Vlaue (Cr)'!$C:$FB,93)</f>
        <v>-2357</v>
      </c>
      <c r="J41" s="92">
        <f>VLOOKUP($A41,'Data Vlaue (Cr)'!$C:$FB,94)</f>
        <v>-0.72860000000000003</v>
      </c>
      <c r="K41" s="91">
        <f>VLOOKUP($A41,'Data Vlaue (Cr)'!$C:$FB,95)</f>
        <v>549</v>
      </c>
      <c r="L41" s="91">
        <f>VLOOKUP($A41,'Data Vlaue (Cr)'!$C:$FB,97)</f>
        <v>-939</v>
      </c>
      <c r="M41" s="92">
        <f>VLOOKUP($A41,'Data Vlaue (Cr)'!$C:$FB,98)</f>
        <v>-0.63090000000000002</v>
      </c>
      <c r="N41" s="91">
        <f>VLOOKUP($A41,'Data Vlaue (Cr)'!$C:$FB,79)</f>
        <v>675</v>
      </c>
      <c r="O41" s="92">
        <f>VLOOKUP($A41,'Data Vlaue (Cr)'!$C:$FB,82)</f>
        <v>-0.59299999999999997</v>
      </c>
    </row>
    <row r="42" spans="1:15" x14ac:dyDescent="0.25">
      <c r="A42" s="97" t="str">
        <f>'Data Vlaue (Cr)'!C37</f>
        <v>BHEL</v>
      </c>
      <c r="B42" s="142">
        <f>VLOOKUP(A42,'Data Vlaue (Cr)'!C37:CW266,99,0)</f>
        <v>1841</v>
      </c>
      <c r="C42" s="90">
        <f>VLOOKUP(A42,'Data Vlaue (Cr)'!C37:CY266,101,0)</f>
        <v>-762</v>
      </c>
      <c r="D42" s="139">
        <f>VLOOKUP(A42,'Data Vlaue (Cr)'!C37:CZ266,102,0)</f>
        <v>-0.2928</v>
      </c>
      <c r="E42" s="91">
        <f>VLOOKUP($A42,'Data Vlaue (Cr)'!$C:$FB,75)</f>
        <v>1248</v>
      </c>
      <c r="F42" s="91">
        <f>VLOOKUP($A42,'Data Vlaue (Cr)'!$C:$FB,77)</f>
        <v>-105</v>
      </c>
      <c r="G42" s="92">
        <f>VLOOKUP(A42,'Data Vlaue (Cr)'!C37:CB266,78,0)</f>
        <v>-7.7299999999999994E-2</v>
      </c>
      <c r="H42" s="91">
        <f>VLOOKUP($A42,'Data Vlaue (Cr)'!$C:$FB,91)</f>
        <v>322</v>
      </c>
      <c r="I42" s="91">
        <f>VLOOKUP($A42,'Data Vlaue (Cr)'!$C:$FB,93)</f>
        <v>-479</v>
      </c>
      <c r="J42" s="92">
        <f>VLOOKUP($A42,'Data Vlaue (Cr)'!$C:$FB,94)</f>
        <v>-0.59760000000000002</v>
      </c>
      <c r="K42" s="91">
        <f>VLOOKUP($A42,'Data Vlaue (Cr)'!$C:$FB,95)</f>
        <v>270</v>
      </c>
      <c r="L42" s="91">
        <f>VLOOKUP($A42,'Data Vlaue (Cr)'!$C:$FB,97)</f>
        <v>-179</v>
      </c>
      <c r="M42" s="92">
        <f>VLOOKUP($A42,'Data Vlaue (Cr)'!$C:$FB,98)</f>
        <v>-0.3977</v>
      </c>
      <c r="N42" s="91">
        <f>VLOOKUP($A42,'Data Vlaue (Cr)'!$C:$FB,79)</f>
        <v>87</v>
      </c>
      <c r="O42" s="92">
        <f>VLOOKUP($A42,'Data Vlaue (Cr)'!$C:$FB,82)</f>
        <v>-0.73570000000000002</v>
      </c>
    </row>
    <row r="43" spans="1:15" x14ac:dyDescent="0.25">
      <c r="A43" s="97" t="str">
        <f>'Data Vlaue (Cr)'!C38</f>
        <v>BIOCON</v>
      </c>
      <c r="B43" s="142">
        <f>VLOOKUP(A43,'Data Vlaue (Cr)'!C38:CW267,99,0)</f>
        <v>1979</v>
      </c>
      <c r="C43" s="90">
        <f>VLOOKUP(A43,'Data Vlaue (Cr)'!C38:CY267,101,0)</f>
        <v>-963</v>
      </c>
      <c r="D43" s="139">
        <f>VLOOKUP(A43,'Data Vlaue (Cr)'!C38:CZ267,102,0)</f>
        <v>-0.32740000000000002</v>
      </c>
      <c r="E43" s="91">
        <f>VLOOKUP($A43,'Data Vlaue (Cr)'!$C:$FB,75)</f>
        <v>1477</v>
      </c>
      <c r="F43" s="91">
        <f>VLOOKUP($A43,'Data Vlaue (Cr)'!$C:$FB,77)</f>
        <v>-130</v>
      </c>
      <c r="G43" s="92">
        <f>VLOOKUP(A43,'Data Vlaue (Cr)'!C38:CB267,78,0)</f>
        <v>-8.1100000000000005E-2</v>
      </c>
      <c r="H43" s="91">
        <f>VLOOKUP($A43,'Data Vlaue (Cr)'!$C:$FB,91)</f>
        <v>321</v>
      </c>
      <c r="I43" s="91">
        <f>VLOOKUP($A43,'Data Vlaue (Cr)'!$C:$FB,93)</f>
        <v>-498</v>
      </c>
      <c r="J43" s="92">
        <f>VLOOKUP($A43,'Data Vlaue (Cr)'!$C:$FB,94)</f>
        <v>-0.60780000000000001</v>
      </c>
      <c r="K43" s="91">
        <f>VLOOKUP($A43,'Data Vlaue (Cr)'!$C:$FB,95)</f>
        <v>181</v>
      </c>
      <c r="L43" s="91">
        <f>VLOOKUP($A43,'Data Vlaue (Cr)'!$C:$FB,97)</f>
        <v>-335</v>
      </c>
      <c r="M43" s="92">
        <f>VLOOKUP($A43,'Data Vlaue (Cr)'!$C:$FB,98)</f>
        <v>-0.64939999999999998</v>
      </c>
      <c r="N43" s="91">
        <f>VLOOKUP($A43,'Data Vlaue (Cr)'!$C:$FB,79)</f>
        <v>115</v>
      </c>
      <c r="O43" s="92">
        <f>VLOOKUP($A43,'Data Vlaue (Cr)'!$C:$FB,82)</f>
        <v>-0.6855</v>
      </c>
    </row>
    <row r="44" spans="1:15" x14ac:dyDescent="0.25">
      <c r="A44" s="97" t="str">
        <f>'Data Vlaue (Cr)'!C39</f>
        <v>BLUESTARCO</v>
      </c>
      <c r="B44" s="142">
        <f>VLOOKUP(A44,'Data Vlaue (Cr)'!C39:CW268,99,0)</f>
        <v>272</v>
      </c>
      <c r="C44" s="90">
        <f>VLOOKUP(A44,'Data Vlaue (Cr)'!C39:CY268,101,0)</f>
        <v>-335</v>
      </c>
      <c r="D44" s="139">
        <f>VLOOKUP(A44,'Data Vlaue (Cr)'!C39:CZ268,102,0)</f>
        <v>-0.55169999999999997</v>
      </c>
      <c r="E44" s="91">
        <f>VLOOKUP($A44,'Data Vlaue (Cr)'!$C:$FB,75)</f>
        <v>219</v>
      </c>
      <c r="F44" s="91">
        <f>VLOOKUP($A44,'Data Vlaue (Cr)'!$C:$FB,77)</f>
        <v>-39</v>
      </c>
      <c r="G44" s="92">
        <f>VLOOKUP(A44,'Data Vlaue (Cr)'!C39:CB268,78,0)</f>
        <v>-0.1507</v>
      </c>
      <c r="H44" s="91">
        <f>VLOOKUP($A44,'Data Vlaue (Cr)'!$C:$FB,91)</f>
        <v>35</v>
      </c>
      <c r="I44" s="91">
        <f>VLOOKUP($A44,'Data Vlaue (Cr)'!$C:$FB,93)</f>
        <v>-146</v>
      </c>
      <c r="J44" s="92">
        <f>VLOOKUP($A44,'Data Vlaue (Cr)'!$C:$FB,94)</f>
        <v>-0.80610000000000004</v>
      </c>
      <c r="K44" s="91">
        <f>VLOOKUP($A44,'Data Vlaue (Cr)'!$C:$FB,95)</f>
        <v>17</v>
      </c>
      <c r="L44" s="91">
        <f>VLOOKUP($A44,'Data Vlaue (Cr)'!$C:$FB,97)</f>
        <v>-150</v>
      </c>
      <c r="M44" s="92">
        <f>VLOOKUP($A44,'Data Vlaue (Cr)'!$C:$FB,98)</f>
        <v>-0.89590000000000003</v>
      </c>
      <c r="N44" s="91">
        <f>VLOOKUP($A44,'Data Vlaue (Cr)'!$C:$FB,79)</f>
        <v>27</v>
      </c>
      <c r="O44" s="92">
        <f>VLOOKUP($A44,'Data Vlaue (Cr)'!$C:$FB,82)</f>
        <v>-0.10780000000000001</v>
      </c>
    </row>
    <row r="45" spans="1:15" x14ac:dyDescent="0.25">
      <c r="A45" s="97" t="str">
        <f>'Data Vlaue (Cr)'!C40</f>
        <v>BOSCHLTD</v>
      </c>
      <c r="B45" s="142">
        <f>VLOOKUP(A45,'Data Vlaue (Cr)'!C40:CW269,99,0)</f>
        <v>1714</v>
      </c>
      <c r="C45" s="90">
        <f>VLOOKUP(A45,'Data Vlaue (Cr)'!C40:CY269,101,0)</f>
        <v>-2431</v>
      </c>
      <c r="D45" s="139">
        <f>VLOOKUP(A45,'Data Vlaue (Cr)'!C40:CZ269,102,0)</f>
        <v>-0.58650000000000002</v>
      </c>
      <c r="E45" s="91">
        <f>VLOOKUP($A45,'Data Vlaue (Cr)'!$C:$FB,75)</f>
        <v>1320</v>
      </c>
      <c r="F45" s="91">
        <f>VLOOKUP($A45,'Data Vlaue (Cr)'!$C:$FB,77)</f>
        <v>-167</v>
      </c>
      <c r="G45" s="92">
        <f>VLOOKUP(A45,'Data Vlaue (Cr)'!C40:CB269,78,0)</f>
        <v>-0.1124</v>
      </c>
      <c r="H45" s="91">
        <f>VLOOKUP($A45,'Data Vlaue (Cr)'!$C:$FB,91)</f>
        <v>250</v>
      </c>
      <c r="I45" s="91">
        <f>VLOOKUP($A45,'Data Vlaue (Cr)'!$C:$FB,93)</f>
        <v>-1364</v>
      </c>
      <c r="J45" s="92">
        <f>VLOOKUP($A45,'Data Vlaue (Cr)'!$C:$FB,94)</f>
        <v>-0.84519999999999995</v>
      </c>
      <c r="K45" s="91">
        <f>VLOOKUP($A45,'Data Vlaue (Cr)'!$C:$FB,95)</f>
        <v>144</v>
      </c>
      <c r="L45" s="91">
        <f>VLOOKUP($A45,'Data Vlaue (Cr)'!$C:$FB,97)</f>
        <v>-899</v>
      </c>
      <c r="M45" s="92">
        <f>VLOOKUP($A45,'Data Vlaue (Cr)'!$C:$FB,98)</f>
        <v>-0.86170000000000002</v>
      </c>
      <c r="N45" s="91">
        <f>VLOOKUP($A45,'Data Vlaue (Cr)'!$C:$FB,79)</f>
        <v>118</v>
      </c>
      <c r="O45" s="92">
        <f>VLOOKUP($A45,'Data Vlaue (Cr)'!$C:$FB,82)</f>
        <v>-0.51319999999999999</v>
      </c>
    </row>
    <row r="46" spans="1:15" x14ac:dyDescent="0.25">
      <c r="A46" s="97" t="str">
        <f>'Data Vlaue (Cr)'!C41</f>
        <v>BPCL</v>
      </c>
      <c r="B46" s="142">
        <f>VLOOKUP(A46,'Data Vlaue (Cr)'!C41:CW270,99,0)</f>
        <v>1654</v>
      </c>
      <c r="C46" s="90">
        <f>VLOOKUP(A46,'Data Vlaue (Cr)'!C41:CY270,101,0)</f>
        <v>-1222</v>
      </c>
      <c r="D46" s="139">
        <f>VLOOKUP(A46,'Data Vlaue (Cr)'!C41:CZ270,102,0)</f>
        <v>-0.42499999999999999</v>
      </c>
      <c r="E46" s="91">
        <f>VLOOKUP($A46,'Data Vlaue (Cr)'!$C:$FB,75)</f>
        <v>1228</v>
      </c>
      <c r="F46" s="91">
        <f>VLOOKUP($A46,'Data Vlaue (Cr)'!$C:$FB,77)</f>
        <v>-446</v>
      </c>
      <c r="G46" s="92">
        <f>VLOOKUP(A46,'Data Vlaue (Cr)'!C41:CB270,78,0)</f>
        <v>-0.26619999999999999</v>
      </c>
      <c r="H46" s="91">
        <f>VLOOKUP($A46,'Data Vlaue (Cr)'!$C:$FB,91)</f>
        <v>262</v>
      </c>
      <c r="I46" s="91">
        <f>VLOOKUP($A46,'Data Vlaue (Cr)'!$C:$FB,93)</f>
        <v>-557</v>
      </c>
      <c r="J46" s="92">
        <f>VLOOKUP($A46,'Data Vlaue (Cr)'!$C:$FB,94)</f>
        <v>-0.67959999999999998</v>
      </c>
      <c r="K46" s="91">
        <f>VLOOKUP($A46,'Data Vlaue (Cr)'!$C:$FB,95)</f>
        <v>163</v>
      </c>
      <c r="L46" s="91">
        <f>VLOOKUP($A46,'Data Vlaue (Cr)'!$C:$FB,97)</f>
        <v>-220</v>
      </c>
      <c r="M46" s="92">
        <f>VLOOKUP($A46,'Data Vlaue (Cr)'!$C:$FB,98)</f>
        <v>-0.57469999999999999</v>
      </c>
      <c r="N46" s="91">
        <f>VLOOKUP($A46,'Data Vlaue (Cr)'!$C:$FB,79)</f>
        <v>342</v>
      </c>
      <c r="O46" s="92">
        <f>VLOOKUP($A46,'Data Vlaue (Cr)'!$C:$FB,82)</f>
        <v>-0.161</v>
      </c>
    </row>
    <row r="47" spans="1:15" x14ac:dyDescent="0.25">
      <c r="A47" s="97" t="str">
        <f>'Data Vlaue (Cr)'!C42</f>
        <v>BRITANNIA</v>
      </c>
      <c r="B47" s="142">
        <f>VLOOKUP(A47,'Data Vlaue (Cr)'!C42:CW271,99,0)</f>
        <v>1933</v>
      </c>
      <c r="C47" s="90">
        <f>VLOOKUP(A47,'Data Vlaue (Cr)'!C42:CY271,101,0)</f>
        <v>-484</v>
      </c>
      <c r="D47" s="139">
        <f>VLOOKUP(A47,'Data Vlaue (Cr)'!C42:CZ271,102,0)</f>
        <v>-0.2001</v>
      </c>
      <c r="E47" s="91">
        <f>VLOOKUP($A47,'Data Vlaue (Cr)'!$C:$FB,75)</f>
        <v>1758</v>
      </c>
      <c r="F47" s="91">
        <f>VLOOKUP($A47,'Data Vlaue (Cr)'!$C:$FB,77)</f>
        <v>-47</v>
      </c>
      <c r="G47" s="92">
        <f>VLOOKUP(A47,'Data Vlaue (Cr)'!C42:CB271,78,0)</f>
        <v>-2.6200000000000001E-2</v>
      </c>
      <c r="H47" s="91">
        <f>VLOOKUP($A47,'Data Vlaue (Cr)'!$C:$FB,91)</f>
        <v>116</v>
      </c>
      <c r="I47" s="91">
        <f>VLOOKUP($A47,'Data Vlaue (Cr)'!$C:$FB,93)</f>
        <v>-252</v>
      </c>
      <c r="J47" s="92">
        <f>VLOOKUP($A47,'Data Vlaue (Cr)'!$C:$FB,94)</f>
        <v>-0.68530000000000002</v>
      </c>
      <c r="K47" s="91">
        <f>VLOOKUP($A47,'Data Vlaue (Cr)'!$C:$FB,95)</f>
        <v>59</v>
      </c>
      <c r="L47" s="91">
        <f>VLOOKUP($A47,'Data Vlaue (Cr)'!$C:$FB,97)</f>
        <v>-184</v>
      </c>
      <c r="M47" s="92">
        <f>VLOOKUP($A47,'Data Vlaue (Cr)'!$C:$FB,98)</f>
        <v>-0.7571</v>
      </c>
      <c r="N47" s="91">
        <f>VLOOKUP($A47,'Data Vlaue (Cr)'!$C:$FB,79)</f>
        <v>66</v>
      </c>
      <c r="O47" s="92">
        <f>VLOOKUP($A47,'Data Vlaue (Cr)'!$C:$FB,82)</f>
        <v>-0.82410000000000005</v>
      </c>
    </row>
    <row r="48" spans="1:15" x14ac:dyDescent="0.25">
      <c r="A48" s="97" t="str">
        <f>'Data Vlaue (Cr)'!C43</f>
        <v>BSE</v>
      </c>
      <c r="B48" s="142">
        <f>VLOOKUP(A48,'Data Vlaue (Cr)'!C43:CW272,99,0)</f>
        <v>4258</v>
      </c>
      <c r="C48" s="90">
        <f>VLOOKUP(A48,'Data Vlaue (Cr)'!C43:CY272,101,0)</f>
        <v>-4161</v>
      </c>
      <c r="D48" s="139">
        <f>VLOOKUP(A48,'Data Vlaue (Cr)'!C43:CZ272,102,0)</f>
        <v>-0.49419999999999997</v>
      </c>
      <c r="E48" s="91">
        <f>VLOOKUP($A48,'Data Vlaue (Cr)'!$C:$FB,75)</f>
        <v>2670</v>
      </c>
      <c r="F48" s="91">
        <f>VLOOKUP($A48,'Data Vlaue (Cr)'!$C:$FB,77)</f>
        <v>-547</v>
      </c>
      <c r="G48" s="92">
        <f>VLOOKUP(A48,'Data Vlaue (Cr)'!C43:CB272,78,0)</f>
        <v>-0.1699</v>
      </c>
      <c r="H48" s="91">
        <f>VLOOKUP($A48,'Data Vlaue (Cr)'!$C:$FB,91)</f>
        <v>860</v>
      </c>
      <c r="I48" s="91">
        <f>VLOOKUP($A48,'Data Vlaue (Cr)'!$C:$FB,93)</f>
        <v>-2364</v>
      </c>
      <c r="J48" s="92">
        <f>VLOOKUP($A48,'Data Vlaue (Cr)'!$C:$FB,94)</f>
        <v>-0.73329999999999995</v>
      </c>
      <c r="K48" s="91">
        <f>VLOOKUP($A48,'Data Vlaue (Cr)'!$C:$FB,95)</f>
        <v>728</v>
      </c>
      <c r="L48" s="91">
        <f>VLOOKUP($A48,'Data Vlaue (Cr)'!$C:$FB,97)</f>
        <v>-1250</v>
      </c>
      <c r="M48" s="92">
        <f>VLOOKUP($A48,'Data Vlaue (Cr)'!$C:$FB,98)</f>
        <v>-0.63190000000000002</v>
      </c>
      <c r="N48" s="91">
        <f>VLOOKUP($A48,'Data Vlaue (Cr)'!$C:$FB,79)</f>
        <v>381</v>
      </c>
      <c r="O48" s="92">
        <f>VLOOKUP($A48,'Data Vlaue (Cr)'!$C:$FB,82)</f>
        <v>-0.628</v>
      </c>
    </row>
    <row r="49" spans="1:15" x14ac:dyDescent="0.25">
      <c r="A49" s="97" t="str">
        <f>'Data Vlaue (Cr)'!C44</f>
        <v>BSOFT</v>
      </c>
      <c r="B49" s="142">
        <f>VLOOKUP(A49,'Data Vlaue (Cr)'!C44:CW273,99,0)</f>
        <v>0</v>
      </c>
      <c r="C49" s="90">
        <f>VLOOKUP(A49,'Data Vlaue (Cr)'!C44:CY273,101,0)</f>
        <v>0</v>
      </c>
      <c r="D49" s="139">
        <f>VLOOKUP(A49,'Data Vlaue (Cr)'!C44:CZ273,102,0)</f>
        <v>-0.39119999999999999</v>
      </c>
      <c r="E49" s="91">
        <f>VLOOKUP($A49,'Data Vlaue (Cr)'!$C:$FB,75)</f>
        <v>0</v>
      </c>
      <c r="F49" s="91">
        <f>VLOOKUP($A49,'Data Vlaue (Cr)'!$C:$FB,77)</f>
        <v>0</v>
      </c>
      <c r="G49" s="92">
        <f>VLOOKUP(A49,'Data Vlaue (Cr)'!C44:CB273,78,0)</f>
        <v>-1</v>
      </c>
      <c r="H49" s="91">
        <f>VLOOKUP($A49,'Data Vlaue (Cr)'!$C:$FB,91)</f>
        <v>0</v>
      </c>
      <c r="I49" s="91">
        <f>VLOOKUP($A49,'Data Vlaue (Cr)'!$C:$FB,93)</f>
        <v>0</v>
      </c>
      <c r="J49" s="92">
        <f>VLOOKUP($A49,'Data Vlaue (Cr)'!$C:$FB,94)</f>
        <v>-0.1298</v>
      </c>
      <c r="K49" s="91">
        <f>VLOOKUP($A49,'Data Vlaue (Cr)'!$C:$FB,95)</f>
        <v>0</v>
      </c>
      <c r="L49" s="91">
        <f>VLOOKUP($A49,'Data Vlaue (Cr)'!$C:$FB,97)</f>
        <v>0</v>
      </c>
      <c r="M49" s="92">
        <f>VLOOKUP($A49,'Data Vlaue (Cr)'!$C:$FB,98)</f>
        <v>-0.1835</v>
      </c>
      <c r="N49" s="91">
        <f>VLOOKUP($A49,'Data Vlaue (Cr)'!$C:$FB,79)</f>
        <v>0</v>
      </c>
      <c r="O49" s="92">
        <f>VLOOKUP($A49,'Data Vlaue (Cr)'!$C:$FB,82)</f>
        <v>-0.59009999999999996</v>
      </c>
    </row>
    <row r="50" spans="1:15" x14ac:dyDescent="0.25">
      <c r="A50" s="97" t="str">
        <f>'Data Vlaue (Cr)'!C45</f>
        <v>CAMS</v>
      </c>
      <c r="B50" s="142">
        <f>VLOOKUP(A50,'Data Vlaue (Cr)'!C45:CW274,99,0)</f>
        <v>1217</v>
      </c>
      <c r="C50" s="90">
        <f>VLOOKUP(A50,'Data Vlaue (Cr)'!C45:CY274,101,0)</f>
        <v>-599</v>
      </c>
      <c r="D50" s="139">
        <f>VLOOKUP(A50,'Data Vlaue (Cr)'!C45:CZ274,102,0)</f>
        <v>-0.32990000000000003</v>
      </c>
      <c r="E50" s="91">
        <f>VLOOKUP($A50,'Data Vlaue (Cr)'!$C:$FB,75)</f>
        <v>801</v>
      </c>
      <c r="F50" s="91">
        <f>VLOOKUP($A50,'Data Vlaue (Cr)'!$C:$FB,77)</f>
        <v>-133</v>
      </c>
      <c r="G50" s="92">
        <f>VLOOKUP(A50,'Data Vlaue (Cr)'!C45:CB274,78,0)</f>
        <v>-0.14249999999999999</v>
      </c>
      <c r="H50" s="91">
        <f>VLOOKUP($A50,'Data Vlaue (Cr)'!$C:$FB,91)</f>
        <v>250</v>
      </c>
      <c r="I50" s="91">
        <f>VLOOKUP($A50,'Data Vlaue (Cr)'!$C:$FB,93)</f>
        <v>-262</v>
      </c>
      <c r="J50" s="92">
        <f>VLOOKUP($A50,'Data Vlaue (Cr)'!$C:$FB,94)</f>
        <v>-0.51149999999999995</v>
      </c>
      <c r="K50" s="91">
        <f>VLOOKUP($A50,'Data Vlaue (Cr)'!$C:$FB,95)</f>
        <v>166</v>
      </c>
      <c r="L50" s="91">
        <f>VLOOKUP($A50,'Data Vlaue (Cr)'!$C:$FB,97)</f>
        <v>-204</v>
      </c>
      <c r="M50" s="92">
        <f>VLOOKUP($A50,'Data Vlaue (Cr)'!$C:$FB,98)</f>
        <v>-0.55159999999999998</v>
      </c>
      <c r="N50" s="91">
        <f>VLOOKUP($A50,'Data Vlaue (Cr)'!$C:$FB,79)</f>
        <v>190</v>
      </c>
      <c r="O50" s="92">
        <f>VLOOKUP($A50,'Data Vlaue (Cr)'!$C:$FB,82)</f>
        <v>-0.53259999999999996</v>
      </c>
    </row>
    <row r="51" spans="1:15" x14ac:dyDescent="0.25">
      <c r="A51" s="97" t="str">
        <f>'Data Vlaue (Cr)'!C46</f>
        <v>CANBK</v>
      </c>
      <c r="B51" s="142">
        <f>VLOOKUP(A51,'Data Vlaue (Cr)'!C46:CW275,99,0)</f>
        <v>3793</v>
      </c>
      <c r="C51" s="90">
        <f>VLOOKUP(A51,'Data Vlaue (Cr)'!C46:CY275,101,0)</f>
        <v>-1355</v>
      </c>
      <c r="D51" s="139">
        <f>VLOOKUP(A51,'Data Vlaue (Cr)'!C46:CZ275,102,0)</f>
        <v>-0.26319999999999999</v>
      </c>
      <c r="E51" s="91">
        <f>VLOOKUP($A51,'Data Vlaue (Cr)'!$C:$FB,75)</f>
        <v>2429</v>
      </c>
      <c r="F51" s="91">
        <f>VLOOKUP($A51,'Data Vlaue (Cr)'!$C:$FB,77)</f>
        <v>28</v>
      </c>
      <c r="G51" s="92">
        <f>VLOOKUP(A51,'Data Vlaue (Cr)'!C46:CB275,78,0)</f>
        <v>1.18E-2</v>
      </c>
      <c r="H51" s="91">
        <f>VLOOKUP($A51,'Data Vlaue (Cr)'!$C:$FB,91)</f>
        <v>776</v>
      </c>
      <c r="I51" s="91">
        <f>VLOOKUP($A51,'Data Vlaue (Cr)'!$C:$FB,93)</f>
        <v>-890</v>
      </c>
      <c r="J51" s="92">
        <f>VLOOKUP($A51,'Data Vlaue (Cr)'!$C:$FB,94)</f>
        <v>-0.53420000000000001</v>
      </c>
      <c r="K51" s="91">
        <f>VLOOKUP($A51,'Data Vlaue (Cr)'!$C:$FB,95)</f>
        <v>589</v>
      </c>
      <c r="L51" s="91">
        <f>VLOOKUP($A51,'Data Vlaue (Cr)'!$C:$FB,97)</f>
        <v>-494</v>
      </c>
      <c r="M51" s="92">
        <f>VLOOKUP($A51,'Data Vlaue (Cr)'!$C:$FB,98)</f>
        <v>-0.45600000000000002</v>
      </c>
      <c r="N51" s="91">
        <f>VLOOKUP($A51,'Data Vlaue (Cr)'!$C:$FB,79)</f>
        <v>362</v>
      </c>
      <c r="O51" s="92">
        <f>VLOOKUP($A51,'Data Vlaue (Cr)'!$C:$FB,82)</f>
        <v>-0.1648</v>
      </c>
    </row>
    <row r="52" spans="1:15" x14ac:dyDescent="0.25">
      <c r="A52" s="97" t="str">
        <f>'Data Vlaue (Cr)'!C47</f>
        <v>CDSL</v>
      </c>
      <c r="B52" s="142">
        <f>VLOOKUP(A52,'Data Vlaue (Cr)'!C47:CW276,99,0)</f>
        <v>2552</v>
      </c>
      <c r="C52" s="90">
        <f>VLOOKUP(A52,'Data Vlaue (Cr)'!C47:CY276,101,0)</f>
        <v>-1182</v>
      </c>
      <c r="D52" s="139">
        <f>VLOOKUP(A52,'Data Vlaue (Cr)'!C47:CZ276,102,0)</f>
        <v>-0.31659999999999999</v>
      </c>
      <c r="E52" s="91">
        <f>VLOOKUP($A52,'Data Vlaue (Cr)'!$C:$FB,75)</f>
        <v>1377</v>
      </c>
      <c r="F52" s="91">
        <f>VLOOKUP($A52,'Data Vlaue (Cr)'!$C:$FB,77)</f>
        <v>-233</v>
      </c>
      <c r="G52" s="92">
        <f>VLOOKUP(A52,'Data Vlaue (Cr)'!C47:CB276,78,0)</f>
        <v>-0.1449</v>
      </c>
      <c r="H52" s="91">
        <f>VLOOKUP($A52,'Data Vlaue (Cr)'!$C:$FB,91)</f>
        <v>691</v>
      </c>
      <c r="I52" s="91">
        <f>VLOOKUP($A52,'Data Vlaue (Cr)'!$C:$FB,93)</f>
        <v>-666</v>
      </c>
      <c r="J52" s="92">
        <f>VLOOKUP($A52,'Data Vlaue (Cr)'!$C:$FB,94)</f>
        <v>-0.4909</v>
      </c>
      <c r="K52" s="91">
        <f>VLOOKUP($A52,'Data Vlaue (Cr)'!$C:$FB,95)</f>
        <v>484</v>
      </c>
      <c r="L52" s="91">
        <f>VLOOKUP($A52,'Data Vlaue (Cr)'!$C:$FB,97)</f>
        <v>-283</v>
      </c>
      <c r="M52" s="92">
        <f>VLOOKUP($A52,'Data Vlaue (Cr)'!$C:$FB,98)</f>
        <v>-0.36859999999999998</v>
      </c>
      <c r="N52" s="91">
        <f>VLOOKUP($A52,'Data Vlaue (Cr)'!$C:$FB,79)</f>
        <v>131</v>
      </c>
      <c r="O52" s="92">
        <f>VLOOKUP($A52,'Data Vlaue (Cr)'!$C:$FB,82)</f>
        <v>-0.63739999999999997</v>
      </c>
    </row>
    <row r="53" spans="1:15" x14ac:dyDescent="0.25">
      <c r="A53" s="97" t="str">
        <f>'Data Vlaue (Cr)'!C48</f>
        <v>CESC</v>
      </c>
      <c r="B53" s="142">
        <f>VLOOKUP(A53,'Data Vlaue (Cr)'!C48:CW277,99,0)</f>
        <v>367</v>
      </c>
      <c r="C53" s="90">
        <f>VLOOKUP(A53,'Data Vlaue (Cr)'!C48:CY277,101,0)</f>
        <v>-210</v>
      </c>
      <c r="D53" s="139">
        <f>VLOOKUP(A53,'Data Vlaue (Cr)'!C48:CZ277,102,0)</f>
        <v>-0.36380000000000001</v>
      </c>
      <c r="E53" s="91">
        <f>VLOOKUP($A53,'Data Vlaue (Cr)'!$C:$FB,75)</f>
        <v>267</v>
      </c>
      <c r="F53" s="91">
        <f>VLOOKUP($A53,'Data Vlaue (Cr)'!$C:$FB,77)</f>
        <v>-29</v>
      </c>
      <c r="G53" s="92">
        <f>VLOOKUP(A53,'Data Vlaue (Cr)'!C48:CB277,78,0)</f>
        <v>-9.6500000000000002E-2</v>
      </c>
      <c r="H53" s="91">
        <f>VLOOKUP($A53,'Data Vlaue (Cr)'!$C:$FB,91)</f>
        <v>67</v>
      </c>
      <c r="I53" s="91">
        <f>VLOOKUP($A53,'Data Vlaue (Cr)'!$C:$FB,93)</f>
        <v>-110</v>
      </c>
      <c r="J53" s="92">
        <f>VLOOKUP($A53,'Data Vlaue (Cr)'!$C:$FB,94)</f>
        <v>-0.62009999999999998</v>
      </c>
      <c r="K53" s="91">
        <f>VLOOKUP($A53,'Data Vlaue (Cr)'!$C:$FB,95)</f>
        <v>32</v>
      </c>
      <c r="L53" s="91">
        <f>VLOOKUP($A53,'Data Vlaue (Cr)'!$C:$FB,97)</f>
        <v>-71</v>
      </c>
      <c r="M53" s="92">
        <f>VLOOKUP($A53,'Data Vlaue (Cr)'!$C:$FB,98)</f>
        <v>-0.68959999999999999</v>
      </c>
      <c r="N53" s="91">
        <f>VLOOKUP($A53,'Data Vlaue (Cr)'!$C:$FB,79)</f>
        <v>21</v>
      </c>
      <c r="O53" s="92">
        <f>VLOOKUP($A53,'Data Vlaue (Cr)'!$C:$FB,82)</f>
        <v>-0.72209999999999996</v>
      </c>
    </row>
    <row r="54" spans="1:15" x14ac:dyDescent="0.25">
      <c r="A54" s="97" t="str">
        <f>'Data Vlaue (Cr)'!C49</f>
        <v>CGPOWER</v>
      </c>
      <c r="B54" s="142">
        <f>VLOOKUP(A54,'Data Vlaue (Cr)'!C49:CW278,99,0)</f>
        <v>1371</v>
      </c>
      <c r="C54" s="90">
        <f>VLOOKUP(A54,'Data Vlaue (Cr)'!C49:CY278,101,0)</f>
        <v>-530</v>
      </c>
      <c r="D54" s="139">
        <f>VLOOKUP(A54,'Data Vlaue (Cr)'!C49:CZ278,102,0)</f>
        <v>-0.27879999999999999</v>
      </c>
      <c r="E54" s="91">
        <f>VLOOKUP($A54,'Data Vlaue (Cr)'!$C:$FB,75)</f>
        <v>1186</v>
      </c>
      <c r="F54" s="91">
        <f>VLOOKUP($A54,'Data Vlaue (Cr)'!$C:$FB,77)</f>
        <v>-177</v>
      </c>
      <c r="G54" s="92">
        <f>VLOOKUP(A54,'Data Vlaue (Cr)'!C49:CB278,78,0)</f>
        <v>-0.12970000000000001</v>
      </c>
      <c r="H54" s="91">
        <f>VLOOKUP($A54,'Data Vlaue (Cr)'!$C:$FB,91)</f>
        <v>97</v>
      </c>
      <c r="I54" s="91">
        <f>VLOOKUP($A54,'Data Vlaue (Cr)'!$C:$FB,93)</f>
        <v>-228</v>
      </c>
      <c r="J54" s="92">
        <f>VLOOKUP($A54,'Data Vlaue (Cr)'!$C:$FB,94)</f>
        <v>-0.70020000000000004</v>
      </c>
      <c r="K54" s="91">
        <f>VLOOKUP($A54,'Data Vlaue (Cr)'!$C:$FB,95)</f>
        <v>87</v>
      </c>
      <c r="L54" s="91">
        <f>VLOOKUP($A54,'Data Vlaue (Cr)'!$C:$FB,97)</f>
        <v>-126</v>
      </c>
      <c r="M54" s="92">
        <f>VLOOKUP($A54,'Data Vlaue (Cr)'!$C:$FB,98)</f>
        <v>-0.59</v>
      </c>
      <c r="N54" s="91">
        <f>VLOOKUP($A54,'Data Vlaue (Cr)'!$C:$FB,79)</f>
        <v>236</v>
      </c>
      <c r="O54" s="92">
        <f>VLOOKUP($A54,'Data Vlaue (Cr)'!$C:$FB,82)</f>
        <v>-0.12520000000000001</v>
      </c>
    </row>
    <row r="55" spans="1:15" x14ac:dyDescent="0.25">
      <c r="A55" s="97" t="str">
        <f>'Data Vlaue (Cr)'!C50</f>
        <v>CHAMBLFERT</v>
      </c>
      <c r="B55" s="142">
        <f>VLOOKUP(A55,'Data Vlaue (Cr)'!C50:CW279,99,0)</f>
        <v>0</v>
      </c>
      <c r="C55" s="90">
        <f>VLOOKUP(A55,'Data Vlaue (Cr)'!C50:CY279,101,0)</f>
        <v>0</v>
      </c>
      <c r="D55" s="139">
        <f>VLOOKUP(A55,'Data Vlaue (Cr)'!C50:CZ279,102,0)</f>
        <v>-0.5615</v>
      </c>
      <c r="E55" s="91">
        <f>VLOOKUP($A55,'Data Vlaue (Cr)'!$C:$FB,75)</f>
        <v>0</v>
      </c>
      <c r="F55" s="91">
        <f>VLOOKUP($A55,'Data Vlaue (Cr)'!$C:$FB,77)</f>
        <v>0</v>
      </c>
      <c r="G55" s="92">
        <f>VLOOKUP(A55,'Data Vlaue (Cr)'!C50:CB279,78,0)</f>
        <v>-1</v>
      </c>
      <c r="H55" s="91">
        <f>VLOOKUP($A55,'Data Vlaue (Cr)'!$C:$FB,91)</f>
        <v>0</v>
      </c>
      <c r="I55" s="91">
        <f>VLOOKUP($A55,'Data Vlaue (Cr)'!$C:$FB,93)</f>
        <v>0</v>
      </c>
      <c r="J55" s="92">
        <f>VLOOKUP($A55,'Data Vlaue (Cr)'!$C:$FB,94)</f>
        <v>-0.17799999999999999</v>
      </c>
      <c r="K55" s="91">
        <f>VLOOKUP($A55,'Data Vlaue (Cr)'!$C:$FB,95)</f>
        <v>0</v>
      </c>
      <c r="L55" s="91">
        <f>VLOOKUP($A55,'Data Vlaue (Cr)'!$C:$FB,97)</f>
        <v>0</v>
      </c>
      <c r="M55" s="92">
        <f>VLOOKUP($A55,'Data Vlaue (Cr)'!$C:$FB,98)</f>
        <v>-0.20810000000000001</v>
      </c>
      <c r="N55" s="91">
        <f>VLOOKUP($A55,'Data Vlaue (Cr)'!$C:$FB,79)</f>
        <v>0</v>
      </c>
      <c r="O55" s="92">
        <f>VLOOKUP($A55,'Data Vlaue (Cr)'!$C:$FB,82)</f>
        <v>-0.63939999999999997</v>
      </c>
    </row>
    <row r="56" spans="1:15" x14ac:dyDescent="0.25">
      <c r="A56" s="97" t="str">
        <f>'Data Vlaue (Cr)'!C51</f>
        <v>CHOLAFIN</v>
      </c>
      <c r="B56" s="142">
        <f>VLOOKUP(A56,'Data Vlaue (Cr)'!C51:CW280,99,0)</f>
        <v>2359</v>
      </c>
      <c r="C56" s="90">
        <f>VLOOKUP(A56,'Data Vlaue (Cr)'!C51:CY280,101,0)</f>
        <v>-426</v>
      </c>
      <c r="D56" s="139">
        <f>VLOOKUP(A56,'Data Vlaue (Cr)'!C51:CZ280,102,0)</f>
        <v>-0.15310000000000001</v>
      </c>
      <c r="E56" s="91">
        <f>VLOOKUP($A56,'Data Vlaue (Cr)'!$C:$FB,75)</f>
        <v>1882</v>
      </c>
      <c r="F56" s="91">
        <f>VLOOKUP($A56,'Data Vlaue (Cr)'!$C:$FB,77)</f>
        <v>145</v>
      </c>
      <c r="G56" s="92">
        <f>VLOOKUP(A56,'Data Vlaue (Cr)'!C51:CB280,78,0)</f>
        <v>8.3799999999999999E-2</v>
      </c>
      <c r="H56" s="91">
        <f>VLOOKUP($A56,'Data Vlaue (Cr)'!$C:$FB,91)</f>
        <v>273</v>
      </c>
      <c r="I56" s="91">
        <f>VLOOKUP($A56,'Data Vlaue (Cr)'!$C:$FB,93)</f>
        <v>-366</v>
      </c>
      <c r="J56" s="92">
        <f>VLOOKUP($A56,'Data Vlaue (Cr)'!$C:$FB,94)</f>
        <v>-0.57240000000000002</v>
      </c>
      <c r="K56" s="91">
        <f>VLOOKUP($A56,'Data Vlaue (Cr)'!$C:$FB,95)</f>
        <v>203</v>
      </c>
      <c r="L56" s="91">
        <f>VLOOKUP($A56,'Data Vlaue (Cr)'!$C:$FB,97)</f>
        <v>-206</v>
      </c>
      <c r="M56" s="92">
        <f>VLOOKUP($A56,'Data Vlaue (Cr)'!$C:$FB,98)</f>
        <v>-0.50290000000000001</v>
      </c>
      <c r="N56" s="91">
        <f>VLOOKUP($A56,'Data Vlaue (Cr)'!$C:$FB,79)</f>
        <v>106</v>
      </c>
      <c r="O56" s="92">
        <f>VLOOKUP($A56,'Data Vlaue (Cr)'!$C:$FB,82)</f>
        <v>-0.5514</v>
      </c>
    </row>
    <row r="57" spans="1:15" x14ac:dyDescent="0.25">
      <c r="A57" s="97" t="str">
        <f>'Data Vlaue (Cr)'!C52</f>
        <v>CIPLA</v>
      </c>
      <c r="B57" s="142">
        <f>VLOOKUP(A57,'Data Vlaue (Cr)'!C52:CW281,99,0)</f>
        <v>2234</v>
      </c>
      <c r="C57" s="90">
        <f>VLOOKUP(A57,'Data Vlaue (Cr)'!C52:CY281,101,0)</f>
        <v>-1253</v>
      </c>
      <c r="D57" s="139">
        <f>VLOOKUP(A57,'Data Vlaue (Cr)'!C52:CZ281,102,0)</f>
        <v>-0.35949999999999999</v>
      </c>
      <c r="E57" s="91">
        <f>VLOOKUP($A57,'Data Vlaue (Cr)'!$C:$FB,75)</f>
        <v>1855</v>
      </c>
      <c r="F57" s="91">
        <f>VLOOKUP($A57,'Data Vlaue (Cr)'!$C:$FB,77)</f>
        <v>-100</v>
      </c>
      <c r="G57" s="92">
        <f>VLOOKUP(A57,'Data Vlaue (Cr)'!C52:CB281,78,0)</f>
        <v>-5.1400000000000001E-2</v>
      </c>
      <c r="H57" s="91">
        <f>VLOOKUP($A57,'Data Vlaue (Cr)'!$C:$FB,91)</f>
        <v>229</v>
      </c>
      <c r="I57" s="91">
        <f>VLOOKUP($A57,'Data Vlaue (Cr)'!$C:$FB,93)</f>
        <v>-689</v>
      </c>
      <c r="J57" s="92">
        <f>VLOOKUP($A57,'Data Vlaue (Cr)'!$C:$FB,94)</f>
        <v>-0.75080000000000002</v>
      </c>
      <c r="K57" s="91">
        <f>VLOOKUP($A57,'Data Vlaue (Cr)'!$C:$FB,95)</f>
        <v>150</v>
      </c>
      <c r="L57" s="91">
        <f>VLOOKUP($A57,'Data Vlaue (Cr)'!$C:$FB,97)</f>
        <v>-464</v>
      </c>
      <c r="M57" s="92">
        <f>VLOOKUP($A57,'Data Vlaue (Cr)'!$C:$FB,98)</f>
        <v>-0.75539999999999996</v>
      </c>
      <c r="N57" s="91">
        <f>VLOOKUP($A57,'Data Vlaue (Cr)'!$C:$FB,79)</f>
        <v>77</v>
      </c>
      <c r="O57" s="92">
        <f>VLOOKUP($A57,'Data Vlaue (Cr)'!$C:$FB,82)</f>
        <v>-0.69679999999999997</v>
      </c>
    </row>
    <row r="58" spans="1:15" x14ac:dyDescent="0.25">
      <c r="A58" s="97" t="str">
        <f>'Data Vlaue (Cr)'!C53</f>
        <v>COALINDIA</v>
      </c>
      <c r="B58" s="142">
        <f>VLOOKUP(A58,'Data Vlaue (Cr)'!C53:CW282,99,0)</f>
        <v>4203</v>
      </c>
      <c r="C58" s="90">
        <f>VLOOKUP(A58,'Data Vlaue (Cr)'!C53:CY282,101,0)</f>
        <v>-1190</v>
      </c>
      <c r="D58" s="139">
        <f>VLOOKUP(A58,'Data Vlaue (Cr)'!C53:CZ282,102,0)</f>
        <v>-0.22059999999999999</v>
      </c>
      <c r="E58" s="91">
        <f>VLOOKUP($A58,'Data Vlaue (Cr)'!$C:$FB,75)</f>
        <v>2681</v>
      </c>
      <c r="F58" s="91">
        <f>VLOOKUP($A58,'Data Vlaue (Cr)'!$C:$FB,77)</f>
        <v>-171</v>
      </c>
      <c r="G58" s="92">
        <f>VLOOKUP(A58,'Data Vlaue (Cr)'!C53:CB282,78,0)</f>
        <v>-5.9799999999999999E-2</v>
      </c>
      <c r="H58" s="91">
        <f>VLOOKUP($A58,'Data Vlaue (Cr)'!$C:$FB,91)</f>
        <v>755</v>
      </c>
      <c r="I58" s="91">
        <f>VLOOKUP($A58,'Data Vlaue (Cr)'!$C:$FB,93)</f>
        <v>-698</v>
      </c>
      <c r="J58" s="92">
        <f>VLOOKUP($A58,'Data Vlaue (Cr)'!$C:$FB,94)</f>
        <v>-0.48039999999999999</v>
      </c>
      <c r="K58" s="91">
        <f>VLOOKUP($A58,'Data Vlaue (Cr)'!$C:$FB,95)</f>
        <v>767</v>
      </c>
      <c r="L58" s="91">
        <f>VLOOKUP($A58,'Data Vlaue (Cr)'!$C:$FB,97)</f>
        <v>-322</v>
      </c>
      <c r="M58" s="92">
        <f>VLOOKUP($A58,'Data Vlaue (Cr)'!$C:$FB,98)</f>
        <v>-0.2954</v>
      </c>
      <c r="N58" s="91">
        <f>VLOOKUP($A58,'Data Vlaue (Cr)'!$C:$FB,79)</f>
        <v>373</v>
      </c>
      <c r="O58" s="92">
        <f>VLOOKUP($A58,'Data Vlaue (Cr)'!$C:$FB,82)</f>
        <v>-0.20760000000000001</v>
      </c>
    </row>
    <row r="59" spans="1:15" x14ac:dyDescent="0.25">
      <c r="A59" s="97" t="str">
        <f>'Data Vlaue (Cr)'!C54</f>
        <v>COFORGE</v>
      </c>
      <c r="B59" s="142">
        <f>VLOOKUP(A59,'Data Vlaue (Cr)'!C54:CW283,99,0)</f>
        <v>3363</v>
      </c>
      <c r="C59" s="90">
        <f>VLOOKUP(A59,'Data Vlaue (Cr)'!C54:CY283,101,0)</f>
        <v>-1938</v>
      </c>
      <c r="D59" s="139">
        <f>VLOOKUP(A59,'Data Vlaue (Cr)'!C54:CZ283,102,0)</f>
        <v>-0.36549999999999999</v>
      </c>
      <c r="E59" s="91">
        <f>VLOOKUP($A59,'Data Vlaue (Cr)'!$C:$FB,75)</f>
        <v>2591</v>
      </c>
      <c r="F59" s="91">
        <f>VLOOKUP($A59,'Data Vlaue (Cr)'!$C:$FB,77)</f>
        <v>-487</v>
      </c>
      <c r="G59" s="92">
        <f>VLOOKUP(A59,'Data Vlaue (Cr)'!C54:CB283,78,0)</f>
        <v>-0.15809999999999999</v>
      </c>
      <c r="H59" s="91">
        <f>VLOOKUP($A59,'Data Vlaue (Cr)'!$C:$FB,91)</f>
        <v>471</v>
      </c>
      <c r="I59" s="91">
        <f>VLOOKUP($A59,'Data Vlaue (Cr)'!$C:$FB,93)</f>
        <v>-1082</v>
      </c>
      <c r="J59" s="92">
        <f>VLOOKUP($A59,'Data Vlaue (Cr)'!$C:$FB,94)</f>
        <v>-0.69679999999999997</v>
      </c>
      <c r="K59" s="91">
        <f>VLOOKUP($A59,'Data Vlaue (Cr)'!$C:$FB,95)</f>
        <v>301</v>
      </c>
      <c r="L59" s="91">
        <f>VLOOKUP($A59,'Data Vlaue (Cr)'!$C:$FB,97)</f>
        <v>-369</v>
      </c>
      <c r="M59" s="92">
        <f>VLOOKUP($A59,'Data Vlaue (Cr)'!$C:$FB,98)</f>
        <v>-0.55069999999999997</v>
      </c>
      <c r="N59" s="91">
        <f>VLOOKUP($A59,'Data Vlaue (Cr)'!$C:$FB,79)</f>
        <v>209</v>
      </c>
      <c r="O59" s="92">
        <f>VLOOKUP($A59,'Data Vlaue (Cr)'!$C:$FB,82)</f>
        <v>-0.68820000000000003</v>
      </c>
    </row>
    <row r="60" spans="1:15" x14ac:dyDescent="0.25">
      <c r="A60" s="97" t="str">
        <f>'Data Vlaue (Cr)'!C55</f>
        <v>COLPAL</v>
      </c>
      <c r="B60" s="142">
        <f>VLOOKUP(A60,'Data Vlaue (Cr)'!C55:CW284,99,0)</f>
        <v>1734</v>
      </c>
      <c r="C60" s="90">
        <f>VLOOKUP(A60,'Data Vlaue (Cr)'!C55:CY284,101,0)</f>
        <v>-544</v>
      </c>
      <c r="D60" s="139">
        <f>VLOOKUP(A60,'Data Vlaue (Cr)'!C55:CZ284,102,0)</f>
        <v>-0.2389</v>
      </c>
      <c r="E60" s="91">
        <f>VLOOKUP($A60,'Data Vlaue (Cr)'!$C:$FB,75)</f>
        <v>1247</v>
      </c>
      <c r="F60" s="91">
        <f>VLOOKUP($A60,'Data Vlaue (Cr)'!$C:$FB,77)</f>
        <v>-65</v>
      </c>
      <c r="G60" s="92">
        <f>VLOOKUP(A60,'Data Vlaue (Cr)'!C55:CB284,78,0)</f>
        <v>-4.9799999999999997E-2</v>
      </c>
      <c r="H60" s="91">
        <f>VLOOKUP($A60,'Data Vlaue (Cr)'!$C:$FB,91)</f>
        <v>261</v>
      </c>
      <c r="I60" s="91">
        <f>VLOOKUP($A60,'Data Vlaue (Cr)'!$C:$FB,93)</f>
        <v>-323</v>
      </c>
      <c r="J60" s="92">
        <f>VLOOKUP($A60,'Data Vlaue (Cr)'!$C:$FB,94)</f>
        <v>-0.55310000000000004</v>
      </c>
      <c r="K60" s="91">
        <f>VLOOKUP($A60,'Data Vlaue (Cr)'!$C:$FB,95)</f>
        <v>226</v>
      </c>
      <c r="L60" s="91">
        <f>VLOOKUP($A60,'Data Vlaue (Cr)'!$C:$FB,97)</f>
        <v>-156</v>
      </c>
      <c r="M60" s="92">
        <f>VLOOKUP($A60,'Data Vlaue (Cr)'!$C:$FB,98)</f>
        <v>-0.40770000000000001</v>
      </c>
      <c r="N60" s="91">
        <f>VLOOKUP($A60,'Data Vlaue (Cr)'!$C:$FB,79)</f>
        <v>49</v>
      </c>
      <c r="O60" s="92">
        <f>VLOOKUP($A60,'Data Vlaue (Cr)'!$C:$FB,82)</f>
        <v>-0.77880000000000005</v>
      </c>
    </row>
    <row r="61" spans="1:15" x14ac:dyDescent="0.25">
      <c r="A61" s="97" t="str">
        <f>'Data Vlaue (Cr)'!C56</f>
        <v>CONCOR</v>
      </c>
      <c r="B61" s="142">
        <f>VLOOKUP(A61,'Data Vlaue (Cr)'!C56:CW285,99,0)</f>
        <v>1491</v>
      </c>
      <c r="C61" s="90">
        <f>VLOOKUP(A61,'Data Vlaue (Cr)'!C56:CY285,101,0)</f>
        <v>-593</v>
      </c>
      <c r="D61" s="139">
        <f>VLOOKUP(A61,'Data Vlaue (Cr)'!C56:CZ285,102,0)</f>
        <v>-0.28449999999999998</v>
      </c>
      <c r="E61" s="91">
        <f>VLOOKUP($A61,'Data Vlaue (Cr)'!$C:$FB,75)</f>
        <v>1128</v>
      </c>
      <c r="F61" s="91">
        <f>VLOOKUP($A61,'Data Vlaue (Cr)'!$C:$FB,77)</f>
        <v>-117</v>
      </c>
      <c r="G61" s="92">
        <f>VLOOKUP(A61,'Data Vlaue (Cr)'!C56:CB285,78,0)</f>
        <v>-9.4200000000000006E-2</v>
      </c>
      <c r="H61" s="91">
        <f>VLOOKUP($A61,'Data Vlaue (Cr)'!$C:$FB,91)</f>
        <v>187</v>
      </c>
      <c r="I61" s="91">
        <f>VLOOKUP($A61,'Data Vlaue (Cr)'!$C:$FB,93)</f>
        <v>-311</v>
      </c>
      <c r="J61" s="92">
        <f>VLOOKUP($A61,'Data Vlaue (Cr)'!$C:$FB,94)</f>
        <v>-0.62460000000000004</v>
      </c>
      <c r="K61" s="91">
        <f>VLOOKUP($A61,'Data Vlaue (Cr)'!$C:$FB,95)</f>
        <v>176</v>
      </c>
      <c r="L61" s="91">
        <f>VLOOKUP($A61,'Data Vlaue (Cr)'!$C:$FB,97)</f>
        <v>-164</v>
      </c>
      <c r="M61" s="92">
        <f>VLOOKUP($A61,'Data Vlaue (Cr)'!$C:$FB,98)</f>
        <v>-0.48270000000000002</v>
      </c>
      <c r="N61" s="91">
        <f>VLOOKUP($A61,'Data Vlaue (Cr)'!$C:$FB,79)</f>
        <v>76</v>
      </c>
      <c r="O61" s="92">
        <f>VLOOKUP($A61,'Data Vlaue (Cr)'!$C:$FB,82)</f>
        <v>-0.61180000000000001</v>
      </c>
    </row>
    <row r="62" spans="1:15" x14ac:dyDescent="0.25">
      <c r="A62" s="97" t="str">
        <f>'Data Vlaue (Cr)'!C57</f>
        <v>CROMPTON</v>
      </c>
      <c r="B62" s="142">
        <f>VLOOKUP(A62,'Data Vlaue (Cr)'!C57:CW286,99,0)</f>
        <v>1441</v>
      </c>
      <c r="C62" s="90">
        <f>VLOOKUP(A62,'Data Vlaue (Cr)'!C57:CY286,101,0)</f>
        <v>-267</v>
      </c>
      <c r="D62" s="139">
        <f>VLOOKUP(A62,'Data Vlaue (Cr)'!C57:CZ286,102,0)</f>
        <v>-0.1565</v>
      </c>
      <c r="E62" s="91">
        <f>VLOOKUP($A62,'Data Vlaue (Cr)'!$C:$FB,75)</f>
        <v>1271</v>
      </c>
      <c r="F62" s="91">
        <f>VLOOKUP($A62,'Data Vlaue (Cr)'!$C:$FB,77)</f>
        <v>-33</v>
      </c>
      <c r="G62" s="92">
        <f>VLOOKUP(A62,'Data Vlaue (Cr)'!C57:CB286,78,0)</f>
        <v>-2.52E-2</v>
      </c>
      <c r="H62" s="91">
        <f>VLOOKUP($A62,'Data Vlaue (Cr)'!$C:$FB,91)</f>
        <v>78</v>
      </c>
      <c r="I62" s="91">
        <f>VLOOKUP($A62,'Data Vlaue (Cr)'!$C:$FB,93)</f>
        <v>-165</v>
      </c>
      <c r="J62" s="92">
        <f>VLOOKUP($A62,'Data Vlaue (Cr)'!$C:$FB,94)</f>
        <v>-0.68069999999999997</v>
      </c>
      <c r="K62" s="91">
        <f>VLOOKUP($A62,'Data Vlaue (Cr)'!$C:$FB,95)</f>
        <v>93</v>
      </c>
      <c r="L62" s="91">
        <f>VLOOKUP($A62,'Data Vlaue (Cr)'!$C:$FB,97)</f>
        <v>-69</v>
      </c>
      <c r="M62" s="92">
        <f>VLOOKUP($A62,'Data Vlaue (Cr)'!$C:$FB,98)</f>
        <v>-0.42630000000000001</v>
      </c>
      <c r="N62" s="91">
        <f>VLOOKUP($A62,'Data Vlaue (Cr)'!$C:$FB,79)</f>
        <v>23</v>
      </c>
      <c r="O62" s="92">
        <f>VLOOKUP($A62,'Data Vlaue (Cr)'!$C:$FB,82)</f>
        <v>-0.79600000000000004</v>
      </c>
    </row>
    <row r="63" spans="1:15" x14ac:dyDescent="0.25">
      <c r="A63" s="97" t="str">
        <f>'Data Vlaue (Cr)'!C58</f>
        <v>CUMMINSIND</v>
      </c>
      <c r="B63" s="142">
        <f>VLOOKUP(A63,'Data Vlaue (Cr)'!C58:CW287,99,0)</f>
        <v>1327</v>
      </c>
      <c r="C63" s="90">
        <f>VLOOKUP(A63,'Data Vlaue (Cr)'!C58:CY287,101,0)</f>
        <v>-394</v>
      </c>
      <c r="D63" s="139">
        <f>VLOOKUP(A63,'Data Vlaue (Cr)'!C58:CZ287,102,0)</f>
        <v>-0.22919999999999999</v>
      </c>
      <c r="E63" s="91">
        <f>VLOOKUP($A63,'Data Vlaue (Cr)'!$C:$FB,75)</f>
        <v>1203</v>
      </c>
      <c r="F63" s="91">
        <f>VLOOKUP($A63,'Data Vlaue (Cr)'!$C:$FB,77)</f>
        <v>-93</v>
      </c>
      <c r="G63" s="92">
        <f>VLOOKUP(A63,'Data Vlaue (Cr)'!C58:CB287,78,0)</f>
        <v>-7.1599999999999997E-2</v>
      </c>
      <c r="H63" s="91">
        <f>VLOOKUP($A63,'Data Vlaue (Cr)'!$C:$FB,91)</f>
        <v>60</v>
      </c>
      <c r="I63" s="91">
        <f>VLOOKUP($A63,'Data Vlaue (Cr)'!$C:$FB,93)</f>
        <v>-162</v>
      </c>
      <c r="J63" s="92">
        <f>VLOOKUP($A63,'Data Vlaue (Cr)'!$C:$FB,94)</f>
        <v>-0.73</v>
      </c>
      <c r="K63" s="91">
        <f>VLOOKUP($A63,'Data Vlaue (Cr)'!$C:$FB,95)</f>
        <v>64</v>
      </c>
      <c r="L63" s="91">
        <f>VLOOKUP($A63,'Data Vlaue (Cr)'!$C:$FB,97)</f>
        <v>-139</v>
      </c>
      <c r="M63" s="92">
        <f>VLOOKUP($A63,'Data Vlaue (Cr)'!$C:$FB,98)</f>
        <v>-0.68579999999999997</v>
      </c>
      <c r="N63" s="91">
        <f>VLOOKUP($A63,'Data Vlaue (Cr)'!$C:$FB,79)</f>
        <v>64</v>
      </c>
      <c r="O63" s="92">
        <f>VLOOKUP($A63,'Data Vlaue (Cr)'!$C:$FB,82)</f>
        <v>-0.60880000000000001</v>
      </c>
    </row>
    <row r="64" spans="1:15" x14ac:dyDescent="0.25">
      <c r="A64" s="97" t="str">
        <f>'Data Vlaue (Cr)'!C59</f>
        <v>CYIENT</v>
      </c>
      <c r="B64" s="142">
        <f>VLOOKUP(A64,'Data Vlaue (Cr)'!C59:CW288,99,0)</f>
        <v>438</v>
      </c>
      <c r="C64" s="90">
        <f>VLOOKUP(A64,'Data Vlaue (Cr)'!C59:CY288,101,0)</f>
        <v>-223</v>
      </c>
      <c r="D64" s="139">
        <f>VLOOKUP(A64,'Data Vlaue (Cr)'!C59:CZ288,102,0)</f>
        <v>-0.33729999999999999</v>
      </c>
      <c r="E64" s="91">
        <f>VLOOKUP($A64,'Data Vlaue (Cr)'!$C:$FB,75)</f>
        <v>344</v>
      </c>
      <c r="F64" s="91">
        <f>VLOOKUP($A64,'Data Vlaue (Cr)'!$C:$FB,77)</f>
        <v>-24</v>
      </c>
      <c r="G64" s="92">
        <f>VLOOKUP(A64,'Data Vlaue (Cr)'!C59:CB288,78,0)</f>
        <v>-6.5799999999999997E-2</v>
      </c>
      <c r="H64" s="91">
        <f>VLOOKUP($A64,'Data Vlaue (Cr)'!$C:$FB,91)</f>
        <v>45</v>
      </c>
      <c r="I64" s="91">
        <f>VLOOKUP($A64,'Data Vlaue (Cr)'!$C:$FB,93)</f>
        <v>-127</v>
      </c>
      <c r="J64" s="92">
        <f>VLOOKUP($A64,'Data Vlaue (Cr)'!$C:$FB,94)</f>
        <v>-0.73740000000000006</v>
      </c>
      <c r="K64" s="91">
        <f>VLOOKUP($A64,'Data Vlaue (Cr)'!$C:$FB,95)</f>
        <v>48</v>
      </c>
      <c r="L64" s="91">
        <f>VLOOKUP($A64,'Data Vlaue (Cr)'!$C:$FB,97)</f>
        <v>-71</v>
      </c>
      <c r="M64" s="92">
        <f>VLOOKUP($A64,'Data Vlaue (Cr)'!$C:$FB,98)</f>
        <v>-0.59609999999999996</v>
      </c>
      <c r="N64" s="91">
        <f>VLOOKUP($A64,'Data Vlaue (Cr)'!$C:$FB,79)</f>
        <v>17</v>
      </c>
      <c r="O64" s="92">
        <f>VLOOKUP($A64,'Data Vlaue (Cr)'!$C:$FB,82)</f>
        <v>-0.78480000000000005</v>
      </c>
    </row>
    <row r="65" spans="1:15" x14ac:dyDescent="0.25">
      <c r="A65" s="97" t="str">
        <f>'Data Vlaue (Cr)'!C60</f>
        <v>DABUR</v>
      </c>
      <c r="B65" s="142">
        <f>VLOOKUP(A65,'Data Vlaue (Cr)'!C60:CW289,99,0)</f>
        <v>1334</v>
      </c>
      <c r="C65" s="90">
        <f>VLOOKUP(A65,'Data Vlaue (Cr)'!C60:CY289,101,0)</f>
        <v>-924</v>
      </c>
      <c r="D65" s="139">
        <f>VLOOKUP(A65,'Data Vlaue (Cr)'!C60:CZ289,102,0)</f>
        <v>-0.4093</v>
      </c>
      <c r="E65" s="91">
        <f>VLOOKUP($A65,'Data Vlaue (Cr)'!$C:$FB,75)</f>
        <v>865</v>
      </c>
      <c r="F65" s="91">
        <f>VLOOKUP($A65,'Data Vlaue (Cr)'!$C:$FB,77)</f>
        <v>-95</v>
      </c>
      <c r="G65" s="92">
        <f>VLOOKUP(A65,'Data Vlaue (Cr)'!C60:CB289,78,0)</f>
        <v>-9.8699999999999996E-2</v>
      </c>
      <c r="H65" s="91">
        <f>VLOOKUP($A65,'Data Vlaue (Cr)'!$C:$FB,91)</f>
        <v>286</v>
      </c>
      <c r="I65" s="91">
        <f>VLOOKUP($A65,'Data Vlaue (Cr)'!$C:$FB,93)</f>
        <v>-352</v>
      </c>
      <c r="J65" s="92">
        <f>VLOOKUP($A65,'Data Vlaue (Cr)'!$C:$FB,94)</f>
        <v>-0.55189999999999995</v>
      </c>
      <c r="K65" s="91">
        <f>VLOOKUP($A65,'Data Vlaue (Cr)'!$C:$FB,95)</f>
        <v>183</v>
      </c>
      <c r="L65" s="91">
        <f>VLOOKUP($A65,'Data Vlaue (Cr)'!$C:$FB,97)</f>
        <v>-478</v>
      </c>
      <c r="M65" s="92">
        <f>VLOOKUP($A65,'Data Vlaue (Cr)'!$C:$FB,98)</f>
        <v>-0.72309999999999997</v>
      </c>
      <c r="N65" s="91">
        <f>VLOOKUP($A65,'Data Vlaue (Cr)'!$C:$FB,79)</f>
        <v>50</v>
      </c>
      <c r="O65" s="92">
        <f>VLOOKUP($A65,'Data Vlaue (Cr)'!$C:$FB,82)</f>
        <v>-0.52</v>
      </c>
    </row>
    <row r="66" spans="1:15" x14ac:dyDescent="0.25">
      <c r="A66" s="97" t="str">
        <f>'Data Vlaue (Cr)'!C61</f>
        <v>DALBHARAT</v>
      </c>
      <c r="B66" s="142">
        <f>VLOOKUP(A66,'Data Vlaue (Cr)'!C61:CW290,99,0)</f>
        <v>666</v>
      </c>
      <c r="C66" s="90">
        <f>VLOOKUP(A66,'Data Vlaue (Cr)'!C61:CY290,101,0)</f>
        <v>-373</v>
      </c>
      <c r="D66" s="139">
        <f>VLOOKUP(A66,'Data Vlaue (Cr)'!C61:CZ290,102,0)</f>
        <v>-0.35909999999999997</v>
      </c>
      <c r="E66" s="91">
        <f>VLOOKUP($A66,'Data Vlaue (Cr)'!$C:$FB,75)</f>
        <v>606</v>
      </c>
      <c r="F66" s="91">
        <f>VLOOKUP($A66,'Data Vlaue (Cr)'!$C:$FB,77)</f>
        <v>-121</v>
      </c>
      <c r="G66" s="92">
        <f>VLOOKUP(A66,'Data Vlaue (Cr)'!C61:CB290,78,0)</f>
        <v>-0.16669999999999999</v>
      </c>
      <c r="H66" s="91">
        <f>VLOOKUP($A66,'Data Vlaue (Cr)'!$C:$FB,91)</f>
        <v>37</v>
      </c>
      <c r="I66" s="91">
        <f>VLOOKUP($A66,'Data Vlaue (Cr)'!$C:$FB,93)</f>
        <v>-160</v>
      </c>
      <c r="J66" s="92">
        <f>VLOOKUP($A66,'Data Vlaue (Cr)'!$C:$FB,94)</f>
        <v>-0.81240000000000001</v>
      </c>
      <c r="K66" s="91">
        <f>VLOOKUP($A66,'Data Vlaue (Cr)'!$C:$FB,95)</f>
        <v>23</v>
      </c>
      <c r="L66" s="91">
        <f>VLOOKUP($A66,'Data Vlaue (Cr)'!$C:$FB,97)</f>
        <v>-92</v>
      </c>
      <c r="M66" s="92">
        <f>VLOOKUP($A66,'Data Vlaue (Cr)'!$C:$FB,98)</f>
        <v>-0.79910000000000003</v>
      </c>
      <c r="N66" s="91">
        <f>VLOOKUP($A66,'Data Vlaue (Cr)'!$C:$FB,79)</f>
        <v>107</v>
      </c>
      <c r="O66" s="92">
        <f>VLOOKUP($A66,'Data Vlaue (Cr)'!$C:$FB,82)</f>
        <v>-0.28299999999999997</v>
      </c>
    </row>
    <row r="67" spans="1:15" x14ac:dyDescent="0.25">
      <c r="A67" s="97" t="str">
        <f>'Data Vlaue (Cr)'!C62</f>
        <v>DELHIVERY</v>
      </c>
      <c r="B67" s="142">
        <f>VLOOKUP(A67,'Data Vlaue (Cr)'!C62:CW291,99,0)</f>
        <v>811</v>
      </c>
      <c r="C67" s="90">
        <f>VLOOKUP(A67,'Data Vlaue (Cr)'!C62:CY291,101,0)</f>
        <v>-257</v>
      </c>
      <c r="D67" s="139">
        <f>VLOOKUP(A67,'Data Vlaue (Cr)'!C62:CZ291,102,0)</f>
        <v>-0.24060000000000001</v>
      </c>
      <c r="E67" s="91">
        <f>VLOOKUP($A67,'Data Vlaue (Cr)'!$C:$FB,75)</f>
        <v>508</v>
      </c>
      <c r="F67" s="91">
        <f>VLOOKUP($A67,'Data Vlaue (Cr)'!$C:$FB,77)</f>
        <v>-31</v>
      </c>
      <c r="G67" s="92">
        <f>VLOOKUP(A67,'Data Vlaue (Cr)'!C62:CB291,78,0)</f>
        <v>-5.8299999999999998E-2</v>
      </c>
      <c r="H67" s="91">
        <f>VLOOKUP($A67,'Data Vlaue (Cr)'!$C:$FB,91)</f>
        <v>205</v>
      </c>
      <c r="I67" s="91">
        <f>VLOOKUP($A67,'Data Vlaue (Cr)'!$C:$FB,93)</f>
        <v>-130</v>
      </c>
      <c r="J67" s="92">
        <f>VLOOKUP($A67,'Data Vlaue (Cr)'!$C:$FB,94)</f>
        <v>-0.38769999999999999</v>
      </c>
      <c r="K67" s="91">
        <f>VLOOKUP($A67,'Data Vlaue (Cr)'!$C:$FB,95)</f>
        <v>98</v>
      </c>
      <c r="L67" s="91">
        <f>VLOOKUP($A67,'Data Vlaue (Cr)'!$C:$FB,97)</f>
        <v>-96</v>
      </c>
      <c r="M67" s="92">
        <f>VLOOKUP($A67,'Data Vlaue (Cr)'!$C:$FB,98)</f>
        <v>-0.49490000000000001</v>
      </c>
      <c r="N67" s="91">
        <f>VLOOKUP($A67,'Data Vlaue (Cr)'!$C:$FB,79)</f>
        <v>21</v>
      </c>
      <c r="O67" s="92">
        <f>VLOOKUP($A67,'Data Vlaue (Cr)'!$C:$FB,82)</f>
        <v>-0.78859999999999997</v>
      </c>
    </row>
    <row r="68" spans="1:15" x14ac:dyDescent="0.25">
      <c r="A68" s="97" t="str">
        <f>'Data Vlaue (Cr)'!C63</f>
        <v>DIVISLAB</v>
      </c>
      <c r="B68" s="142">
        <f>VLOOKUP(A68,'Data Vlaue (Cr)'!C63:CW292,99,0)</f>
        <v>2340</v>
      </c>
      <c r="C68" s="90">
        <f>VLOOKUP(A68,'Data Vlaue (Cr)'!C63:CY292,101,0)</f>
        <v>-776</v>
      </c>
      <c r="D68" s="139">
        <f>VLOOKUP(A68,'Data Vlaue (Cr)'!C63:CZ292,102,0)</f>
        <v>-0.249</v>
      </c>
      <c r="E68" s="91">
        <f>VLOOKUP($A68,'Data Vlaue (Cr)'!$C:$FB,75)</f>
        <v>1968</v>
      </c>
      <c r="F68" s="91">
        <f>VLOOKUP($A68,'Data Vlaue (Cr)'!$C:$FB,77)</f>
        <v>-52</v>
      </c>
      <c r="G68" s="92">
        <f>VLOOKUP(A68,'Data Vlaue (Cr)'!C63:CB292,78,0)</f>
        <v>-2.5499999999999998E-2</v>
      </c>
      <c r="H68" s="91">
        <f>VLOOKUP($A68,'Data Vlaue (Cr)'!$C:$FB,91)</f>
        <v>224</v>
      </c>
      <c r="I68" s="91">
        <f>VLOOKUP($A68,'Data Vlaue (Cr)'!$C:$FB,93)</f>
        <v>-471</v>
      </c>
      <c r="J68" s="92">
        <f>VLOOKUP($A68,'Data Vlaue (Cr)'!$C:$FB,94)</f>
        <v>-0.67830000000000001</v>
      </c>
      <c r="K68" s="91">
        <f>VLOOKUP($A68,'Data Vlaue (Cr)'!$C:$FB,95)</f>
        <v>149</v>
      </c>
      <c r="L68" s="91">
        <f>VLOOKUP($A68,'Data Vlaue (Cr)'!$C:$FB,97)</f>
        <v>-253</v>
      </c>
      <c r="M68" s="92">
        <f>VLOOKUP($A68,'Data Vlaue (Cr)'!$C:$FB,98)</f>
        <v>-0.62919999999999998</v>
      </c>
      <c r="N68" s="91">
        <f>VLOOKUP($A68,'Data Vlaue (Cr)'!$C:$FB,79)</f>
        <v>41</v>
      </c>
      <c r="O68" s="92">
        <f>VLOOKUP($A68,'Data Vlaue (Cr)'!$C:$FB,82)</f>
        <v>-0.71289999999999998</v>
      </c>
    </row>
    <row r="69" spans="1:15" x14ac:dyDescent="0.25">
      <c r="A69" s="97" t="str">
        <f>'Data Vlaue (Cr)'!C64</f>
        <v>DIXON</v>
      </c>
      <c r="B69" s="142">
        <f>VLOOKUP(A69,'Data Vlaue (Cr)'!C64:CW293,99,0)</f>
        <v>3630</v>
      </c>
      <c r="C69" s="90">
        <f>VLOOKUP(A69,'Data Vlaue (Cr)'!C64:CY293,101,0)</f>
        <v>-2476</v>
      </c>
      <c r="D69" s="139">
        <f>VLOOKUP(A69,'Data Vlaue (Cr)'!C64:CZ293,102,0)</f>
        <v>-0.40550000000000003</v>
      </c>
      <c r="E69" s="91">
        <f>VLOOKUP($A69,'Data Vlaue (Cr)'!$C:$FB,75)</f>
        <v>2302</v>
      </c>
      <c r="F69" s="91">
        <f>VLOOKUP($A69,'Data Vlaue (Cr)'!$C:$FB,77)</f>
        <v>-441</v>
      </c>
      <c r="G69" s="92">
        <f>VLOOKUP(A69,'Data Vlaue (Cr)'!C64:CB293,78,0)</f>
        <v>-0.1608</v>
      </c>
      <c r="H69" s="91">
        <f>VLOOKUP($A69,'Data Vlaue (Cr)'!$C:$FB,91)</f>
        <v>683</v>
      </c>
      <c r="I69" s="91">
        <f>VLOOKUP($A69,'Data Vlaue (Cr)'!$C:$FB,93)</f>
        <v>-1103</v>
      </c>
      <c r="J69" s="92">
        <f>VLOOKUP($A69,'Data Vlaue (Cr)'!$C:$FB,94)</f>
        <v>-0.61770000000000003</v>
      </c>
      <c r="K69" s="91">
        <f>VLOOKUP($A69,'Data Vlaue (Cr)'!$C:$FB,95)</f>
        <v>645</v>
      </c>
      <c r="L69" s="91">
        <f>VLOOKUP($A69,'Data Vlaue (Cr)'!$C:$FB,97)</f>
        <v>-932</v>
      </c>
      <c r="M69" s="92">
        <f>VLOOKUP($A69,'Data Vlaue (Cr)'!$C:$FB,98)</f>
        <v>-0.59089999999999998</v>
      </c>
      <c r="N69" s="91">
        <f>VLOOKUP($A69,'Data Vlaue (Cr)'!$C:$FB,79)</f>
        <v>320</v>
      </c>
      <c r="O69" s="92">
        <f>VLOOKUP($A69,'Data Vlaue (Cr)'!$C:$FB,82)</f>
        <v>-0.55759999999999998</v>
      </c>
    </row>
    <row r="70" spans="1:15" x14ac:dyDescent="0.25">
      <c r="A70" s="97" t="str">
        <f>'Data Vlaue (Cr)'!C65</f>
        <v>DLF</v>
      </c>
      <c r="B70" s="142">
        <f>VLOOKUP(A70,'Data Vlaue (Cr)'!C65:CW294,99,0)</f>
        <v>3876</v>
      </c>
      <c r="C70" s="90">
        <f>VLOOKUP(A70,'Data Vlaue (Cr)'!C65:CY294,101,0)</f>
        <v>-1185</v>
      </c>
      <c r="D70" s="139">
        <f>VLOOKUP(A70,'Data Vlaue (Cr)'!C65:CZ294,102,0)</f>
        <v>-0.2341</v>
      </c>
      <c r="E70" s="91">
        <f>VLOOKUP($A70,'Data Vlaue (Cr)'!$C:$FB,75)</f>
        <v>2747</v>
      </c>
      <c r="F70" s="91">
        <f>VLOOKUP($A70,'Data Vlaue (Cr)'!$C:$FB,77)</f>
        <v>-140</v>
      </c>
      <c r="G70" s="92">
        <f>VLOOKUP(A70,'Data Vlaue (Cr)'!C65:CB294,78,0)</f>
        <v>-4.8599999999999997E-2</v>
      </c>
      <c r="H70" s="91">
        <f>VLOOKUP($A70,'Data Vlaue (Cr)'!$C:$FB,91)</f>
        <v>609</v>
      </c>
      <c r="I70" s="91">
        <f>VLOOKUP($A70,'Data Vlaue (Cr)'!$C:$FB,93)</f>
        <v>-731</v>
      </c>
      <c r="J70" s="92">
        <f>VLOOKUP($A70,'Data Vlaue (Cr)'!$C:$FB,94)</f>
        <v>-0.54579999999999995</v>
      </c>
      <c r="K70" s="91">
        <f>VLOOKUP($A70,'Data Vlaue (Cr)'!$C:$FB,95)</f>
        <v>521</v>
      </c>
      <c r="L70" s="91">
        <f>VLOOKUP($A70,'Data Vlaue (Cr)'!$C:$FB,97)</f>
        <v>-313</v>
      </c>
      <c r="M70" s="92">
        <f>VLOOKUP($A70,'Data Vlaue (Cr)'!$C:$FB,98)</f>
        <v>-0.37559999999999999</v>
      </c>
      <c r="N70" s="91">
        <f>VLOOKUP($A70,'Data Vlaue (Cr)'!$C:$FB,79)</f>
        <v>139</v>
      </c>
      <c r="O70" s="92">
        <f>VLOOKUP($A70,'Data Vlaue (Cr)'!$C:$FB,82)</f>
        <v>-0.71109999999999995</v>
      </c>
    </row>
    <row r="71" spans="1:15" x14ac:dyDescent="0.25">
      <c r="A71" s="97" t="str">
        <f>'Data Vlaue (Cr)'!C66</f>
        <v>DMART</v>
      </c>
      <c r="B71" s="142">
        <f>VLOOKUP(A71,'Data Vlaue (Cr)'!C66:CW295,99,0)</f>
        <v>2953</v>
      </c>
      <c r="C71" s="90">
        <f>VLOOKUP(A71,'Data Vlaue (Cr)'!C66:CY295,101,0)</f>
        <v>-1851</v>
      </c>
      <c r="D71" s="139">
        <f>VLOOKUP(A71,'Data Vlaue (Cr)'!C66:CZ295,102,0)</f>
        <v>-0.38529999999999998</v>
      </c>
      <c r="E71" s="91">
        <f>VLOOKUP($A71,'Data Vlaue (Cr)'!$C:$FB,75)</f>
        <v>2227</v>
      </c>
      <c r="F71" s="91">
        <f>VLOOKUP($A71,'Data Vlaue (Cr)'!$C:$FB,77)</f>
        <v>-510</v>
      </c>
      <c r="G71" s="92">
        <f>VLOOKUP(A71,'Data Vlaue (Cr)'!C66:CB295,78,0)</f>
        <v>-0.18640000000000001</v>
      </c>
      <c r="H71" s="91">
        <f>VLOOKUP($A71,'Data Vlaue (Cr)'!$C:$FB,91)</f>
        <v>437</v>
      </c>
      <c r="I71" s="91">
        <f>VLOOKUP($A71,'Data Vlaue (Cr)'!$C:$FB,93)</f>
        <v>-716</v>
      </c>
      <c r="J71" s="92">
        <f>VLOOKUP($A71,'Data Vlaue (Cr)'!$C:$FB,94)</f>
        <v>-0.62090000000000001</v>
      </c>
      <c r="K71" s="91">
        <f>VLOOKUP($A71,'Data Vlaue (Cr)'!$C:$FB,95)</f>
        <v>288</v>
      </c>
      <c r="L71" s="91">
        <f>VLOOKUP($A71,'Data Vlaue (Cr)'!$C:$FB,97)</f>
        <v>-624</v>
      </c>
      <c r="M71" s="92">
        <f>VLOOKUP($A71,'Data Vlaue (Cr)'!$C:$FB,98)</f>
        <v>-0.68400000000000005</v>
      </c>
      <c r="N71" s="91">
        <f>VLOOKUP($A71,'Data Vlaue (Cr)'!$C:$FB,79)</f>
        <v>372</v>
      </c>
      <c r="O71" s="92">
        <f>VLOOKUP($A71,'Data Vlaue (Cr)'!$C:$FB,82)</f>
        <v>-0.24229999999999999</v>
      </c>
    </row>
    <row r="72" spans="1:15" x14ac:dyDescent="0.25">
      <c r="A72" s="97" t="str">
        <f>'Data Vlaue (Cr)'!C67</f>
        <v>DRREDDY</v>
      </c>
      <c r="B72" s="142">
        <f>VLOOKUP(A72,'Data Vlaue (Cr)'!C67:CW296,99,0)</f>
        <v>1940</v>
      </c>
      <c r="C72" s="90">
        <f>VLOOKUP(A72,'Data Vlaue (Cr)'!C67:CY296,101,0)</f>
        <v>-1878</v>
      </c>
      <c r="D72" s="139">
        <f>VLOOKUP(A72,'Data Vlaue (Cr)'!C67:CZ296,102,0)</f>
        <v>-0.4919</v>
      </c>
      <c r="E72" s="91">
        <f>VLOOKUP($A72,'Data Vlaue (Cr)'!$C:$FB,75)</f>
        <v>1437</v>
      </c>
      <c r="F72" s="91">
        <f>VLOOKUP($A72,'Data Vlaue (Cr)'!$C:$FB,77)</f>
        <v>-128</v>
      </c>
      <c r="G72" s="92">
        <f>VLOOKUP(A72,'Data Vlaue (Cr)'!C67:CB296,78,0)</f>
        <v>-8.1900000000000001E-2</v>
      </c>
      <c r="H72" s="91">
        <f>VLOOKUP($A72,'Data Vlaue (Cr)'!$C:$FB,91)</f>
        <v>315</v>
      </c>
      <c r="I72" s="91">
        <f>VLOOKUP($A72,'Data Vlaue (Cr)'!$C:$FB,93)</f>
        <v>-1234</v>
      </c>
      <c r="J72" s="92">
        <f>VLOOKUP($A72,'Data Vlaue (Cr)'!$C:$FB,94)</f>
        <v>-0.79649999999999999</v>
      </c>
      <c r="K72" s="91">
        <f>VLOOKUP($A72,'Data Vlaue (Cr)'!$C:$FB,95)</f>
        <v>187</v>
      </c>
      <c r="L72" s="91">
        <f>VLOOKUP($A72,'Data Vlaue (Cr)'!$C:$FB,97)</f>
        <v>-516</v>
      </c>
      <c r="M72" s="92">
        <f>VLOOKUP($A72,'Data Vlaue (Cr)'!$C:$FB,98)</f>
        <v>-0.73350000000000004</v>
      </c>
      <c r="N72" s="91">
        <f>VLOOKUP($A72,'Data Vlaue (Cr)'!$C:$FB,79)</f>
        <v>142</v>
      </c>
      <c r="O72" s="92">
        <f>VLOOKUP($A72,'Data Vlaue (Cr)'!$C:$FB,82)</f>
        <v>-0.43669999999999998</v>
      </c>
    </row>
    <row r="73" spans="1:15" x14ac:dyDescent="0.25">
      <c r="A73" s="97" t="str">
        <f>'Data Vlaue (Cr)'!C68</f>
        <v>EICHERMOT</v>
      </c>
      <c r="B73" s="142">
        <f>VLOOKUP(A73,'Data Vlaue (Cr)'!C68:CW297,99,0)</f>
        <v>2304</v>
      </c>
      <c r="C73" s="90">
        <f>VLOOKUP(A73,'Data Vlaue (Cr)'!C68:CY297,101,0)</f>
        <v>-1110</v>
      </c>
      <c r="D73" s="139">
        <f>VLOOKUP(A73,'Data Vlaue (Cr)'!C68:CZ297,102,0)</f>
        <v>-0.3251</v>
      </c>
      <c r="E73" s="91">
        <f>VLOOKUP($A73,'Data Vlaue (Cr)'!$C:$FB,75)</f>
        <v>1639</v>
      </c>
      <c r="F73" s="91">
        <f>VLOOKUP($A73,'Data Vlaue (Cr)'!$C:$FB,77)</f>
        <v>-152</v>
      </c>
      <c r="G73" s="92">
        <f>VLOOKUP(A73,'Data Vlaue (Cr)'!C68:CB297,78,0)</f>
        <v>-8.4699999999999998E-2</v>
      </c>
      <c r="H73" s="91">
        <f>VLOOKUP($A73,'Data Vlaue (Cr)'!$C:$FB,91)</f>
        <v>384</v>
      </c>
      <c r="I73" s="91">
        <f>VLOOKUP($A73,'Data Vlaue (Cr)'!$C:$FB,93)</f>
        <v>-678</v>
      </c>
      <c r="J73" s="92">
        <f>VLOOKUP($A73,'Data Vlaue (Cr)'!$C:$FB,94)</f>
        <v>-0.63870000000000005</v>
      </c>
      <c r="K73" s="91">
        <f>VLOOKUP($A73,'Data Vlaue (Cr)'!$C:$FB,95)</f>
        <v>282</v>
      </c>
      <c r="L73" s="91">
        <f>VLOOKUP($A73,'Data Vlaue (Cr)'!$C:$FB,97)</f>
        <v>-280</v>
      </c>
      <c r="M73" s="92">
        <f>VLOOKUP($A73,'Data Vlaue (Cr)'!$C:$FB,98)</f>
        <v>-0.49840000000000001</v>
      </c>
      <c r="N73" s="91">
        <f>VLOOKUP($A73,'Data Vlaue (Cr)'!$C:$FB,79)</f>
        <v>121</v>
      </c>
      <c r="O73" s="92">
        <f>VLOOKUP($A73,'Data Vlaue (Cr)'!$C:$FB,82)</f>
        <v>-0.44600000000000001</v>
      </c>
    </row>
    <row r="74" spans="1:15" x14ac:dyDescent="0.25">
      <c r="A74" s="97" t="str">
        <f>'Data Vlaue (Cr)'!C69</f>
        <v>ETERNAL</v>
      </c>
      <c r="B74" s="142">
        <f>VLOOKUP(A74,'Data Vlaue (Cr)'!C69:CW298,99,0)</f>
        <v>7089</v>
      </c>
      <c r="C74" s="90">
        <f>VLOOKUP(A74,'Data Vlaue (Cr)'!C69:CY298,101,0)</f>
        <v>-3064</v>
      </c>
      <c r="D74" s="139">
        <f>VLOOKUP(A74,'Data Vlaue (Cr)'!C69:CZ298,102,0)</f>
        <v>-0.30180000000000001</v>
      </c>
      <c r="E74" s="91">
        <f>VLOOKUP($A74,'Data Vlaue (Cr)'!$C:$FB,75)</f>
        <v>4962</v>
      </c>
      <c r="F74" s="91">
        <f>VLOOKUP($A74,'Data Vlaue (Cr)'!$C:$FB,77)</f>
        <v>-305</v>
      </c>
      <c r="G74" s="92">
        <f>VLOOKUP(A74,'Data Vlaue (Cr)'!C69:CB298,78,0)</f>
        <v>-5.79E-2</v>
      </c>
      <c r="H74" s="91">
        <f>VLOOKUP($A74,'Data Vlaue (Cr)'!$C:$FB,91)</f>
        <v>1192</v>
      </c>
      <c r="I74" s="91">
        <f>VLOOKUP($A74,'Data Vlaue (Cr)'!$C:$FB,93)</f>
        <v>-1324</v>
      </c>
      <c r="J74" s="92">
        <f>VLOOKUP($A74,'Data Vlaue (Cr)'!$C:$FB,94)</f>
        <v>-0.52610000000000001</v>
      </c>
      <c r="K74" s="91">
        <f>VLOOKUP($A74,'Data Vlaue (Cr)'!$C:$FB,95)</f>
        <v>935</v>
      </c>
      <c r="L74" s="91">
        <f>VLOOKUP($A74,'Data Vlaue (Cr)'!$C:$FB,97)</f>
        <v>-1435</v>
      </c>
      <c r="M74" s="92">
        <f>VLOOKUP($A74,'Data Vlaue (Cr)'!$C:$FB,98)</f>
        <v>-0.60550000000000004</v>
      </c>
      <c r="N74" s="91">
        <f>VLOOKUP($A74,'Data Vlaue (Cr)'!$C:$FB,79)</f>
        <v>366</v>
      </c>
      <c r="O74" s="92">
        <f>VLOOKUP($A74,'Data Vlaue (Cr)'!$C:$FB,82)</f>
        <v>-0.56100000000000005</v>
      </c>
    </row>
    <row r="75" spans="1:15" x14ac:dyDescent="0.25">
      <c r="A75" s="97" t="str">
        <f>'Data Vlaue (Cr)'!C70</f>
        <v>EXIDEIND</v>
      </c>
      <c r="B75" s="142">
        <f>VLOOKUP(A75,'Data Vlaue (Cr)'!C70:CW299,99,0)</f>
        <v>1212</v>
      </c>
      <c r="C75" s="90">
        <f>VLOOKUP(A75,'Data Vlaue (Cr)'!C70:CY299,101,0)</f>
        <v>-415</v>
      </c>
      <c r="D75" s="139">
        <f>VLOOKUP(A75,'Data Vlaue (Cr)'!C70:CZ299,102,0)</f>
        <v>-0.25519999999999998</v>
      </c>
      <c r="E75" s="91">
        <f>VLOOKUP($A75,'Data Vlaue (Cr)'!$C:$FB,75)</f>
        <v>828</v>
      </c>
      <c r="F75" s="91">
        <f>VLOOKUP($A75,'Data Vlaue (Cr)'!$C:$FB,77)</f>
        <v>-47</v>
      </c>
      <c r="G75" s="92">
        <f>VLOOKUP(A75,'Data Vlaue (Cr)'!C70:CB299,78,0)</f>
        <v>-5.3800000000000001E-2</v>
      </c>
      <c r="H75" s="91">
        <f>VLOOKUP($A75,'Data Vlaue (Cr)'!$C:$FB,91)</f>
        <v>208</v>
      </c>
      <c r="I75" s="91">
        <f>VLOOKUP($A75,'Data Vlaue (Cr)'!$C:$FB,93)</f>
        <v>-243</v>
      </c>
      <c r="J75" s="92">
        <f>VLOOKUP($A75,'Data Vlaue (Cr)'!$C:$FB,94)</f>
        <v>-0.53790000000000004</v>
      </c>
      <c r="K75" s="91">
        <f>VLOOKUP($A75,'Data Vlaue (Cr)'!$C:$FB,95)</f>
        <v>176</v>
      </c>
      <c r="L75" s="91">
        <f>VLOOKUP($A75,'Data Vlaue (Cr)'!$C:$FB,97)</f>
        <v>-126</v>
      </c>
      <c r="M75" s="92">
        <f>VLOOKUP($A75,'Data Vlaue (Cr)'!$C:$FB,98)</f>
        <v>-0.4168</v>
      </c>
      <c r="N75" s="91">
        <f>VLOOKUP($A75,'Data Vlaue (Cr)'!$C:$FB,79)</f>
        <v>48</v>
      </c>
      <c r="O75" s="92">
        <f>VLOOKUP($A75,'Data Vlaue (Cr)'!$C:$FB,82)</f>
        <v>-0.75609999999999999</v>
      </c>
    </row>
    <row r="76" spans="1:15" x14ac:dyDescent="0.25">
      <c r="A76" s="97" t="str">
        <f>'Data Vlaue (Cr)'!C71</f>
        <v>FEDERALBNK</v>
      </c>
      <c r="B76" s="142">
        <f>VLOOKUP(A76,'Data Vlaue (Cr)'!C71:CW300,99,0)</f>
        <v>2287</v>
      </c>
      <c r="C76" s="90">
        <f>VLOOKUP(A76,'Data Vlaue (Cr)'!C71:CY300,101,0)</f>
        <v>-874</v>
      </c>
      <c r="D76" s="139">
        <f>VLOOKUP(A76,'Data Vlaue (Cr)'!C71:CZ300,102,0)</f>
        <v>-0.27660000000000001</v>
      </c>
      <c r="E76" s="91">
        <f>VLOOKUP($A76,'Data Vlaue (Cr)'!$C:$FB,75)</f>
        <v>1565</v>
      </c>
      <c r="F76" s="91">
        <f>VLOOKUP($A76,'Data Vlaue (Cr)'!$C:$FB,77)</f>
        <v>-99</v>
      </c>
      <c r="G76" s="92">
        <f>VLOOKUP(A76,'Data Vlaue (Cr)'!C71:CB300,78,0)</f>
        <v>-5.96E-2</v>
      </c>
      <c r="H76" s="91">
        <f>VLOOKUP($A76,'Data Vlaue (Cr)'!$C:$FB,91)</f>
        <v>369</v>
      </c>
      <c r="I76" s="91">
        <f>VLOOKUP($A76,'Data Vlaue (Cr)'!$C:$FB,93)</f>
        <v>-527</v>
      </c>
      <c r="J76" s="92">
        <f>VLOOKUP($A76,'Data Vlaue (Cr)'!$C:$FB,94)</f>
        <v>-0.58809999999999996</v>
      </c>
      <c r="K76" s="91">
        <f>VLOOKUP($A76,'Data Vlaue (Cr)'!$C:$FB,95)</f>
        <v>353</v>
      </c>
      <c r="L76" s="91">
        <f>VLOOKUP($A76,'Data Vlaue (Cr)'!$C:$FB,97)</f>
        <v>-248</v>
      </c>
      <c r="M76" s="92">
        <f>VLOOKUP($A76,'Data Vlaue (Cr)'!$C:$FB,98)</f>
        <v>-0.41249999999999998</v>
      </c>
      <c r="N76" s="91">
        <f>VLOOKUP($A76,'Data Vlaue (Cr)'!$C:$FB,79)</f>
        <v>141</v>
      </c>
      <c r="O76" s="92">
        <f>VLOOKUP($A76,'Data Vlaue (Cr)'!$C:$FB,82)</f>
        <v>-0.56679999999999997</v>
      </c>
    </row>
    <row r="77" spans="1:15" x14ac:dyDescent="0.25">
      <c r="A77" s="97" t="str">
        <f>'Data Vlaue (Cr)'!C72</f>
        <v>FINNIFTY</v>
      </c>
      <c r="B77" s="142">
        <f>VLOOKUP(A77,'Data Vlaue (Cr)'!C72:CW301,99,0)</f>
        <v>522</v>
      </c>
      <c r="C77" s="90">
        <f>VLOOKUP(A77,'Data Vlaue (Cr)'!C72:CY301,101,0)</f>
        <v>-14820</v>
      </c>
      <c r="D77" s="139">
        <f>VLOOKUP(A77,'Data Vlaue (Cr)'!C72:CZ301,102,0)</f>
        <v>-0.96599999999999997</v>
      </c>
      <c r="E77" s="91">
        <f>VLOOKUP($A77,'Data Vlaue (Cr)'!$C:$FB,75)</f>
        <v>201</v>
      </c>
      <c r="F77" s="91">
        <f>VLOOKUP($A77,'Data Vlaue (Cr)'!$C:$FB,77)</f>
        <v>-56</v>
      </c>
      <c r="G77" s="92">
        <f>VLOOKUP(A77,'Data Vlaue (Cr)'!C72:CB301,78,0)</f>
        <v>-0.21729999999999999</v>
      </c>
      <c r="H77" s="91">
        <f>VLOOKUP($A77,'Data Vlaue (Cr)'!$C:$FB,91)</f>
        <v>158</v>
      </c>
      <c r="I77" s="91">
        <f>VLOOKUP($A77,'Data Vlaue (Cr)'!$C:$FB,93)</f>
        <v>-8733</v>
      </c>
      <c r="J77" s="92">
        <f>VLOOKUP($A77,'Data Vlaue (Cr)'!$C:$FB,94)</f>
        <v>-0.98229999999999995</v>
      </c>
      <c r="K77" s="91">
        <f>VLOOKUP($A77,'Data Vlaue (Cr)'!$C:$FB,95)</f>
        <v>163</v>
      </c>
      <c r="L77" s="91">
        <f>VLOOKUP($A77,'Data Vlaue (Cr)'!$C:$FB,97)</f>
        <v>-6031</v>
      </c>
      <c r="M77" s="92">
        <f>VLOOKUP($A77,'Data Vlaue (Cr)'!$C:$FB,98)</f>
        <v>-0.97370000000000001</v>
      </c>
      <c r="N77" s="91">
        <f>VLOOKUP($A77,'Data Vlaue (Cr)'!$C:$FB,79)</f>
        <v>70</v>
      </c>
      <c r="O77" s="92">
        <f>VLOOKUP($A77,'Data Vlaue (Cr)'!$C:$FB,82)</f>
        <v>-0.36849999999999999</v>
      </c>
    </row>
    <row r="78" spans="1:15" x14ac:dyDescent="0.25">
      <c r="A78" s="97" t="str">
        <f>'Data Vlaue (Cr)'!C73</f>
        <v>FORTIS</v>
      </c>
      <c r="B78" s="142">
        <f>VLOOKUP(A78,'Data Vlaue (Cr)'!C73:CW302,99,0)</f>
        <v>913</v>
      </c>
      <c r="C78" s="90">
        <f>VLOOKUP(A78,'Data Vlaue (Cr)'!C73:CY302,101,0)</f>
        <v>-372</v>
      </c>
      <c r="D78" s="139">
        <f>VLOOKUP(A78,'Data Vlaue (Cr)'!C73:CZ302,102,0)</f>
        <v>-0.28970000000000001</v>
      </c>
      <c r="E78" s="91">
        <f>VLOOKUP($A78,'Data Vlaue (Cr)'!$C:$FB,75)</f>
        <v>815</v>
      </c>
      <c r="F78" s="91">
        <f>VLOOKUP($A78,'Data Vlaue (Cr)'!$C:$FB,77)</f>
        <v>-71</v>
      </c>
      <c r="G78" s="92">
        <f>VLOOKUP(A78,'Data Vlaue (Cr)'!C73:CB302,78,0)</f>
        <v>-8.0500000000000002E-2</v>
      </c>
      <c r="H78" s="91">
        <f>VLOOKUP($A78,'Data Vlaue (Cr)'!$C:$FB,91)</f>
        <v>60</v>
      </c>
      <c r="I78" s="91">
        <f>VLOOKUP($A78,'Data Vlaue (Cr)'!$C:$FB,93)</f>
        <v>-167</v>
      </c>
      <c r="J78" s="92">
        <f>VLOOKUP($A78,'Data Vlaue (Cr)'!$C:$FB,94)</f>
        <v>-0.73440000000000005</v>
      </c>
      <c r="K78" s="91">
        <f>VLOOKUP($A78,'Data Vlaue (Cr)'!$C:$FB,95)</f>
        <v>37</v>
      </c>
      <c r="L78" s="91">
        <f>VLOOKUP($A78,'Data Vlaue (Cr)'!$C:$FB,97)</f>
        <v>-134</v>
      </c>
      <c r="M78" s="92">
        <f>VLOOKUP($A78,'Data Vlaue (Cr)'!$C:$FB,98)</f>
        <v>-0.78249999999999997</v>
      </c>
      <c r="N78" s="91">
        <f>VLOOKUP($A78,'Data Vlaue (Cr)'!$C:$FB,79)</f>
        <v>81</v>
      </c>
      <c r="O78" s="92">
        <f>VLOOKUP($A78,'Data Vlaue (Cr)'!$C:$FB,82)</f>
        <v>-0.2661</v>
      </c>
    </row>
    <row r="79" spans="1:15" x14ac:dyDescent="0.25">
      <c r="A79" s="97" t="str">
        <f>'Data Vlaue (Cr)'!C74</f>
        <v>GAIL</v>
      </c>
      <c r="B79" s="142">
        <f>VLOOKUP(A79,'Data Vlaue (Cr)'!C74:CW303,99,0)</f>
        <v>2533</v>
      </c>
      <c r="C79" s="90">
        <f>VLOOKUP(A79,'Data Vlaue (Cr)'!C74:CY303,101,0)</f>
        <v>-575</v>
      </c>
      <c r="D79" s="139">
        <f>VLOOKUP(A79,'Data Vlaue (Cr)'!C74:CZ303,102,0)</f>
        <v>-0.18509999999999999</v>
      </c>
      <c r="E79" s="91">
        <f>VLOOKUP($A79,'Data Vlaue (Cr)'!$C:$FB,75)</f>
        <v>1627</v>
      </c>
      <c r="F79" s="91">
        <f>VLOOKUP($A79,'Data Vlaue (Cr)'!$C:$FB,77)</f>
        <v>-39</v>
      </c>
      <c r="G79" s="92">
        <f>VLOOKUP(A79,'Data Vlaue (Cr)'!C74:CB303,78,0)</f>
        <v>-2.3300000000000001E-2</v>
      </c>
      <c r="H79" s="91">
        <f>VLOOKUP($A79,'Data Vlaue (Cr)'!$C:$FB,91)</f>
        <v>477</v>
      </c>
      <c r="I79" s="91">
        <f>VLOOKUP($A79,'Data Vlaue (Cr)'!$C:$FB,93)</f>
        <v>-378</v>
      </c>
      <c r="J79" s="92">
        <f>VLOOKUP($A79,'Data Vlaue (Cr)'!$C:$FB,94)</f>
        <v>-0.44230000000000003</v>
      </c>
      <c r="K79" s="91">
        <f>VLOOKUP($A79,'Data Vlaue (Cr)'!$C:$FB,95)</f>
        <v>430</v>
      </c>
      <c r="L79" s="91">
        <f>VLOOKUP($A79,'Data Vlaue (Cr)'!$C:$FB,97)</f>
        <v>-158</v>
      </c>
      <c r="M79" s="92">
        <f>VLOOKUP($A79,'Data Vlaue (Cr)'!$C:$FB,98)</f>
        <v>-0.26889999999999997</v>
      </c>
      <c r="N79" s="91">
        <f>VLOOKUP($A79,'Data Vlaue (Cr)'!$C:$FB,79)</f>
        <v>116</v>
      </c>
      <c r="O79" s="92">
        <f>VLOOKUP($A79,'Data Vlaue (Cr)'!$C:$FB,82)</f>
        <v>-0.56399999999999995</v>
      </c>
    </row>
    <row r="80" spans="1:15" x14ac:dyDescent="0.25">
      <c r="A80" s="97" t="str">
        <f>'Data Vlaue (Cr)'!C75</f>
        <v>GLENMARK</v>
      </c>
      <c r="B80" s="142">
        <f>VLOOKUP(A80,'Data Vlaue (Cr)'!C75:CW304,99,0)</f>
        <v>1841</v>
      </c>
      <c r="C80" s="90">
        <f>VLOOKUP(A80,'Data Vlaue (Cr)'!C75:CY304,101,0)</f>
        <v>-2266</v>
      </c>
      <c r="D80" s="139">
        <f>VLOOKUP(A80,'Data Vlaue (Cr)'!C75:CZ304,102,0)</f>
        <v>-0.55179999999999996</v>
      </c>
      <c r="E80" s="91">
        <f>VLOOKUP($A80,'Data Vlaue (Cr)'!$C:$FB,75)</f>
        <v>1568</v>
      </c>
      <c r="F80" s="91">
        <f>VLOOKUP($A80,'Data Vlaue (Cr)'!$C:$FB,77)</f>
        <v>-277</v>
      </c>
      <c r="G80" s="92">
        <f>VLOOKUP(A80,'Data Vlaue (Cr)'!C75:CB304,78,0)</f>
        <v>-0.15029999999999999</v>
      </c>
      <c r="H80" s="91">
        <f>VLOOKUP($A80,'Data Vlaue (Cr)'!$C:$FB,91)</f>
        <v>157</v>
      </c>
      <c r="I80" s="91">
        <f>VLOOKUP($A80,'Data Vlaue (Cr)'!$C:$FB,93)</f>
        <v>-1096</v>
      </c>
      <c r="J80" s="92">
        <f>VLOOKUP($A80,'Data Vlaue (Cr)'!$C:$FB,94)</f>
        <v>-0.87450000000000006</v>
      </c>
      <c r="K80" s="91">
        <f>VLOOKUP($A80,'Data Vlaue (Cr)'!$C:$FB,95)</f>
        <v>115</v>
      </c>
      <c r="L80" s="91">
        <f>VLOOKUP($A80,'Data Vlaue (Cr)'!$C:$FB,97)</f>
        <v>-893</v>
      </c>
      <c r="M80" s="92">
        <f>VLOOKUP($A80,'Data Vlaue (Cr)'!$C:$FB,98)</f>
        <v>-0.88549999999999995</v>
      </c>
      <c r="N80" s="91">
        <f>VLOOKUP($A80,'Data Vlaue (Cr)'!$C:$FB,79)</f>
        <v>195</v>
      </c>
      <c r="O80" s="92">
        <f>VLOOKUP($A80,'Data Vlaue (Cr)'!$C:$FB,82)</f>
        <v>-0.54859999999999998</v>
      </c>
    </row>
    <row r="81" spans="1:15" x14ac:dyDescent="0.25">
      <c r="A81" s="97" t="str">
        <f>'Data Vlaue (Cr)'!C76</f>
        <v>GMRAIRPORT</v>
      </c>
      <c r="B81" s="142">
        <f>VLOOKUP(A81,'Data Vlaue (Cr)'!C76:CW305,99,0)</f>
        <v>2336</v>
      </c>
      <c r="C81" s="90">
        <f>VLOOKUP(A81,'Data Vlaue (Cr)'!C76:CY305,101,0)</f>
        <v>-788</v>
      </c>
      <c r="D81" s="139">
        <f>VLOOKUP(A81,'Data Vlaue (Cr)'!C76:CZ305,102,0)</f>
        <v>-0.25240000000000001</v>
      </c>
      <c r="E81" s="91">
        <f>VLOOKUP($A81,'Data Vlaue (Cr)'!$C:$FB,75)</f>
        <v>1690</v>
      </c>
      <c r="F81" s="91">
        <f>VLOOKUP($A81,'Data Vlaue (Cr)'!$C:$FB,77)</f>
        <v>-63</v>
      </c>
      <c r="G81" s="92">
        <f>VLOOKUP(A81,'Data Vlaue (Cr)'!C76:CB305,78,0)</f>
        <v>-3.5799999999999998E-2</v>
      </c>
      <c r="H81" s="91">
        <f>VLOOKUP($A81,'Data Vlaue (Cr)'!$C:$FB,91)</f>
        <v>430</v>
      </c>
      <c r="I81" s="91">
        <f>VLOOKUP($A81,'Data Vlaue (Cr)'!$C:$FB,93)</f>
        <v>-512</v>
      </c>
      <c r="J81" s="92">
        <f>VLOOKUP($A81,'Data Vlaue (Cr)'!$C:$FB,94)</f>
        <v>-0.54349999999999998</v>
      </c>
      <c r="K81" s="91">
        <f>VLOOKUP($A81,'Data Vlaue (Cr)'!$C:$FB,95)</f>
        <v>215</v>
      </c>
      <c r="L81" s="91">
        <f>VLOOKUP($A81,'Data Vlaue (Cr)'!$C:$FB,97)</f>
        <v>-213</v>
      </c>
      <c r="M81" s="92">
        <f>VLOOKUP($A81,'Data Vlaue (Cr)'!$C:$FB,98)</f>
        <v>-0.49809999999999999</v>
      </c>
      <c r="N81" s="91">
        <f>VLOOKUP($A81,'Data Vlaue (Cr)'!$C:$FB,79)</f>
        <v>52</v>
      </c>
      <c r="O81" s="92">
        <f>VLOOKUP($A81,'Data Vlaue (Cr)'!$C:$FB,82)</f>
        <v>-0.84350000000000003</v>
      </c>
    </row>
    <row r="82" spans="1:15" x14ac:dyDescent="0.25">
      <c r="A82" s="97" t="str">
        <f>'Data Vlaue (Cr)'!C77</f>
        <v>GODREJCP</v>
      </c>
      <c r="B82" s="142">
        <f>VLOOKUP(A82,'Data Vlaue (Cr)'!C77:CW306,99,0)</f>
        <v>1294</v>
      </c>
      <c r="C82" s="90">
        <f>VLOOKUP(A82,'Data Vlaue (Cr)'!C77:CY306,101,0)</f>
        <v>-656</v>
      </c>
      <c r="D82" s="139">
        <f>VLOOKUP(A82,'Data Vlaue (Cr)'!C77:CZ306,102,0)</f>
        <v>-0.3362</v>
      </c>
      <c r="E82" s="91">
        <f>VLOOKUP($A82,'Data Vlaue (Cr)'!$C:$FB,75)</f>
        <v>1174</v>
      </c>
      <c r="F82" s="91">
        <f>VLOOKUP($A82,'Data Vlaue (Cr)'!$C:$FB,77)</f>
        <v>-328</v>
      </c>
      <c r="G82" s="92">
        <f>VLOOKUP(A82,'Data Vlaue (Cr)'!C77:CB306,78,0)</f>
        <v>-0.21859999999999999</v>
      </c>
      <c r="H82" s="91">
        <f>VLOOKUP($A82,'Data Vlaue (Cr)'!$C:$FB,91)</f>
        <v>76</v>
      </c>
      <c r="I82" s="91">
        <f>VLOOKUP($A82,'Data Vlaue (Cr)'!$C:$FB,93)</f>
        <v>-191</v>
      </c>
      <c r="J82" s="92">
        <f>VLOOKUP($A82,'Data Vlaue (Cr)'!$C:$FB,94)</f>
        <v>-0.71450000000000002</v>
      </c>
      <c r="K82" s="91">
        <f>VLOOKUP($A82,'Data Vlaue (Cr)'!$C:$FB,95)</f>
        <v>44</v>
      </c>
      <c r="L82" s="91">
        <f>VLOOKUP($A82,'Data Vlaue (Cr)'!$C:$FB,97)</f>
        <v>-136</v>
      </c>
      <c r="M82" s="92">
        <f>VLOOKUP($A82,'Data Vlaue (Cr)'!$C:$FB,98)</f>
        <v>-0.75570000000000004</v>
      </c>
      <c r="N82" s="91">
        <f>VLOOKUP($A82,'Data Vlaue (Cr)'!$C:$FB,79)</f>
        <v>249</v>
      </c>
      <c r="O82" s="92">
        <f>VLOOKUP($A82,'Data Vlaue (Cr)'!$C:$FB,82)</f>
        <v>-0.47439999999999999</v>
      </c>
    </row>
    <row r="83" spans="1:15" x14ac:dyDescent="0.25">
      <c r="A83" s="97" t="str">
        <f>'Data Vlaue (Cr)'!C78</f>
        <v>GODREJPROP</v>
      </c>
      <c r="B83" s="142">
        <f>VLOOKUP(A83,'Data Vlaue (Cr)'!C78:CW307,99,0)</f>
        <v>1876</v>
      </c>
      <c r="C83" s="90">
        <f>VLOOKUP(A83,'Data Vlaue (Cr)'!C78:CY307,101,0)</f>
        <v>-678</v>
      </c>
      <c r="D83" s="139">
        <f>VLOOKUP(A83,'Data Vlaue (Cr)'!C78:CZ307,102,0)</f>
        <v>-0.26540000000000002</v>
      </c>
      <c r="E83" s="91">
        <f>VLOOKUP($A83,'Data Vlaue (Cr)'!$C:$FB,75)</f>
        <v>1460</v>
      </c>
      <c r="F83" s="91">
        <f>VLOOKUP($A83,'Data Vlaue (Cr)'!$C:$FB,77)</f>
        <v>-36</v>
      </c>
      <c r="G83" s="92">
        <f>VLOOKUP(A83,'Data Vlaue (Cr)'!C78:CB307,78,0)</f>
        <v>-2.3800000000000002E-2</v>
      </c>
      <c r="H83" s="91">
        <f>VLOOKUP($A83,'Data Vlaue (Cr)'!$C:$FB,91)</f>
        <v>215</v>
      </c>
      <c r="I83" s="91">
        <f>VLOOKUP($A83,'Data Vlaue (Cr)'!$C:$FB,93)</f>
        <v>-478</v>
      </c>
      <c r="J83" s="92">
        <f>VLOOKUP($A83,'Data Vlaue (Cr)'!$C:$FB,94)</f>
        <v>-0.6895</v>
      </c>
      <c r="K83" s="91">
        <f>VLOOKUP($A83,'Data Vlaue (Cr)'!$C:$FB,95)</f>
        <v>200</v>
      </c>
      <c r="L83" s="91">
        <f>VLOOKUP($A83,'Data Vlaue (Cr)'!$C:$FB,97)</f>
        <v>-164</v>
      </c>
      <c r="M83" s="92">
        <f>VLOOKUP($A83,'Data Vlaue (Cr)'!$C:$FB,98)</f>
        <v>-0.4496</v>
      </c>
      <c r="N83" s="91">
        <f>VLOOKUP($A83,'Data Vlaue (Cr)'!$C:$FB,79)</f>
        <v>74</v>
      </c>
      <c r="O83" s="92">
        <f>VLOOKUP($A83,'Data Vlaue (Cr)'!$C:$FB,82)</f>
        <v>-0.69130000000000003</v>
      </c>
    </row>
    <row r="84" spans="1:15" x14ac:dyDescent="0.25">
      <c r="A84" s="97" t="str">
        <f>'Data Vlaue (Cr)'!C79</f>
        <v>GRANULES</v>
      </c>
      <c r="B84" s="142">
        <f>VLOOKUP(A84,'Data Vlaue (Cr)'!C79:CW308,99,0)</f>
        <v>711</v>
      </c>
      <c r="C84" s="90">
        <f>VLOOKUP(A84,'Data Vlaue (Cr)'!C79:CY308,101,0)</f>
        <v>-274</v>
      </c>
      <c r="D84" s="139">
        <f>VLOOKUP(A84,'Data Vlaue (Cr)'!C79:CZ308,102,0)</f>
        <v>-0.27839999999999998</v>
      </c>
      <c r="E84" s="91">
        <f>VLOOKUP($A84,'Data Vlaue (Cr)'!$C:$FB,75)</f>
        <v>570</v>
      </c>
      <c r="F84" s="91">
        <f>VLOOKUP($A84,'Data Vlaue (Cr)'!$C:$FB,77)</f>
        <v>-55</v>
      </c>
      <c r="G84" s="92">
        <f>VLOOKUP(A84,'Data Vlaue (Cr)'!C79:CB308,78,0)</f>
        <v>-8.8099999999999998E-2</v>
      </c>
      <c r="H84" s="91">
        <f>VLOOKUP($A84,'Data Vlaue (Cr)'!$C:$FB,91)</f>
        <v>84</v>
      </c>
      <c r="I84" s="91">
        <f>VLOOKUP($A84,'Data Vlaue (Cr)'!$C:$FB,93)</f>
        <v>-143</v>
      </c>
      <c r="J84" s="92">
        <f>VLOOKUP($A84,'Data Vlaue (Cr)'!$C:$FB,94)</f>
        <v>-0.63</v>
      </c>
      <c r="K84" s="91">
        <f>VLOOKUP($A84,'Data Vlaue (Cr)'!$C:$FB,95)</f>
        <v>57</v>
      </c>
      <c r="L84" s="91">
        <f>VLOOKUP($A84,'Data Vlaue (Cr)'!$C:$FB,97)</f>
        <v>-76</v>
      </c>
      <c r="M84" s="92">
        <f>VLOOKUP($A84,'Data Vlaue (Cr)'!$C:$FB,98)</f>
        <v>-0.57140000000000002</v>
      </c>
      <c r="N84" s="91">
        <f>VLOOKUP($A84,'Data Vlaue (Cr)'!$C:$FB,79)</f>
        <v>25</v>
      </c>
      <c r="O84" s="92">
        <f>VLOOKUP($A84,'Data Vlaue (Cr)'!$C:$FB,82)</f>
        <v>-0.88849999999999996</v>
      </c>
    </row>
    <row r="85" spans="1:15" x14ac:dyDescent="0.25">
      <c r="A85" s="97" t="str">
        <f>'Data Vlaue (Cr)'!C80</f>
        <v>GRASIM</v>
      </c>
      <c r="B85" s="142">
        <f>VLOOKUP(A85,'Data Vlaue (Cr)'!C80:CW309,99,0)</f>
        <v>3810</v>
      </c>
      <c r="C85" s="90">
        <f>VLOOKUP(A85,'Data Vlaue (Cr)'!C80:CY309,101,0)</f>
        <v>-574</v>
      </c>
      <c r="D85" s="139">
        <f>VLOOKUP(A85,'Data Vlaue (Cr)'!C80:CZ309,102,0)</f>
        <v>-0.13089999999999999</v>
      </c>
      <c r="E85" s="91">
        <f>VLOOKUP($A85,'Data Vlaue (Cr)'!$C:$FB,75)</f>
        <v>3560</v>
      </c>
      <c r="F85" s="91">
        <f>VLOOKUP($A85,'Data Vlaue (Cr)'!$C:$FB,77)</f>
        <v>-17</v>
      </c>
      <c r="G85" s="92">
        <f>VLOOKUP(A85,'Data Vlaue (Cr)'!C80:CB309,78,0)</f>
        <v>-4.7000000000000002E-3</v>
      </c>
      <c r="H85" s="91">
        <f>VLOOKUP($A85,'Data Vlaue (Cr)'!$C:$FB,91)</f>
        <v>141</v>
      </c>
      <c r="I85" s="91">
        <f>VLOOKUP($A85,'Data Vlaue (Cr)'!$C:$FB,93)</f>
        <v>-388</v>
      </c>
      <c r="J85" s="92">
        <f>VLOOKUP($A85,'Data Vlaue (Cr)'!$C:$FB,94)</f>
        <v>-0.73370000000000002</v>
      </c>
      <c r="K85" s="91">
        <f>VLOOKUP($A85,'Data Vlaue (Cr)'!$C:$FB,95)</f>
        <v>109</v>
      </c>
      <c r="L85" s="91">
        <f>VLOOKUP($A85,'Data Vlaue (Cr)'!$C:$FB,97)</f>
        <v>-169</v>
      </c>
      <c r="M85" s="92">
        <f>VLOOKUP($A85,'Data Vlaue (Cr)'!$C:$FB,98)</f>
        <v>-0.60799999999999998</v>
      </c>
      <c r="N85" s="91">
        <f>VLOOKUP($A85,'Data Vlaue (Cr)'!$C:$FB,79)</f>
        <v>117</v>
      </c>
      <c r="O85" s="92">
        <f>VLOOKUP($A85,'Data Vlaue (Cr)'!$C:$FB,82)</f>
        <v>-0.63660000000000005</v>
      </c>
    </row>
    <row r="86" spans="1:15" x14ac:dyDescent="0.25">
      <c r="A86" s="97" t="str">
        <f>'Data Vlaue (Cr)'!C81</f>
        <v>HAL</v>
      </c>
      <c r="B86" s="142">
        <f>VLOOKUP(A86,'Data Vlaue (Cr)'!C81:CW310,99,0)</f>
        <v>6127</v>
      </c>
      <c r="C86" s="90">
        <f>VLOOKUP(A86,'Data Vlaue (Cr)'!C81:CY310,101,0)</f>
        <v>-2921</v>
      </c>
      <c r="D86" s="139">
        <f>VLOOKUP(A86,'Data Vlaue (Cr)'!C81:CZ310,102,0)</f>
        <v>-0.32279999999999998</v>
      </c>
      <c r="E86" s="91">
        <f>VLOOKUP($A86,'Data Vlaue (Cr)'!$C:$FB,75)</f>
        <v>4198</v>
      </c>
      <c r="F86" s="91">
        <f>VLOOKUP($A86,'Data Vlaue (Cr)'!$C:$FB,77)</f>
        <v>-318</v>
      </c>
      <c r="G86" s="92">
        <f>VLOOKUP(A86,'Data Vlaue (Cr)'!C81:CB310,78,0)</f>
        <v>-7.0499999999999993E-2</v>
      </c>
      <c r="H86" s="91">
        <f>VLOOKUP($A86,'Data Vlaue (Cr)'!$C:$FB,91)</f>
        <v>1036</v>
      </c>
      <c r="I86" s="91">
        <f>VLOOKUP($A86,'Data Vlaue (Cr)'!$C:$FB,93)</f>
        <v>-1853</v>
      </c>
      <c r="J86" s="92">
        <f>VLOOKUP($A86,'Data Vlaue (Cr)'!$C:$FB,94)</f>
        <v>-0.64129999999999998</v>
      </c>
      <c r="K86" s="91">
        <f>VLOOKUP($A86,'Data Vlaue (Cr)'!$C:$FB,95)</f>
        <v>893</v>
      </c>
      <c r="L86" s="91">
        <f>VLOOKUP($A86,'Data Vlaue (Cr)'!$C:$FB,97)</f>
        <v>-750</v>
      </c>
      <c r="M86" s="92">
        <f>VLOOKUP($A86,'Data Vlaue (Cr)'!$C:$FB,98)</f>
        <v>-0.45650000000000002</v>
      </c>
      <c r="N86" s="91">
        <f>VLOOKUP($A86,'Data Vlaue (Cr)'!$C:$FB,79)</f>
        <v>390</v>
      </c>
      <c r="O86" s="92">
        <f>VLOOKUP($A86,'Data Vlaue (Cr)'!$C:$FB,82)</f>
        <v>-0.63780000000000003</v>
      </c>
    </row>
    <row r="87" spans="1:15" x14ac:dyDescent="0.25">
      <c r="A87" s="97" t="str">
        <f>'Data Vlaue (Cr)'!C82</f>
        <v>HAVELLS</v>
      </c>
      <c r="B87" s="142">
        <f>VLOOKUP(A87,'Data Vlaue (Cr)'!C82:CW311,99,0)</f>
        <v>1571</v>
      </c>
      <c r="C87" s="90">
        <f>VLOOKUP(A87,'Data Vlaue (Cr)'!C82:CY311,101,0)</f>
        <v>-553</v>
      </c>
      <c r="D87" s="139">
        <f>VLOOKUP(A87,'Data Vlaue (Cr)'!C82:CZ311,102,0)</f>
        <v>-0.26029999999999998</v>
      </c>
      <c r="E87" s="91">
        <f>VLOOKUP($A87,'Data Vlaue (Cr)'!$C:$FB,75)</f>
        <v>1256</v>
      </c>
      <c r="F87" s="91">
        <f>VLOOKUP($A87,'Data Vlaue (Cr)'!$C:$FB,77)</f>
        <v>-90</v>
      </c>
      <c r="G87" s="92">
        <f>VLOOKUP(A87,'Data Vlaue (Cr)'!C82:CB311,78,0)</f>
        <v>-6.6900000000000001E-2</v>
      </c>
      <c r="H87" s="91">
        <f>VLOOKUP($A87,'Data Vlaue (Cr)'!$C:$FB,91)</f>
        <v>172</v>
      </c>
      <c r="I87" s="91">
        <f>VLOOKUP($A87,'Data Vlaue (Cr)'!$C:$FB,93)</f>
        <v>-245</v>
      </c>
      <c r="J87" s="92">
        <f>VLOOKUP($A87,'Data Vlaue (Cr)'!$C:$FB,94)</f>
        <v>-0.58830000000000005</v>
      </c>
      <c r="K87" s="91">
        <f>VLOOKUP($A87,'Data Vlaue (Cr)'!$C:$FB,95)</f>
        <v>143</v>
      </c>
      <c r="L87" s="91">
        <f>VLOOKUP($A87,'Data Vlaue (Cr)'!$C:$FB,97)</f>
        <v>-217</v>
      </c>
      <c r="M87" s="92">
        <f>VLOOKUP($A87,'Data Vlaue (Cr)'!$C:$FB,98)</f>
        <v>-0.60270000000000001</v>
      </c>
      <c r="N87" s="91">
        <f>VLOOKUP($A87,'Data Vlaue (Cr)'!$C:$FB,79)</f>
        <v>81</v>
      </c>
      <c r="O87" s="92">
        <f>VLOOKUP($A87,'Data Vlaue (Cr)'!$C:$FB,82)</f>
        <v>-0.3876</v>
      </c>
    </row>
    <row r="88" spans="1:15" x14ac:dyDescent="0.25">
      <c r="A88" s="97" t="str">
        <f>'Data Vlaue (Cr)'!C83</f>
        <v>HCLTECH</v>
      </c>
      <c r="B88" s="142">
        <f>VLOOKUP(A88,'Data Vlaue (Cr)'!C83:CW312,99,0)</f>
        <v>3878</v>
      </c>
      <c r="C88" s="90">
        <f>VLOOKUP(A88,'Data Vlaue (Cr)'!C83:CY312,101,0)</f>
        <v>-1977</v>
      </c>
      <c r="D88" s="139">
        <f>VLOOKUP(A88,'Data Vlaue (Cr)'!C83:CZ312,102,0)</f>
        <v>-0.33760000000000001</v>
      </c>
      <c r="E88" s="91">
        <f>VLOOKUP($A88,'Data Vlaue (Cr)'!$C:$FB,75)</f>
        <v>2904</v>
      </c>
      <c r="F88" s="91">
        <f>VLOOKUP($A88,'Data Vlaue (Cr)'!$C:$FB,77)</f>
        <v>-180</v>
      </c>
      <c r="G88" s="92">
        <f>VLOOKUP(A88,'Data Vlaue (Cr)'!C83:CB312,78,0)</f>
        <v>-5.8400000000000001E-2</v>
      </c>
      <c r="H88" s="91">
        <f>VLOOKUP($A88,'Data Vlaue (Cr)'!$C:$FB,91)</f>
        <v>584</v>
      </c>
      <c r="I88" s="91">
        <f>VLOOKUP($A88,'Data Vlaue (Cr)'!$C:$FB,93)</f>
        <v>-1378</v>
      </c>
      <c r="J88" s="92">
        <f>VLOOKUP($A88,'Data Vlaue (Cr)'!$C:$FB,94)</f>
        <v>-0.70240000000000002</v>
      </c>
      <c r="K88" s="91">
        <f>VLOOKUP($A88,'Data Vlaue (Cr)'!$C:$FB,95)</f>
        <v>391</v>
      </c>
      <c r="L88" s="91">
        <f>VLOOKUP($A88,'Data Vlaue (Cr)'!$C:$FB,97)</f>
        <v>-419</v>
      </c>
      <c r="M88" s="92">
        <f>VLOOKUP($A88,'Data Vlaue (Cr)'!$C:$FB,98)</f>
        <v>-0.51739999999999997</v>
      </c>
      <c r="N88" s="91">
        <f>VLOOKUP($A88,'Data Vlaue (Cr)'!$C:$FB,79)</f>
        <v>203</v>
      </c>
      <c r="O88" s="92">
        <f>VLOOKUP($A88,'Data Vlaue (Cr)'!$C:$FB,82)</f>
        <v>-0.55430000000000001</v>
      </c>
    </row>
    <row r="89" spans="1:15" x14ac:dyDescent="0.25">
      <c r="A89" s="97" t="str">
        <f>'Data Vlaue (Cr)'!C84</f>
        <v>HDFCAMC</v>
      </c>
      <c r="B89" s="142">
        <f>VLOOKUP(A89,'Data Vlaue (Cr)'!C84:CW313,99,0)</f>
        <v>2046</v>
      </c>
      <c r="C89" s="90">
        <f>VLOOKUP(A89,'Data Vlaue (Cr)'!C84:CY313,101,0)</f>
        <v>-978</v>
      </c>
      <c r="D89" s="139">
        <f>VLOOKUP(A89,'Data Vlaue (Cr)'!C84:CZ313,102,0)</f>
        <v>-0.32340000000000002</v>
      </c>
      <c r="E89" s="91">
        <f>VLOOKUP($A89,'Data Vlaue (Cr)'!$C:$FB,75)</f>
        <v>1350</v>
      </c>
      <c r="F89" s="91">
        <f>VLOOKUP($A89,'Data Vlaue (Cr)'!$C:$FB,77)</f>
        <v>-127</v>
      </c>
      <c r="G89" s="92">
        <f>VLOOKUP(A89,'Data Vlaue (Cr)'!C84:CB313,78,0)</f>
        <v>-8.6199999999999999E-2</v>
      </c>
      <c r="H89" s="91">
        <f>VLOOKUP($A89,'Data Vlaue (Cr)'!$C:$FB,91)</f>
        <v>439</v>
      </c>
      <c r="I89" s="91">
        <f>VLOOKUP($A89,'Data Vlaue (Cr)'!$C:$FB,93)</f>
        <v>-453</v>
      </c>
      <c r="J89" s="92">
        <f>VLOOKUP($A89,'Data Vlaue (Cr)'!$C:$FB,94)</f>
        <v>-0.50790000000000002</v>
      </c>
      <c r="K89" s="91">
        <f>VLOOKUP($A89,'Data Vlaue (Cr)'!$C:$FB,95)</f>
        <v>258</v>
      </c>
      <c r="L89" s="91">
        <f>VLOOKUP($A89,'Data Vlaue (Cr)'!$C:$FB,97)</f>
        <v>-398</v>
      </c>
      <c r="M89" s="92">
        <f>VLOOKUP($A89,'Data Vlaue (Cr)'!$C:$FB,98)</f>
        <v>-0.60699999999999998</v>
      </c>
      <c r="N89" s="91">
        <f>VLOOKUP($A89,'Data Vlaue (Cr)'!$C:$FB,79)</f>
        <v>105</v>
      </c>
      <c r="O89" s="92">
        <f>VLOOKUP($A89,'Data Vlaue (Cr)'!$C:$FB,82)</f>
        <v>-0.47460000000000002</v>
      </c>
    </row>
    <row r="90" spans="1:15" x14ac:dyDescent="0.25">
      <c r="A90" s="97" t="str">
        <f>'Data Vlaue (Cr)'!C85</f>
        <v>HDFCBANK</v>
      </c>
      <c r="B90" s="142">
        <f>VLOOKUP(A90,'Data Vlaue (Cr)'!C85:CW314,99,0)</f>
        <v>24975</v>
      </c>
      <c r="C90" s="90">
        <f>VLOOKUP(A90,'Data Vlaue (Cr)'!C85:CY314,101,0)</f>
        <v>-7283</v>
      </c>
      <c r="D90" s="139">
        <f>VLOOKUP(A90,'Data Vlaue (Cr)'!C85:CZ314,102,0)</f>
        <v>-0.2258</v>
      </c>
      <c r="E90" s="91">
        <f>VLOOKUP($A90,'Data Vlaue (Cr)'!$C:$FB,75)</f>
        <v>21040</v>
      </c>
      <c r="F90" s="91">
        <f>VLOOKUP($A90,'Data Vlaue (Cr)'!$C:$FB,77)</f>
        <v>-455</v>
      </c>
      <c r="G90" s="92">
        <f>VLOOKUP(A90,'Data Vlaue (Cr)'!C85:CB314,78,0)</f>
        <v>-2.12E-2</v>
      </c>
      <c r="H90" s="91">
        <f>VLOOKUP($A90,'Data Vlaue (Cr)'!$C:$FB,91)</f>
        <v>1745</v>
      </c>
      <c r="I90" s="91">
        <f>VLOOKUP($A90,'Data Vlaue (Cr)'!$C:$FB,93)</f>
        <v>-4312</v>
      </c>
      <c r="J90" s="92">
        <f>VLOOKUP($A90,'Data Vlaue (Cr)'!$C:$FB,94)</f>
        <v>-0.71189999999999998</v>
      </c>
      <c r="K90" s="91">
        <f>VLOOKUP($A90,'Data Vlaue (Cr)'!$C:$FB,95)</f>
        <v>2190</v>
      </c>
      <c r="L90" s="91">
        <f>VLOOKUP($A90,'Data Vlaue (Cr)'!$C:$FB,97)</f>
        <v>-2516</v>
      </c>
      <c r="M90" s="92">
        <f>VLOOKUP($A90,'Data Vlaue (Cr)'!$C:$FB,98)</f>
        <v>-0.53469999999999995</v>
      </c>
      <c r="N90" s="91">
        <f>VLOOKUP($A90,'Data Vlaue (Cr)'!$C:$FB,79)</f>
        <v>404</v>
      </c>
      <c r="O90" s="92">
        <f>VLOOKUP($A90,'Data Vlaue (Cr)'!$C:$FB,82)</f>
        <v>-0.84219999999999995</v>
      </c>
    </row>
    <row r="91" spans="1:15" x14ac:dyDescent="0.25">
      <c r="A91" s="97" t="str">
        <f>'Data Vlaue (Cr)'!C86</f>
        <v>HDFCLIFE</v>
      </c>
      <c r="B91" s="142">
        <f>VLOOKUP(A91,'Data Vlaue (Cr)'!C86:CW315,99,0)</f>
        <v>2624</v>
      </c>
      <c r="C91" s="90">
        <f>VLOOKUP(A91,'Data Vlaue (Cr)'!C86:CY315,101,0)</f>
        <v>-1556</v>
      </c>
      <c r="D91" s="139">
        <f>VLOOKUP(A91,'Data Vlaue (Cr)'!C86:CZ315,102,0)</f>
        <v>-0.37230000000000002</v>
      </c>
      <c r="E91" s="91">
        <f>VLOOKUP($A91,'Data Vlaue (Cr)'!$C:$FB,75)</f>
        <v>2182</v>
      </c>
      <c r="F91" s="91">
        <f>VLOOKUP($A91,'Data Vlaue (Cr)'!$C:$FB,77)</f>
        <v>-82</v>
      </c>
      <c r="G91" s="92">
        <f>VLOOKUP(A91,'Data Vlaue (Cr)'!C86:CB315,78,0)</f>
        <v>-3.6299999999999999E-2</v>
      </c>
      <c r="H91" s="91">
        <f>VLOOKUP($A91,'Data Vlaue (Cr)'!$C:$FB,91)</f>
        <v>242</v>
      </c>
      <c r="I91" s="91">
        <f>VLOOKUP($A91,'Data Vlaue (Cr)'!$C:$FB,93)</f>
        <v>-1023</v>
      </c>
      <c r="J91" s="92">
        <f>VLOOKUP($A91,'Data Vlaue (Cr)'!$C:$FB,94)</f>
        <v>-0.8085</v>
      </c>
      <c r="K91" s="91">
        <f>VLOOKUP($A91,'Data Vlaue (Cr)'!$C:$FB,95)</f>
        <v>199</v>
      </c>
      <c r="L91" s="91">
        <f>VLOOKUP($A91,'Data Vlaue (Cr)'!$C:$FB,97)</f>
        <v>-451</v>
      </c>
      <c r="M91" s="92">
        <f>VLOOKUP($A91,'Data Vlaue (Cr)'!$C:$FB,98)</f>
        <v>-0.69330000000000003</v>
      </c>
      <c r="N91" s="91">
        <f>VLOOKUP($A91,'Data Vlaue (Cr)'!$C:$FB,79)</f>
        <v>98</v>
      </c>
      <c r="O91" s="92">
        <f>VLOOKUP($A91,'Data Vlaue (Cr)'!$C:$FB,82)</f>
        <v>-0.69530000000000003</v>
      </c>
    </row>
    <row r="92" spans="1:15" x14ac:dyDescent="0.25">
      <c r="A92" s="97" t="str">
        <f>'Data Vlaue (Cr)'!C87</f>
        <v>HEROMOTOCO</v>
      </c>
      <c r="B92" s="142">
        <f>VLOOKUP(A92,'Data Vlaue (Cr)'!C87:CW316,99,0)</f>
        <v>3575</v>
      </c>
      <c r="C92" s="90">
        <f>VLOOKUP(A92,'Data Vlaue (Cr)'!C87:CY316,101,0)</f>
        <v>-1813</v>
      </c>
      <c r="D92" s="139">
        <f>VLOOKUP(A92,'Data Vlaue (Cr)'!C87:CZ316,102,0)</f>
        <v>-0.33650000000000002</v>
      </c>
      <c r="E92" s="91">
        <f>VLOOKUP($A92,'Data Vlaue (Cr)'!$C:$FB,75)</f>
        <v>2767</v>
      </c>
      <c r="F92" s="91">
        <f>VLOOKUP($A92,'Data Vlaue (Cr)'!$C:$FB,77)</f>
        <v>-333</v>
      </c>
      <c r="G92" s="92">
        <f>VLOOKUP(A92,'Data Vlaue (Cr)'!C87:CB316,78,0)</f>
        <v>-0.1074</v>
      </c>
      <c r="H92" s="91">
        <f>VLOOKUP($A92,'Data Vlaue (Cr)'!$C:$FB,91)</f>
        <v>482</v>
      </c>
      <c r="I92" s="91">
        <f>VLOOKUP($A92,'Data Vlaue (Cr)'!$C:$FB,93)</f>
        <v>-965</v>
      </c>
      <c r="J92" s="92">
        <f>VLOOKUP($A92,'Data Vlaue (Cr)'!$C:$FB,94)</f>
        <v>-0.66700000000000004</v>
      </c>
      <c r="K92" s="91">
        <f>VLOOKUP($A92,'Data Vlaue (Cr)'!$C:$FB,95)</f>
        <v>327</v>
      </c>
      <c r="L92" s="91">
        <f>VLOOKUP($A92,'Data Vlaue (Cr)'!$C:$FB,97)</f>
        <v>-516</v>
      </c>
      <c r="M92" s="92">
        <f>VLOOKUP($A92,'Data Vlaue (Cr)'!$C:$FB,98)</f>
        <v>-0.61219999999999997</v>
      </c>
      <c r="N92" s="91">
        <f>VLOOKUP($A92,'Data Vlaue (Cr)'!$C:$FB,79)</f>
        <v>242</v>
      </c>
      <c r="O92" s="92">
        <f>VLOOKUP($A92,'Data Vlaue (Cr)'!$C:$FB,82)</f>
        <v>-0.35370000000000001</v>
      </c>
    </row>
    <row r="93" spans="1:15" x14ac:dyDescent="0.25">
      <c r="A93" s="97" t="str">
        <f>'Data Vlaue (Cr)'!C88</f>
        <v>HFCL</v>
      </c>
      <c r="B93" s="142">
        <f>VLOOKUP(A93,'Data Vlaue (Cr)'!C88:CW317,99,0)</f>
        <v>901</v>
      </c>
      <c r="C93" s="90">
        <f>VLOOKUP(A93,'Data Vlaue (Cr)'!C88:CY317,101,0)</f>
        <v>-269</v>
      </c>
      <c r="D93" s="139">
        <f>VLOOKUP(A93,'Data Vlaue (Cr)'!C88:CZ317,102,0)</f>
        <v>-0.22989999999999999</v>
      </c>
      <c r="E93" s="91">
        <f>VLOOKUP($A93,'Data Vlaue (Cr)'!$C:$FB,75)</f>
        <v>633</v>
      </c>
      <c r="F93" s="91">
        <f>VLOOKUP($A93,'Data Vlaue (Cr)'!$C:$FB,77)</f>
        <v>2</v>
      </c>
      <c r="G93" s="92">
        <f>VLOOKUP(A93,'Data Vlaue (Cr)'!C88:CB317,78,0)</f>
        <v>3.0999999999999999E-3</v>
      </c>
      <c r="H93" s="91">
        <f>VLOOKUP($A93,'Data Vlaue (Cr)'!$C:$FB,91)</f>
        <v>167</v>
      </c>
      <c r="I93" s="91">
        <f>VLOOKUP($A93,'Data Vlaue (Cr)'!$C:$FB,93)</f>
        <v>-177</v>
      </c>
      <c r="J93" s="92">
        <f>VLOOKUP($A93,'Data Vlaue (Cr)'!$C:$FB,94)</f>
        <v>-0.51580000000000004</v>
      </c>
      <c r="K93" s="91">
        <f>VLOOKUP($A93,'Data Vlaue (Cr)'!$C:$FB,95)</f>
        <v>101</v>
      </c>
      <c r="L93" s="91">
        <f>VLOOKUP($A93,'Data Vlaue (Cr)'!$C:$FB,97)</f>
        <v>-93</v>
      </c>
      <c r="M93" s="92">
        <f>VLOOKUP($A93,'Data Vlaue (Cr)'!$C:$FB,98)</f>
        <v>-0.48120000000000002</v>
      </c>
      <c r="N93" s="91">
        <f>VLOOKUP($A93,'Data Vlaue (Cr)'!$C:$FB,79)</f>
        <v>30</v>
      </c>
      <c r="O93" s="92">
        <f>VLOOKUP($A93,'Data Vlaue (Cr)'!$C:$FB,82)</f>
        <v>-0.79079999999999995</v>
      </c>
    </row>
    <row r="94" spans="1:15" x14ac:dyDescent="0.25">
      <c r="A94" s="97" t="str">
        <f>'Data Vlaue (Cr)'!C89</f>
        <v>HINDALCO</v>
      </c>
      <c r="B94" s="142">
        <f>VLOOKUP(A94,'Data Vlaue (Cr)'!C89:CW318,99,0)</f>
        <v>3680</v>
      </c>
      <c r="C94" s="90">
        <f>VLOOKUP(A94,'Data Vlaue (Cr)'!C89:CY318,101,0)</f>
        <v>-1290</v>
      </c>
      <c r="D94" s="139">
        <f>VLOOKUP(A94,'Data Vlaue (Cr)'!C89:CZ318,102,0)</f>
        <v>-0.2596</v>
      </c>
      <c r="E94" s="91">
        <f>VLOOKUP($A94,'Data Vlaue (Cr)'!$C:$FB,75)</f>
        <v>3104</v>
      </c>
      <c r="F94" s="91">
        <f>VLOOKUP($A94,'Data Vlaue (Cr)'!$C:$FB,77)</f>
        <v>-249</v>
      </c>
      <c r="G94" s="92">
        <f>VLOOKUP(A94,'Data Vlaue (Cr)'!C89:CB318,78,0)</f>
        <v>-7.4399999999999994E-2</v>
      </c>
      <c r="H94" s="91">
        <f>VLOOKUP($A94,'Data Vlaue (Cr)'!$C:$FB,91)</f>
        <v>309</v>
      </c>
      <c r="I94" s="91">
        <f>VLOOKUP($A94,'Data Vlaue (Cr)'!$C:$FB,93)</f>
        <v>-712</v>
      </c>
      <c r="J94" s="92">
        <f>VLOOKUP($A94,'Data Vlaue (Cr)'!$C:$FB,94)</f>
        <v>-0.69730000000000003</v>
      </c>
      <c r="K94" s="91">
        <f>VLOOKUP($A94,'Data Vlaue (Cr)'!$C:$FB,95)</f>
        <v>266</v>
      </c>
      <c r="L94" s="91">
        <f>VLOOKUP($A94,'Data Vlaue (Cr)'!$C:$FB,97)</f>
        <v>-328</v>
      </c>
      <c r="M94" s="92">
        <f>VLOOKUP($A94,'Data Vlaue (Cr)'!$C:$FB,98)</f>
        <v>-0.55210000000000004</v>
      </c>
      <c r="N94" s="91">
        <f>VLOOKUP($A94,'Data Vlaue (Cr)'!$C:$FB,79)</f>
        <v>160</v>
      </c>
      <c r="O94" s="92">
        <f>VLOOKUP($A94,'Data Vlaue (Cr)'!$C:$FB,82)</f>
        <v>-0.51919999999999999</v>
      </c>
    </row>
    <row r="95" spans="1:15" x14ac:dyDescent="0.25">
      <c r="A95" s="97" t="str">
        <f>'Data Vlaue (Cr)'!C90</f>
        <v>HINDCOPPER</v>
      </c>
      <c r="B95" s="142">
        <f>VLOOKUP(A95,'Data Vlaue (Cr)'!C90:CW319,99,0)</f>
        <v>0</v>
      </c>
      <c r="C95" s="90">
        <f>VLOOKUP(A95,'Data Vlaue (Cr)'!C90:CY319,101,0)</f>
        <v>0</v>
      </c>
      <c r="D95" s="139">
        <f>VLOOKUP(A95,'Data Vlaue (Cr)'!C90:CZ319,102,0)</f>
        <v>-0.52349999999999997</v>
      </c>
      <c r="E95" s="91">
        <f>VLOOKUP($A95,'Data Vlaue (Cr)'!$C:$FB,75)</f>
        <v>0</v>
      </c>
      <c r="F95" s="91">
        <f>VLOOKUP($A95,'Data Vlaue (Cr)'!$C:$FB,77)</f>
        <v>0</v>
      </c>
      <c r="G95" s="92">
        <f>VLOOKUP(A95,'Data Vlaue (Cr)'!C90:CB319,78,0)</f>
        <v>-1</v>
      </c>
      <c r="H95" s="91">
        <f>VLOOKUP($A95,'Data Vlaue (Cr)'!$C:$FB,91)</f>
        <v>0</v>
      </c>
      <c r="I95" s="91">
        <f>VLOOKUP($A95,'Data Vlaue (Cr)'!$C:$FB,93)</f>
        <v>0</v>
      </c>
      <c r="J95" s="92">
        <f>VLOOKUP($A95,'Data Vlaue (Cr)'!$C:$FB,94)</f>
        <v>-6.8099999999999994E-2</v>
      </c>
      <c r="K95" s="91">
        <f>VLOOKUP($A95,'Data Vlaue (Cr)'!$C:$FB,95)</f>
        <v>0</v>
      </c>
      <c r="L95" s="91">
        <f>VLOOKUP($A95,'Data Vlaue (Cr)'!$C:$FB,97)</f>
        <v>0</v>
      </c>
      <c r="M95" s="92">
        <f>VLOOKUP($A95,'Data Vlaue (Cr)'!$C:$FB,98)</f>
        <v>-0.2223</v>
      </c>
      <c r="N95" s="91">
        <f>VLOOKUP($A95,'Data Vlaue (Cr)'!$C:$FB,79)</f>
        <v>0</v>
      </c>
      <c r="O95" s="92">
        <f>VLOOKUP($A95,'Data Vlaue (Cr)'!$C:$FB,82)</f>
        <v>-0.53580000000000005</v>
      </c>
    </row>
    <row r="96" spans="1:15" x14ac:dyDescent="0.25">
      <c r="A96" s="97" t="str">
        <f>'Data Vlaue (Cr)'!C91</f>
        <v>HINDPETRO</v>
      </c>
      <c r="B96" s="142">
        <f>VLOOKUP(A96,'Data Vlaue (Cr)'!C91:CW320,99,0)</f>
        <v>2671</v>
      </c>
      <c r="C96" s="90">
        <f>VLOOKUP(A96,'Data Vlaue (Cr)'!C91:CY320,101,0)</f>
        <v>-1106</v>
      </c>
      <c r="D96" s="139">
        <f>VLOOKUP(A96,'Data Vlaue (Cr)'!C91:CZ320,102,0)</f>
        <v>-0.2928</v>
      </c>
      <c r="E96" s="91">
        <f>VLOOKUP($A96,'Data Vlaue (Cr)'!$C:$FB,75)</f>
        <v>2248</v>
      </c>
      <c r="F96" s="91">
        <f>VLOOKUP($A96,'Data Vlaue (Cr)'!$C:$FB,77)</f>
        <v>-457</v>
      </c>
      <c r="G96" s="92">
        <f>VLOOKUP(A96,'Data Vlaue (Cr)'!C91:CB320,78,0)</f>
        <v>-0.1691</v>
      </c>
      <c r="H96" s="91">
        <f>VLOOKUP($A96,'Data Vlaue (Cr)'!$C:$FB,91)</f>
        <v>216</v>
      </c>
      <c r="I96" s="91">
        <f>VLOOKUP($A96,'Data Vlaue (Cr)'!$C:$FB,93)</f>
        <v>-423</v>
      </c>
      <c r="J96" s="92">
        <f>VLOOKUP($A96,'Data Vlaue (Cr)'!$C:$FB,94)</f>
        <v>-0.66149999999999998</v>
      </c>
      <c r="K96" s="91">
        <f>VLOOKUP($A96,'Data Vlaue (Cr)'!$C:$FB,95)</f>
        <v>207</v>
      </c>
      <c r="L96" s="91">
        <f>VLOOKUP($A96,'Data Vlaue (Cr)'!$C:$FB,97)</f>
        <v>-226</v>
      </c>
      <c r="M96" s="92">
        <f>VLOOKUP($A96,'Data Vlaue (Cr)'!$C:$FB,98)</f>
        <v>-0.52129999999999999</v>
      </c>
      <c r="N96" s="91">
        <f>VLOOKUP($A96,'Data Vlaue (Cr)'!$C:$FB,79)</f>
        <v>393</v>
      </c>
      <c r="O96" s="92">
        <f>VLOOKUP($A96,'Data Vlaue (Cr)'!$C:$FB,82)</f>
        <v>-0.40500000000000003</v>
      </c>
    </row>
    <row r="97" spans="1:15" x14ac:dyDescent="0.25">
      <c r="A97" s="97" t="str">
        <f>'Data Vlaue (Cr)'!C92</f>
        <v>HINDUNILVR</v>
      </c>
      <c r="B97" s="142">
        <f>VLOOKUP(A97,'Data Vlaue (Cr)'!C92:CW321,99,0)</f>
        <v>5574</v>
      </c>
      <c r="C97" s="90">
        <f>VLOOKUP(A97,'Data Vlaue (Cr)'!C92:CY321,101,0)</f>
        <v>-2886</v>
      </c>
      <c r="D97" s="139">
        <f>VLOOKUP(A97,'Data Vlaue (Cr)'!C92:CZ321,102,0)</f>
        <v>-0.34110000000000001</v>
      </c>
      <c r="E97" s="91">
        <f>VLOOKUP($A97,'Data Vlaue (Cr)'!$C:$FB,75)</f>
        <v>3982</v>
      </c>
      <c r="F97" s="91">
        <f>VLOOKUP($A97,'Data Vlaue (Cr)'!$C:$FB,77)</f>
        <v>-320</v>
      </c>
      <c r="G97" s="92">
        <f>VLOOKUP(A97,'Data Vlaue (Cr)'!C92:CB321,78,0)</f>
        <v>-7.4399999999999994E-2</v>
      </c>
      <c r="H97" s="91">
        <f>VLOOKUP($A97,'Data Vlaue (Cr)'!$C:$FB,91)</f>
        <v>822</v>
      </c>
      <c r="I97" s="91">
        <f>VLOOKUP($A97,'Data Vlaue (Cr)'!$C:$FB,93)</f>
        <v>-1638</v>
      </c>
      <c r="J97" s="92">
        <f>VLOOKUP($A97,'Data Vlaue (Cr)'!$C:$FB,94)</f>
        <v>-0.66590000000000005</v>
      </c>
      <c r="K97" s="91">
        <f>VLOOKUP($A97,'Data Vlaue (Cr)'!$C:$FB,95)</f>
        <v>770</v>
      </c>
      <c r="L97" s="91">
        <f>VLOOKUP($A97,'Data Vlaue (Cr)'!$C:$FB,97)</f>
        <v>-928</v>
      </c>
      <c r="M97" s="92">
        <f>VLOOKUP($A97,'Data Vlaue (Cr)'!$C:$FB,98)</f>
        <v>-0.54649999999999999</v>
      </c>
      <c r="N97" s="91">
        <f>VLOOKUP($A97,'Data Vlaue (Cr)'!$C:$FB,79)</f>
        <v>641</v>
      </c>
      <c r="O97" s="92">
        <f>VLOOKUP($A97,'Data Vlaue (Cr)'!$C:$FB,82)</f>
        <v>0.14199999999999999</v>
      </c>
    </row>
    <row r="98" spans="1:15" x14ac:dyDescent="0.25">
      <c r="A98" s="97" t="str">
        <f>'Data Vlaue (Cr)'!C93</f>
        <v>HINDZINC</v>
      </c>
      <c r="B98" s="142">
        <f>VLOOKUP(A98,'Data Vlaue (Cr)'!C93:CW322,99,0)</f>
        <v>1784</v>
      </c>
      <c r="C98" s="90">
        <f>VLOOKUP(A98,'Data Vlaue (Cr)'!C93:CY322,101,0)</f>
        <v>-909</v>
      </c>
      <c r="D98" s="139">
        <f>VLOOKUP(A98,'Data Vlaue (Cr)'!C93:CZ322,102,0)</f>
        <v>-0.33750000000000002</v>
      </c>
      <c r="E98" s="91">
        <f>VLOOKUP($A98,'Data Vlaue (Cr)'!$C:$FB,75)</f>
        <v>1330</v>
      </c>
      <c r="F98" s="91">
        <f>VLOOKUP($A98,'Data Vlaue (Cr)'!$C:$FB,77)</f>
        <v>-154</v>
      </c>
      <c r="G98" s="92">
        <f>VLOOKUP(A98,'Data Vlaue (Cr)'!C93:CB322,78,0)</f>
        <v>-0.1037</v>
      </c>
      <c r="H98" s="91">
        <f>VLOOKUP($A98,'Data Vlaue (Cr)'!$C:$FB,91)</f>
        <v>267</v>
      </c>
      <c r="I98" s="91">
        <f>VLOOKUP($A98,'Data Vlaue (Cr)'!$C:$FB,93)</f>
        <v>-474</v>
      </c>
      <c r="J98" s="92">
        <f>VLOOKUP($A98,'Data Vlaue (Cr)'!$C:$FB,94)</f>
        <v>-0.63970000000000005</v>
      </c>
      <c r="K98" s="91">
        <f>VLOOKUP($A98,'Data Vlaue (Cr)'!$C:$FB,95)</f>
        <v>187</v>
      </c>
      <c r="L98" s="91">
        <f>VLOOKUP($A98,'Data Vlaue (Cr)'!$C:$FB,97)</f>
        <v>-281</v>
      </c>
      <c r="M98" s="92">
        <f>VLOOKUP($A98,'Data Vlaue (Cr)'!$C:$FB,98)</f>
        <v>-0.60019999999999996</v>
      </c>
      <c r="N98" s="91">
        <f>VLOOKUP($A98,'Data Vlaue (Cr)'!$C:$FB,79)</f>
        <v>130</v>
      </c>
      <c r="O98" s="92">
        <f>VLOOKUP($A98,'Data Vlaue (Cr)'!$C:$FB,82)</f>
        <v>-0.71450000000000002</v>
      </c>
    </row>
    <row r="99" spans="1:15" x14ac:dyDescent="0.25">
      <c r="A99" s="97" t="str">
        <f>'Data Vlaue (Cr)'!C94</f>
        <v>HUDCO</v>
      </c>
      <c r="B99" s="142">
        <f>VLOOKUP(A99,'Data Vlaue (Cr)'!C94:CW323,99,0)</f>
        <v>893</v>
      </c>
      <c r="C99" s="90">
        <f>VLOOKUP(A99,'Data Vlaue (Cr)'!C94:CY323,101,0)</f>
        <v>-404</v>
      </c>
      <c r="D99" s="139">
        <f>VLOOKUP(A99,'Data Vlaue (Cr)'!C94:CZ323,102,0)</f>
        <v>-0.31159999999999999</v>
      </c>
      <c r="E99" s="91">
        <f>VLOOKUP($A99,'Data Vlaue (Cr)'!$C:$FB,75)</f>
        <v>704</v>
      </c>
      <c r="F99" s="91">
        <f>VLOOKUP($A99,'Data Vlaue (Cr)'!$C:$FB,77)</f>
        <v>-75</v>
      </c>
      <c r="G99" s="92">
        <f>VLOOKUP(A99,'Data Vlaue (Cr)'!C94:CB323,78,0)</f>
        <v>-9.6199999999999994E-2</v>
      </c>
      <c r="H99" s="91">
        <f>VLOOKUP($A99,'Data Vlaue (Cr)'!$C:$FB,91)</f>
        <v>105</v>
      </c>
      <c r="I99" s="91">
        <f>VLOOKUP($A99,'Data Vlaue (Cr)'!$C:$FB,93)</f>
        <v>-218</v>
      </c>
      <c r="J99" s="92">
        <f>VLOOKUP($A99,'Data Vlaue (Cr)'!$C:$FB,94)</f>
        <v>-0.67579999999999996</v>
      </c>
      <c r="K99" s="91">
        <f>VLOOKUP($A99,'Data Vlaue (Cr)'!$C:$FB,95)</f>
        <v>85</v>
      </c>
      <c r="L99" s="91">
        <f>VLOOKUP($A99,'Data Vlaue (Cr)'!$C:$FB,97)</f>
        <v>-111</v>
      </c>
      <c r="M99" s="92">
        <f>VLOOKUP($A99,'Data Vlaue (Cr)'!$C:$FB,98)</f>
        <v>-0.56740000000000002</v>
      </c>
      <c r="N99" s="91">
        <f>VLOOKUP($A99,'Data Vlaue (Cr)'!$C:$FB,79)</f>
        <v>62</v>
      </c>
      <c r="O99" s="92">
        <f>VLOOKUP($A99,'Data Vlaue (Cr)'!$C:$FB,82)</f>
        <v>-0.72599999999999998</v>
      </c>
    </row>
    <row r="100" spans="1:15" x14ac:dyDescent="0.25">
      <c r="A100" s="97" t="str">
        <f>'Data Vlaue (Cr)'!C95</f>
        <v>ICICIBANK</v>
      </c>
      <c r="B100" s="142">
        <f>VLOOKUP(A100,'Data Vlaue (Cr)'!C95:CW324,99,0)</f>
        <v>15985</v>
      </c>
      <c r="C100" s="90">
        <f>VLOOKUP(A100,'Data Vlaue (Cr)'!C95:CY324,101,0)</f>
        <v>-4306</v>
      </c>
      <c r="D100" s="139">
        <f>VLOOKUP(A100,'Data Vlaue (Cr)'!C95:CZ324,102,0)</f>
        <v>-0.2122</v>
      </c>
      <c r="E100" s="91">
        <f>VLOOKUP($A100,'Data Vlaue (Cr)'!$C:$FB,75)</f>
        <v>13921</v>
      </c>
      <c r="F100" s="91">
        <f>VLOOKUP($A100,'Data Vlaue (Cr)'!$C:$FB,77)</f>
        <v>-21</v>
      </c>
      <c r="G100" s="92">
        <f>VLOOKUP(A100,'Data Vlaue (Cr)'!C95:CB324,78,0)</f>
        <v>-1.5E-3</v>
      </c>
      <c r="H100" s="91">
        <f>VLOOKUP($A100,'Data Vlaue (Cr)'!$C:$FB,91)</f>
        <v>1026</v>
      </c>
      <c r="I100" s="91">
        <f>VLOOKUP($A100,'Data Vlaue (Cr)'!$C:$FB,93)</f>
        <v>-2215</v>
      </c>
      <c r="J100" s="92">
        <f>VLOOKUP($A100,'Data Vlaue (Cr)'!$C:$FB,94)</f>
        <v>-0.68330000000000002</v>
      </c>
      <c r="K100" s="91">
        <f>VLOOKUP($A100,'Data Vlaue (Cr)'!$C:$FB,95)</f>
        <v>1038</v>
      </c>
      <c r="L100" s="91">
        <f>VLOOKUP($A100,'Data Vlaue (Cr)'!$C:$FB,97)</f>
        <v>-2070</v>
      </c>
      <c r="M100" s="92">
        <f>VLOOKUP($A100,'Data Vlaue (Cr)'!$C:$FB,98)</f>
        <v>-0.66610000000000003</v>
      </c>
      <c r="N100" s="91">
        <f>VLOOKUP($A100,'Data Vlaue (Cr)'!$C:$FB,79)</f>
        <v>568</v>
      </c>
      <c r="O100" s="92">
        <f>VLOOKUP($A100,'Data Vlaue (Cr)'!$C:$FB,82)</f>
        <v>-0.42309999999999998</v>
      </c>
    </row>
    <row r="101" spans="1:15" x14ac:dyDescent="0.25">
      <c r="A101" s="97" t="str">
        <f>'Data Vlaue (Cr)'!C96</f>
        <v>ICICIGI</v>
      </c>
      <c r="B101" s="142">
        <f>VLOOKUP(A101,'Data Vlaue (Cr)'!C96:CW325,99,0)</f>
        <v>1066</v>
      </c>
      <c r="C101" s="90">
        <f>VLOOKUP(A101,'Data Vlaue (Cr)'!C96:CY325,101,0)</f>
        <v>-505</v>
      </c>
      <c r="D101" s="139">
        <f>VLOOKUP(A101,'Data Vlaue (Cr)'!C96:CZ325,102,0)</f>
        <v>-0.32129999999999997</v>
      </c>
      <c r="E101" s="91">
        <f>VLOOKUP($A101,'Data Vlaue (Cr)'!$C:$FB,75)</f>
        <v>947</v>
      </c>
      <c r="F101" s="91">
        <f>VLOOKUP($A101,'Data Vlaue (Cr)'!$C:$FB,77)</f>
        <v>-62</v>
      </c>
      <c r="G101" s="92">
        <f>VLOOKUP(A101,'Data Vlaue (Cr)'!C96:CB325,78,0)</f>
        <v>-6.1199999999999997E-2</v>
      </c>
      <c r="H101" s="91">
        <f>VLOOKUP($A101,'Data Vlaue (Cr)'!$C:$FB,91)</f>
        <v>62</v>
      </c>
      <c r="I101" s="91">
        <f>VLOOKUP($A101,'Data Vlaue (Cr)'!$C:$FB,93)</f>
        <v>-323</v>
      </c>
      <c r="J101" s="92">
        <f>VLOOKUP($A101,'Data Vlaue (Cr)'!$C:$FB,94)</f>
        <v>-0.83989999999999998</v>
      </c>
      <c r="K101" s="91">
        <f>VLOOKUP($A101,'Data Vlaue (Cr)'!$C:$FB,95)</f>
        <v>58</v>
      </c>
      <c r="L101" s="91">
        <f>VLOOKUP($A101,'Data Vlaue (Cr)'!$C:$FB,97)</f>
        <v>-120</v>
      </c>
      <c r="M101" s="92">
        <f>VLOOKUP($A101,'Data Vlaue (Cr)'!$C:$FB,98)</f>
        <v>-0.67530000000000001</v>
      </c>
      <c r="N101" s="91">
        <f>VLOOKUP($A101,'Data Vlaue (Cr)'!$C:$FB,79)</f>
        <v>95</v>
      </c>
      <c r="O101" s="92">
        <f>VLOOKUP($A101,'Data Vlaue (Cr)'!$C:$FB,82)</f>
        <v>-0.35570000000000002</v>
      </c>
    </row>
    <row r="102" spans="1:15" x14ac:dyDescent="0.25">
      <c r="A102" s="97" t="str">
        <f>'Data Vlaue (Cr)'!C97</f>
        <v>ICICIPRULI</v>
      </c>
      <c r="B102" s="142">
        <f>VLOOKUP(A102,'Data Vlaue (Cr)'!C97:CW326,99,0)</f>
        <v>976</v>
      </c>
      <c r="C102" s="90">
        <f>VLOOKUP(A102,'Data Vlaue (Cr)'!C97:CY326,101,0)</f>
        <v>-587</v>
      </c>
      <c r="D102" s="139">
        <f>VLOOKUP(A102,'Data Vlaue (Cr)'!C97:CZ326,102,0)</f>
        <v>-0.37580000000000002</v>
      </c>
      <c r="E102" s="91">
        <f>VLOOKUP($A102,'Data Vlaue (Cr)'!$C:$FB,75)</f>
        <v>835</v>
      </c>
      <c r="F102" s="91">
        <f>VLOOKUP($A102,'Data Vlaue (Cr)'!$C:$FB,77)</f>
        <v>-80</v>
      </c>
      <c r="G102" s="92">
        <f>VLOOKUP(A102,'Data Vlaue (Cr)'!C97:CB326,78,0)</f>
        <v>-8.7300000000000003E-2</v>
      </c>
      <c r="H102" s="91">
        <f>VLOOKUP($A102,'Data Vlaue (Cr)'!$C:$FB,91)</f>
        <v>77</v>
      </c>
      <c r="I102" s="91">
        <f>VLOOKUP($A102,'Data Vlaue (Cr)'!$C:$FB,93)</f>
        <v>-383</v>
      </c>
      <c r="J102" s="92">
        <f>VLOOKUP($A102,'Data Vlaue (Cr)'!$C:$FB,94)</f>
        <v>-0.83299999999999996</v>
      </c>
      <c r="K102" s="91">
        <f>VLOOKUP($A102,'Data Vlaue (Cr)'!$C:$FB,95)</f>
        <v>64</v>
      </c>
      <c r="L102" s="91">
        <f>VLOOKUP($A102,'Data Vlaue (Cr)'!$C:$FB,97)</f>
        <v>-125</v>
      </c>
      <c r="M102" s="92">
        <f>VLOOKUP($A102,'Data Vlaue (Cr)'!$C:$FB,98)</f>
        <v>-0.66069999999999995</v>
      </c>
      <c r="N102" s="91">
        <f>VLOOKUP($A102,'Data Vlaue (Cr)'!$C:$FB,79)</f>
        <v>78</v>
      </c>
      <c r="O102" s="92">
        <f>VLOOKUP($A102,'Data Vlaue (Cr)'!$C:$FB,82)</f>
        <v>-0.38429999999999997</v>
      </c>
    </row>
    <row r="103" spans="1:15" x14ac:dyDescent="0.25">
      <c r="A103" s="97" t="str">
        <f>'Data Vlaue (Cr)'!C98</f>
        <v>IDEA</v>
      </c>
      <c r="B103" s="142">
        <f>VLOOKUP(A103,'Data Vlaue (Cr)'!C98:CW327,99,0)</f>
        <v>4422</v>
      </c>
      <c r="C103" s="90">
        <f>VLOOKUP(A103,'Data Vlaue (Cr)'!C98:CY327,101,0)</f>
        <v>-1106</v>
      </c>
      <c r="D103" s="139">
        <f>VLOOKUP(A103,'Data Vlaue (Cr)'!C98:CZ327,102,0)</f>
        <v>-0.2001</v>
      </c>
      <c r="E103" s="91">
        <f>VLOOKUP($A103,'Data Vlaue (Cr)'!$C:$FB,75)</f>
        <v>3693</v>
      </c>
      <c r="F103" s="91">
        <f>VLOOKUP($A103,'Data Vlaue (Cr)'!$C:$FB,77)</f>
        <v>-115</v>
      </c>
      <c r="G103" s="92">
        <f>VLOOKUP(A103,'Data Vlaue (Cr)'!C98:CB327,78,0)</f>
        <v>-3.0200000000000001E-2</v>
      </c>
      <c r="H103" s="91">
        <f>VLOOKUP($A103,'Data Vlaue (Cr)'!$C:$FB,91)</f>
        <v>394</v>
      </c>
      <c r="I103" s="91">
        <f>VLOOKUP($A103,'Data Vlaue (Cr)'!$C:$FB,93)</f>
        <v>-696</v>
      </c>
      <c r="J103" s="92">
        <f>VLOOKUP($A103,'Data Vlaue (Cr)'!$C:$FB,94)</f>
        <v>-0.63829999999999998</v>
      </c>
      <c r="K103" s="91">
        <f>VLOOKUP($A103,'Data Vlaue (Cr)'!$C:$FB,95)</f>
        <v>335</v>
      </c>
      <c r="L103" s="91">
        <f>VLOOKUP($A103,'Data Vlaue (Cr)'!$C:$FB,97)</f>
        <v>-295</v>
      </c>
      <c r="M103" s="92">
        <f>VLOOKUP($A103,'Data Vlaue (Cr)'!$C:$FB,98)</f>
        <v>-0.46850000000000003</v>
      </c>
      <c r="N103" s="91">
        <f>VLOOKUP($A103,'Data Vlaue (Cr)'!$C:$FB,79)</f>
        <v>95</v>
      </c>
      <c r="O103" s="92">
        <f>VLOOKUP($A103,'Data Vlaue (Cr)'!$C:$FB,82)</f>
        <v>-0.82699999999999996</v>
      </c>
    </row>
    <row r="104" spans="1:15" x14ac:dyDescent="0.25">
      <c r="A104" s="97" t="str">
        <f>'Data Vlaue (Cr)'!C99</f>
        <v>IDFCFIRSTB</v>
      </c>
      <c r="B104" s="142">
        <f>VLOOKUP(A104,'Data Vlaue (Cr)'!C99:CW328,99,0)</f>
        <v>3346</v>
      </c>
      <c r="C104" s="90">
        <f>VLOOKUP(A104,'Data Vlaue (Cr)'!C99:CY328,101,0)</f>
        <v>-1103</v>
      </c>
      <c r="D104" s="139">
        <f>VLOOKUP(A104,'Data Vlaue (Cr)'!C99:CZ328,102,0)</f>
        <v>-0.24779999999999999</v>
      </c>
      <c r="E104" s="91">
        <f>VLOOKUP($A104,'Data Vlaue (Cr)'!$C:$FB,75)</f>
        <v>2622</v>
      </c>
      <c r="F104" s="91">
        <f>VLOOKUP($A104,'Data Vlaue (Cr)'!$C:$FB,77)</f>
        <v>-68</v>
      </c>
      <c r="G104" s="92">
        <f>VLOOKUP(A104,'Data Vlaue (Cr)'!C99:CB328,78,0)</f>
        <v>-2.5399999999999999E-2</v>
      </c>
      <c r="H104" s="91">
        <f>VLOOKUP($A104,'Data Vlaue (Cr)'!$C:$FB,91)</f>
        <v>416</v>
      </c>
      <c r="I104" s="91">
        <f>VLOOKUP($A104,'Data Vlaue (Cr)'!$C:$FB,93)</f>
        <v>-709</v>
      </c>
      <c r="J104" s="92">
        <f>VLOOKUP($A104,'Data Vlaue (Cr)'!$C:$FB,94)</f>
        <v>-0.63019999999999998</v>
      </c>
      <c r="K104" s="91">
        <f>VLOOKUP($A104,'Data Vlaue (Cr)'!$C:$FB,95)</f>
        <v>308</v>
      </c>
      <c r="L104" s="91">
        <f>VLOOKUP($A104,'Data Vlaue (Cr)'!$C:$FB,97)</f>
        <v>-325</v>
      </c>
      <c r="M104" s="92">
        <f>VLOOKUP($A104,'Data Vlaue (Cr)'!$C:$FB,98)</f>
        <v>-0.51339999999999997</v>
      </c>
      <c r="N104" s="91">
        <f>VLOOKUP($A104,'Data Vlaue (Cr)'!$C:$FB,79)</f>
        <v>98</v>
      </c>
      <c r="O104" s="92">
        <f>VLOOKUP($A104,'Data Vlaue (Cr)'!$C:$FB,82)</f>
        <v>-0.75239999999999996</v>
      </c>
    </row>
    <row r="105" spans="1:15" x14ac:dyDescent="0.25">
      <c r="A105" s="97" t="str">
        <f>'Data Vlaue (Cr)'!C100</f>
        <v>IEX</v>
      </c>
      <c r="B105" s="142">
        <f>VLOOKUP(A105,'Data Vlaue (Cr)'!C100:CW329,99,0)</f>
        <v>1078</v>
      </c>
      <c r="C105" s="90">
        <f>VLOOKUP(A105,'Data Vlaue (Cr)'!C100:CY329,101,0)</f>
        <v>-1176</v>
      </c>
      <c r="D105" s="139">
        <f>VLOOKUP(A105,'Data Vlaue (Cr)'!C100:CZ329,102,0)</f>
        <v>-0.52190000000000003</v>
      </c>
      <c r="E105" s="91">
        <f>VLOOKUP($A105,'Data Vlaue (Cr)'!$C:$FB,75)</f>
        <v>467</v>
      </c>
      <c r="F105" s="91">
        <f>VLOOKUP($A105,'Data Vlaue (Cr)'!$C:$FB,77)</f>
        <v>-100</v>
      </c>
      <c r="G105" s="92">
        <f>VLOOKUP(A105,'Data Vlaue (Cr)'!C100:CB329,78,0)</f>
        <v>-0.17599999999999999</v>
      </c>
      <c r="H105" s="91">
        <f>VLOOKUP($A105,'Data Vlaue (Cr)'!$C:$FB,91)</f>
        <v>337</v>
      </c>
      <c r="I105" s="91">
        <f>VLOOKUP($A105,'Data Vlaue (Cr)'!$C:$FB,93)</f>
        <v>-435</v>
      </c>
      <c r="J105" s="92">
        <f>VLOOKUP($A105,'Data Vlaue (Cr)'!$C:$FB,94)</f>
        <v>-0.56340000000000001</v>
      </c>
      <c r="K105" s="91">
        <f>VLOOKUP($A105,'Data Vlaue (Cr)'!$C:$FB,95)</f>
        <v>273</v>
      </c>
      <c r="L105" s="91">
        <f>VLOOKUP($A105,'Data Vlaue (Cr)'!$C:$FB,97)</f>
        <v>-642</v>
      </c>
      <c r="M105" s="92">
        <f>VLOOKUP($A105,'Data Vlaue (Cr)'!$C:$FB,98)</f>
        <v>-0.70109999999999995</v>
      </c>
      <c r="N105" s="91">
        <f>VLOOKUP($A105,'Data Vlaue (Cr)'!$C:$FB,79)</f>
        <v>138</v>
      </c>
      <c r="O105" s="92">
        <f>VLOOKUP($A105,'Data Vlaue (Cr)'!$C:$FB,82)</f>
        <v>-0.39910000000000001</v>
      </c>
    </row>
    <row r="106" spans="1:15" x14ac:dyDescent="0.25">
      <c r="A106" s="97" t="str">
        <f>'Data Vlaue (Cr)'!C101</f>
        <v>IGL</v>
      </c>
      <c r="B106" s="142">
        <f>VLOOKUP(A106,'Data Vlaue (Cr)'!C101:CW330,99,0)</f>
        <v>535</v>
      </c>
      <c r="C106" s="90">
        <f>VLOOKUP(A106,'Data Vlaue (Cr)'!C101:CY330,101,0)</f>
        <v>-414</v>
      </c>
      <c r="D106" s="139">
        <f>VLOOKUP(A106,'Data Vlaue (Cr)'!C101:CZ330,102,0)</f>
        <v>-0.43659999999999999</v>
      </c>
      <c r="E106" s="91">
        <f>VLOOKUP($A106,'Data Vlaue (Cr)'!$C:$FB,75)</f>
        <v>305</v>
      </c>
      <c r="F106" s="91">
        <f>VLOOKUP($A106,'Data Vlaue (Cr)'!$C:$FB,77)</f>
        <v>-115</v>
      </c>
      <c r="G106" s="92">
        <f>VLOOKUP(A106,'Data Vlaue (Cr)'!C101:CB330,78,0)</f>
        <v>-0.27279999999999999</v>
      </c>
      <c r="H106" s="91">
        <f>VLOOKUP($A106,'Data Vlaue (Cr)'!$C:$FB,91)</f>
        <v>142</v>
      </c>
      <c r="I106" s="91">
        <f>VLOOKUP($A106,'Data Vlaue (Cr)'!$C:$FB,93)</f>
        <v>-193</v>
      </c>
      <c r="J106" s="92">
        <f>VLOOKUP($A106,'Data Vlaue (Cr)'!$C:$FB,94)</f>
        <v>-0.57699999999999996</v>
      </c>
      <c r="K106" s="91">
        <f>VLOOKUP($A106,'Data Vlaue (Cr)'!$C:$FB,95)</f>
        <v>88</v>
      </c>
      <c r="L106" s="91">
        <f>VLOOKUP($A106,'Data Vlaue (Cr)'!$C:$FB,97)</f>
        <v>-107</v>
      </c>
      <c r="M106" s="92">
        <f>VLOOKUP($A106,'Data Vlaue (Cr)'!$C:$FB,98)</f>
        <v>-0.54859999999999998</v>
      </c>
      <c r="N106" s="91">
        <f>VLOOKUP($A106,'Data Vlaue (Cr)'!$C:$FB,79)</f>
        <v>24</v>
      </c>
      <c r="O106" s="92">
        <f>VLOOKUP($A106,'Data Vlaue (Cr)'!$C:$FB,82)</f>
        <v>-0.7823</v>
      </c>
    </row>
    <row r="107" spans="1:15" x14ac:dyDescent="0.25">
      <c r="A107" s="97" t="str">
        <f>'Data Vlaue (Cr)'!C102</f>
        <v>IIFL</v>
      </c>
      <c r="B107" s="142">
        <f>VLOOKUP(A107,'Data Vlaue (Cr)'!C102:CW331,99,0)</f>
        <v>803</v>
      </c>
      <c r="C107" s="90">
        <f>VLOOKUP(A107,'Data Vlaue (Cr)'!C102:CY331,101,0)</f>
        <v>-256</v>
      </c>
      <c r="D107" s="139">
        <f>VLOOKUP(A107,'Data Vlaue (Cr)'!C102:CZ331,102,0)</f>
        <v>-0.24179999999999999</v>
      </c>
      <c r="E107" s="91">
        <f>VLOOKUP($A107,'Data Vlaue (Cr)'!$C:$FB,75)</f>
        <v>637</v>
      </c>
      <c r="F107" s="91">
        <f>VLOOKUP($A107,'Data Vlaue (Cr)'!$C:$FB,77)</f>
        <v>-73</v>
      </c>
      <c r="G107" s="92">
        <f>VLOOKUP(A107,'Data Vlaue (Cr)'!C102:CB331,78,0)</f>
        <v>-0.10249999999999999</v>
      </c>
      <c r="H107" s="91">
        <f>VLOOKUP($A107,'Data Vlaue (Cr)'!$C:$FB,91)</f>
        <v>103</v>
      </c>
      <c r="I107" s="91">
        <f>VLOOKUP($A107,'Data Vlaue (Cr)'!$C:$FB,93)</f>
        <v>-87</v>
      </c>
      <c r="J107" s="92">
        <f>VLOOKUP($A107,'Data Vlaue (Cr)'!$C:$FB,94)</f>
        <v>-0.45839999999999997</v>
      </c>
      <c r="K107" s="91">
        <f>VLOOKUP($A107,'Data Vlaue (Cr)'!$C:$FB,95)</f>
        <v>63</v>
      </c>
      <c r="L107" s="91">
        <f>VLOOKUP($A107,'Data Vlaue (Cr)'!$C:$FB,97)</f>
        <v>-96</v>
      </c>
      <c r="M107" s="92">
        <f>VLOOKUP($A107,'Data Vlaue (Cr)'!$C:$FB,98)</f>
        <v>-0.60580000000000001</v>
      </c>
      <c r="N107" s="91">
        <f>VLOOKUP($A107,'Data Vlaue (Cr)'!$C:$FB,79)</f>
        <v>27</v>
      </c>
      <c r="O107" s="92">
        <f>VLOOKUP($A107,'Data Vlaue (Cr)'!$C:$FB,82)</f>
        <v>-0.82369999999999999</v>
      </c>
    </row>
    <row r="108" spans="1:15" x14ac:dyDescent="0.25">
      <c r="A108" s="97" t="str">
        <f>'Data Vlaue (Cr)'!C103</f>
        <v>INDHOTEL</v>
      </c>
      <c r="B108" s="142">
        <f>VLOOKUP(A108,'Data Vlaue (Cr)'!C103:CW332,99,0)</f>
        <v>2545</v>
      </c>
      <c r="C108" s="90">
        <f>VLOOKUP(A108,'Data Vlaue (Cr)'!C103:CY332,101,0)</f>
        <v>-664</v>
      </c>
      <c r="D108" s="139">
        <f>VLOOKUP(A108,'Data Vlaue (Cr)'!C103:CZ332,102,0)</f>
        <v>-0.2069</v>
      </c>
      <c r="E108" s="91">
        <f>VLOOKUP($A108,'Data Vlaue (Cr)'!$C:$FB,75)</f>
        <v>2068</v>
      </c>
      <c r="F108" s="91">
        <f>VLOOKUP($A108,'Data Vlaue (Cr)'!$C:$FB,77)</f>
        <v>-57</v>
      </c>
      <c r="G108" s="92">
        <f>VLOOKUP(A108,'Data Vlaue (Cr)'!C103:CB332,78,0)</f>
        <v>-2.6700000000000002E-2</v>
      </c>
      <c r="H108" s="91">
        <f>VLOOKUP($A108,'Data Vlaue (Cr)'!$C:$FB,91)</f>
        <v>267</v>
      </c>
      <c r="I108" s="91">
        <f>VLOOKUP($A108,'Data Vlaue (Cr)'!$C:$FB,93)</f>
        <v>-370</v>
      </c>
      <c r="J108" s="92">
        <f>VLOOKUP($A108,'Data Vlaue (Cr)'!$C:$FB,94)</f>
        <v>-0.5806</v>
      </c>
      <c r="K108" s="91">
        <f>VLOOKUP($A108,'Data Vlaue (Cr)'!$C:$FB,95)</f>
        <v>210</v>
      </c>
      <c r="L108" s="91">
        <f>VLOOKUP($A108,'Data Vlaue (Cr)'!$C:$FB,97)</f>
        <v>-238</v>
      </c>
      <c r="M108" s="92">
        <f>VLOOKUP($A108,'Data Vlaue (Cr)'!$C:$FB,98)</f>
        <v>-0.53090000000000004</v>
      </c>
      <c r="N108" s="91">
        <f>VLOOKUP($A108,'Data Vlaue (Cr)'!$C:$FB,79)</f>
        <v>61</v>
      </c>
      <c r="O108" s="92">
        <f>VLOOKUP($A108,'Data Vlaue (Cr)'!$C:$FB,82)</f>
        <v>-0.81059999999999999</v>
      </c>
    </row>
    <row r="109" spans="1:15" x14ac:dyDescent="0.25">
      <c r="A109" s="97" t="str">
        <f>'Data Vlaue (Cr)'!C104</f>
        <v>INDIANB</v>
      </c>
      <c r="B109" s="142">
        <f>VLOOKUP(A109,'Data Vlaue (Cr)'!C104:CW333,99,0)</f>
        <v>557</v>
      </c>
      <c r="C109" s="90">
        <f>VLOOKUP(A109,'Data Vlaue (Cr)'!C104:CY333,101,0)</f>
        <v>-257</v>
      </c>
      <c r="D109" s="139">
        <f>VLOOKUP(A109,'Data Vlaue (Cr)'!C104:CZ333,102,0)</f>
        <v>-0.31580000000000003</v>
      </c>
      <c r="E109" s="91">
        <f>VLOOKUP($A109,'Data Vlaue (Cr)'!$C:$FB,75)</f>
        <v>451</v>
      </c>
      <c r="F109" s="91">
        <f>VLOOKUP($A109,'Data Vlaue (Cr)'!$C:$FB,77)</f>
        <v>-55</v>
      </c>
      <c r="G109" s="92">
        <f>VLOOKUP(A109,'Data Vlaue (Cr)'!C104:CB333,78,0)</f>
        <v>-0.108</v>
      </c>
      <c r="H109" s="91">
        <f>VLOOKUP($A109,'Data Vlaue (Cr)'!$C:$FB,91)</f>
        <v>61</v>
      </c>
      <c r="I109" s="91">
        <f>VLOOKUP($A109,'Data Vlaue (Cr)'!$C:$FB,93)</f>
        <v>-122</v>
      </c>
      <c r="J109" s="92">
        <f>VLOOKUP($A109,'Data Vlaue (Cr)'!$C:$FB,94)</f>
        <v>-0.66830000000000001</v>
      </c>
      <c r="K109" s="91">
        <f>VLOOKUP($A109,'Data Vlaue (Cr)'!$C:$FB,95)</f>
        <v>46</v>
      </c>
      <c r="L109" s="91">
        <f>VLOOKUP($A109,'Data Vlaue (Cr)'!$C:$FB,97)</f>
        <v>-81</v>
      </c>
      <c r="M109" s="92">
        <f>VLOOKUP($A109,'Data Vlaue (Cr)'!$C:$FB,98)</f>
        <v>-0.63570000000000004</v>
      </c>
      <c r="N109" s="91">
        <f>VLOOKUP($A109,'Data Vlaue (Cr)'!$C:$FB,79)</f>
        <v>20</v>
      </c>
      <c r="O109" s="92">
        <f>VLOOKUP($A109,'Data Vlaue (Cr)'!$C:$FB,82)</f>
        <v>-0.75760000000000005</v>
      </c>
    </row>
    <row r="110" spans="1:15" x14ac:dyDescent="0.25">
      <c r="A110" s="97" t="str">
        <f>'Data Vlaue (Cr)'!C105</f>
        <v>INDIAVIX</v>
      </c>
      <c r="B110" s="142">
        <f>VLOOKUP(A110,'Data Vlaue (Cr)'!C105:CW334,99,0)</f>
        <v>0</v>
      </c>
      <c r="C110" s="90">
        <f>VLOOKUP(A110,'Data Vlaue (Cr)'!C105:CY334,101,0)</f>
        <v>0</v>
      </c>
      <c r="D110" s="139">
        <f>VLOOKUP(A110,'Data Vlaue (Cr)'!C105:CZ334,102,0)</f>
        <v>0</v>
      </c>
      <c r="E110" s="91">
        <f>VLOOKUP($A110,'Data Vlaue (Cr)'!$C:$FB,75)</f>
        <v>0</v>
      </c>
      <c r="F110" s="91">
        <f>VLOOKUP($A110,'Data Vlaue (Cr)'!$C:$FB,77)</f>
        <v>0</v>
      </c>
      <c r="G110" s="92">
        <f>VLOOKUP(A110,'Data Vlaue (Cr)'!C105:CB334,78,0)</f>
        <v>0</v>
      </c>
      <c r="H110" s="91">
        <f>VLOOKUP($A110,'Data Vlaue (Cr)'!$C:$FB,91)</f>
        <v>0</v>
      </c>
      <c r="I110" s="91">
        <f>VLOOKUP($A110,'Data Vlaue (Cr)'!$C:$FB,93)</f>
        <v>0</v>
      </c>
      <c r="J110" s="92">
        <f>VLOOKUP($A110,'Data Vlaue (Cr)'!$C:$FB,94)</f>
        <v>0</v>
      </c>
      <c r="K110" s="91">
        <f>VLOOKUP($A110,'Data Vlaue (Cr)'!$C:$FB,95)</f>
        <v>0</v>
      </c>
      <c r="L110" s="91">
        <f>VLOOKUP($A110,'Data Vlaue (Cr)'!$C:$FB,97)</f>
        <v>0</v>
      </c>
      <c r="M110" s="92">
        <f>VLOOKUP($A110,'Data Vlaue (Cr)'!$C:$FB,98)</f>
        <v>0</v>
      </c>
      <c r="N110" s="91">
        <f>VLOOKUP($A110,'Data Vlaue (Cr)'!$C:$FB,79)</f>
        <v>0</v>
      </c>
      <c r="O110" s="92">
        <f>VLOOKUP($A110,'Data Vlaue (Cr)'!$C:$FB,82)</f>
        <v>0</v>
      </c>
    </row>
    <row r="111" spans="1:15" x14ac:dyDescent="0.25">
      <c r="A111" s="97" t="str">
        <f>'Data Vlaue (Cr)'!C106</f>
        <v>INDIGO</v>
      </c>
      <c r="B111" s="142">
        <f>VLOOKUP(A111,'Data Vlaue (Cr)'!C106:CW335,99,0)</f>
        <v>5331</v>
      </c>
      <c r="C111" s="90">
        <f>VLOOKUP(A111,'Data Vlaue (Cr)'!C106:CY335,101,0)</f>
        <v>-3204</v>
      </c>
      <c r="D111" s="139">
        <f>VLOOKUP(A111,'Data Vlaue (Cr)'!C106:CZ335,102,0)</f>
        <v>-0.37530000000000002</v>
      </c>
      <c r="E111" s="91">
        <f>VLOOKUP($A111,'Data Vlaue (Cr)'!$C:$FB,75)</f>
        <v>4208</v>
      </c>
      <c r="F111" s="91">
        <f>VLOOKUP($A111,'Data Vlaue (Cr)'!$C:$FB,77)</f>
        <v>-758</v>
      </c>
      <c r="G111" s="92">
        <f>VLOOKUP(A111,'Data Vlaue (Cr)'!C106:CB335,78,0)</f>
        <v>-0.1527</v>
      </c>
      <c r="H111" s="91">
        <f>VLOOKUP($A111,'Data Vlaue (Cr)'!$C:$FB,91)</f>
        <v>551</v>
      </c>
      <c r="I111" s="91">
        <f>VLOOKUP($A111,'Data Vlaue (Cr)'!$C:$FB,93)</f>
        <v>-1230</v>
      </c>
      <c r="J111" s="92">
        <f>VLOOKUP($A111,'Data Vlaue (Cr)'!$C:$FB,94)</f>
        <v>-0.69059999999999999</v>
      </c>
      <c r="K111" s="91">
        <f>VLOOKUP($A111,'Data Vlaue (Cr)'!$C:$FB,95)</f>
        <v>572</v>
      </c>
      <c r="L111" s="91">
        <f>VLOOKUP($A111,'Data Vlaue (Cr)'!$C:$FB,97)</f>
        <v>-1215</v>
      </c>
      <c r="M111" s="92">
        <f>VLOOKUP($A111,'Data Vlaue (Cr)'!$C:$FB,98)</f>
        <v>-0.67989999999999995</v>
      </c>
      <c r="N111" s="91">
        <f>VLOOKUP($A111,'Data Vlaue (Cr)'!$C:$FB,79)</f>
        <v>327</v>
      </c>
      <c r="O111" s="92">
        <f>VLOOKUP($A111,'Data Vlaue (Cr)'!$C:$FB,82)</f>
        <v>-0.68100000000000005</v>
      </c>
    </row>
    <row r="112" spans="1:15" x14ac:dyDescent="0.25">
      <c r="A112" s="97" t="str">
        <f>'Data Vlaue (Cr)'!C107</f>
        <v>INDUSINDBK</v>
      </c>
      <c r="B112" s="142">
        <f>VLOOKUP(A112,'Data Vlaue (Cr)'!C107:CW336,99,0)</f>
        <v>5051</v>
      </c>
      <c r="C112" s="90">
        <f>VLOOKUP(A112,'Data Vlaue (Cr)'!C107:CY336,101,0)</f>
        <v>-1689</v>
      </c>
      <c r="D112" s="139">
        <f>VLOOKUP(A112,'Data Vlaue (Cr)'!C107:CZ336,102,0)</f>
        <v>-0.25059999999999999</v>
      </c>
      <c r="E112" s="91">
        <f>VLOOKUP($A112,'Data Vlaue (Cr)'!$C:$FB,75)</f>
        <v>3925</v>
      </c>
      <c r="F112" s="91">
        <f>VLOOKUP($A112,'Data Vlaue (Cr)'!$C:$FB,77)</f>
        <v>-19</v>
      </c>
      <c r="G112" s="92">
        <f>VLOOKUP(A112,'Data Vlaue (Cr)'!C107:CB336,78,0)</f>
        <v>-4.7999999999999996E-3</v>
      </c>
      <c r="H112" s="91">
        <f>VLOOKUP($A112,'Data Vlaue (Cr)'!$C:$FB,91)</f>
        <v>604</v>
      </c>
      <c r="I112" s="91">
        <f>VLOOKUP($A112,'Data Vlaue (Cr)'!$C:$FB,93)</f>
        <v>-1215</v>
      </c>
      <c r="J112" s="92">
        <f>VLOOKUP($A112,'Data Vlaue (Cr)'!$C:$FB,94)</f>
        <v>-0.66779999999999995</v>
      </c>
      <c r="K112" s="91">
        <f>VLOOKUP($A112,'Data Vlaue (Cr)'!$C:$FB,95)</f>
        <v>521</v>
      </c>
      <c r="L112" s="91">
        <f>VLOOKUP($A112,'Data Vlaue (Cr)'!$C:$FB,97)</f>
        <v>-455</v>
      </c>
      <c r="M112" s="92">
        <f>VLOOKUP($A112,'Data Vlaue (Cr)'!$C:$FB,98)</f>
        <v>-0.46639999999999998</v>
      </c>
      <c r="N112" s="91">
        <f>VLOOKUP($A112,'Data Vlaue (Cr)'!$C:$FB,79)</f>
        <v>212</v>
      </c>
      <c r="O112" s="92">
        <f>VLOOKUP($A112,'Data Vlaue (Cr)'!$C:$FB,82)</f>
        <v>-0.71879999999999999</v>
      </c>
    </row>
    <row r="113" spans="1:15" x14ac:dyDescent="0.25">
      <c r="A113" s="97" t="str">
        <f>'Data Vlaue (Cr)'!C108</f>
        <v>INDUSTOWER</v>
      </c>
      <c r="B113" s="142">
        <f>VLOOKUP(A113,'Data Vlaue (Cr)'!C108:CW337,99,0)</f>
        <v>2967</v>
      </c>
      <c r="C113" s="90">
        <f>VLOOKUP(A113,'Data Vlaue (Cr)'!C108:CY337,101,0)</f>
        <v>-312</v>
      </c>
      <c r="D113" s="139">
        <f>VLOOKUP(A113,'Data Vlaue (Cr)'!C108:CZ337,102,0)</f>
        <v>-9.5200000000000007E-2</v>
      </c>
      <c r="E113" s="91">
        <f>VLOOKUP($A113,'Data Vlaue (Cr)'!$C:$FB,75)</f>
        <v>2303</v>
      </c>
      <c r="F113" s="91">
        <f>VLOOKUP($A113,'Data Vlaue (Cr)'!$C:$FB,77)</f>
        <v>16</v>
      </c>
      <c r="G113" s="92">
        <f>VLOOKUP(A113,'Data Vlaue (Cr)'!C108:CB337,78,0)</f>
        <v>7.1000000000000004E-3</v>
      </c>
      <c r="H113" s="91">
        <f>VLOOKUP($A113,'Data Vlaue (Cr)'!$C:$FB,91)</f>
        <v>382</v>
      </c>
      <c r="I113" s="91">
        <f>VLOOKUP($A113,'Data Vlaue (Cr)'!$C:$FB,93)</f>
        <v>-210</v>
      </c>
      <c r="J113" s="92">
        <f>VLOOKUP($A113,'Data Vlaue (Cr)'!$C:$FB,94)</f>
        <v>-0.35510000000000003</v>
      </c>
      <c r="K113" s="91">
        <f>VLOOKUP($A113,'Data Vlaue (Cr)'!$C:$FB,95)</f>
        <v>281</v>
      </c>
      <c r="L113" s="91">
        <f>VLOOKUP($A113,'Data Vlaue (Cr)'!$C:$FB,97)</f>
        <v>-118</v>
      </c>
      <c r="M113" s="92">
        <f>VLOOKUP($A113,'Data Vlaue (Cr)'!$C:$FB,98)</f>
        <v>-0.29570000000000002</v>
      </c>
      <c r="N113" s="91">
        <f>VLOOKUP($A113,'Data Vlaue (Cr)'!$C:$FB,79)</f>
        <v>145</v>
      </c>
      <c r="O113" s="92">
        <f>VLOOKUP($A113,'Data Vlaue (Cr)'!$C:$FB,82)</f>
        <v>-0.72889999999999999</v>
      </c>
    </row>
    <row r="114" spans="1:15" x14ac:dyDescent="0.25">
      <c r="A114" s="97" t="str">
        <f>'Data Vlaue (Cr)'!C109</f>
        <v>INFY</v>
      </c>
      <c r="B114" s="142">
        <f>VLOOKUP(A114,'Data Vlaue (Cr)'!C109:CW338,99,0)</f>
        <v>13001</v>
      </c>
      <c r="C114" s="90">
        <f>VLOOKUP(A114,'Data Vlaue (Cr)'!C109:CY338,101,0)</f>
        <v>-4732</v>
      </c>
      <c r="D114" s="139">
        <f>VLOOKUP(A114,'Data Vlaue (Cr)'!C109:CZ338,102,0)</f>
        <v>-0.26679999999999998</v>
      </c>
      <c r="E114" s="91">
        <f>VLOOKUP($A114,'Data Vlaue (Cr)'!$C:$FB,75)</f>
        <v>10308</v>
      </c>
      <c r="F114" s="91">
        <f>VLOOKUP($A114,'Data Vlaue (Cr)'!$C:$FB,77)</f>
        <v>-915</v>
      </c>
      <c r="G114" s="92">
        <f>VLOOKUP(A114,'Data Vlaue (Cr)'!C109:CB338,78,0)</f>
        <v>-8.1500000000000003E-2</v>
      </c>
      <c r="H114" s="91">
        <f>VLOOKUP($A114,'Data Vlaue (Cr)'!$C:$FB,91)</f>
        <v>1659</v>
      </c>
      <c r="I114" s="91">
        <f>VLOOKUP($A114,'Data Vlaue (Cr)'!$C:$FB,93)</f>
        <v>-2699</v>
      </c>
      <c r="J114" s="92">
        <f>VLOOKUP($A114,'Data Vlaue (Cr)'!$C:$FB,94)</f>
        <v>-0.61929999999999996</v>
      </c>
      <c r="K114" s="91">
        <f>VLOOKUP($A114,'Data Vlaue (Cr)'!$C:$FB,95)</f>
        <v>1034</v>
      </c>
      <c r="L114" s="91">
        <f>VLOOKUP($A114,'Data Vlaue (Cr)'!$C:$FB,97)</f>
        <v>-1118</v>
      </c>
      <c r="M114" s="92">
        <f>VLOOKUP($A114,'Data Vlaue (Cr)'!$C:$FB,98)</f>
        <v>-0.51949999999999996</v>
      </c>
      <c r="N114" s="91">
        <f>VLOOKUP($A114,'Data Vlaue (Cr)'!$C:$FB,79)</f>
        <v>1068</v>
      </c>
      <c r="O114" s="92">
        <f>VLOOKUP($A114,'Data Vlaue (Cr)'!$C:$FB,82)</f>
        <v>-0.54330000000000001</v>
      </c>
    </row>
    <row r="115" spans="1:15" x14ac:dyDescent="0.25">
      <c r="A115" s="97" t="str">
        <f>'Data Vlaue (Cr)'!C110</f>
        <v>INOXWIND</v>
      </c>
      <c r="B115" s="142">
        <f>VLOOKUP(A115,'Data Vlaue (Cr)'!C110:CW339,99,0)</f>
        <v>528</v>
      </c>
      <c r="C115" s="90">
        <f>VLOOKUP(A115,'Data Vlaue (Cr)'!C110:CY339,101,0)</f>
        <v>-454</v>
      </c>
      <c r="D115" s="139">
        <f>VLOOKUP(A115,'Data Vlaue (Cr)'!C110:CZ339,102,0)</f>
        <v>-0.46210000000000001</v>
      </c>
      <c r="E115" s="91">
        <f>VLOOKUP($A115,'Data Vlaue (Cr)'!$C:$FB,75)</f>
        <v>422</v>
      </c>
      <c r="F115" s="91">
        <f>VLOOKUP($A115,'Data Vlaue (Cr)'!$C:$FB,77)</f>
        <v>-176</v>
      </c>
      <c r="G115" s="92">
        <f>VLOOKUP(A115,'Data Vlaue (Cr)'!C110:CB339,78,0)</f>
        <v>-0.29380000000000001</v>
      </c>
      <c r="H115" s="91">
        <f>VLOOKUP($A115,'Data Vlaue (Cr)'!$C:$FB,91)</f>
        <v>67</v>
      </c>
      <c r="I115" s="91">
        <f>VLOOKUP($A115,'Data Vlaue (Cr)'!$C:$FB,93)</f>
        <v>-193</v>
      </c>
      <c r="J115" s="92">
        <f>VLOOKUP($A115,'Data Vlaue (Cr)'!$C:$FB,94)</f>
        <v>-0.74160000000000004</v>
      </c>
      <c r="K115" s="91">
        <f>VLOOKUP($A115,'Data Vlaue (Cr)'!$C:$FB,95)</f>
        <v>39</v>
      </c>
      <c r="L115" s="91">
        <f>VLOOKUP($A115,'Data Vlaue (Cr)'!$C:$FB,97)</f>
        <v>-85</v>
      </c>
      <c r="M115" s="92">
        <f>VLOOKUP($A115,'Data Vlaue (Cr)'!$C:$FB,98)</f>
        <v>-0.68730000000000002</v>
      </c>
      <c r="N115" s="91">
        <f>VLOOKUP($A115,'Data Vlaue (Cr)'!$C:$FB,79)</f>
        <v>138</v>
      </c>
      <c r="O115" s="92">
        <f>VLOOKUP($A115,'Data Vlaue (Cr)'!$C:$FB,82)</f>
        <v>-0.49199999999999999</v>
      </c>
    </row>
    <row r="116" spans="1:15" x14ac:dyDescent="0.25">
      <c r="A116" s="97" t="str">
        <f>'Data Vlaue (Cr)'!C111</f>
        <v>IOC</v>
      </c>
      <c r="B116" s="142">
        <f>VLOOKUP(A116,'Data Vlaue (Cr)'!C111:CW340,99,0)</f>
        <v>1866</v>
      </c>
      <c r="C116" s="90">
        <f>VLOOKUP(A116,'Data Vlaue (Cr)'!C111:CY340,101,0)</f>
        <v>-1252</v>
      </c>
      <c r="D116" s="139">
        <f>VLOOKUP(A116,'Data Vlaue (Cr)'!C111:CZ340,102,0)</f>
        <v>-0.40150000000000002</v>
      </c>
      <c r="E116" s="91">
        <f>VLOOKUP($A116,'Data Vlaue (Cr)'!$C:$FB,75)</f>
        <v>1010</v>
      </c>
      <c r="F116" s="91">
        <f>VLOOKUP($A116,'Data Vlaue (Cr)'!$C:$FB,77)</f>
        <v>-419</v>
      </c>
      <c r="G116" s="92">
        <f>VLOOKUP(A116,'Data Vlaue (Cr)'!C111:CB340,78,0)</f>
        <v>-0.29339999999999999</v>
      </c>
      <c r="H116" s="91">
        <f>VLOOKUP($A116,'Data Vlaue (Cr)'!$C:$FB,91)</f>
        <v>483</v>
      </c>
      <c r="I116" s="91">
        <f>VLOOKUP($A116,'Data Vlaue (Cr)'!$C:$FB,93)</f>
        <v>-546</v>
      </c>
      <c r="J116" s="92">
        <f>VLOOKUP($A116,'Data Vlaue (Cr)'!$C:$FB,94)</f>
        <v>-0.53059999999999996</v>
      </c>
      <c r="K116" s="91">
        <f>VLOOKUP($A116,'Data Vlaue (Cr)'!$C:$FB,95)</f>
        <v>373</v>
      </c>
      <c r="L116" s="91">
        <f>VLOOKUP($A116,'Data Vlaue (Cr)'!$C:$FB,97)</f>
        <v>-287</v>
      </c>
      <c r="M116" s="92">
        <f>VLOOKUP($A116,'Data Vlaue (Cr)'!$C:$FB,98)</f>
        <v>-0.43440000000000001</v>
      </c>
      <c r="N116" s="91">
        <f>VLOOKUP($A116,'Data Vlaue (Cr)'!$C:$FB,79)</f>
        <v>405</v>
      </c>
      <c r="O116" s="92">
        <f>VLOOKUP($A116,'Data Vlaue (Cr)'!$C:$FB,82)</f>
        <v>-0.1888</v>
      </c>
    </row>
    <row r="117" spans="1:15" x14ac:dyDescent="0.25">
      <c r="A117" s="97" t="str">
        <f>'Data Vlaue (Cr)'!C112</f>
        <v>IRB</v>
      </c>
      <c r="B117" s="142">
        <f>VLOOKUP(A117,'Data Vlaue (Cr)'!C112:CW341,99,0)</f>
        <v>453</v>
      </c>
      <c r="C117" s="90">
        <f>VLOOKUP(A117,'Data Vlaue (Cr)'!C112:CY341,101,0)</f>
        <v>-214</v>
      </c>
      <c r="D117" s="139">
        <f>VLOOKUP(A117,'Data Vlaue (Cr)'!C112:CZ341,102,0)</f>
        <v>-0.32040000000000002</v>
      </c>
      <c r="E117" s="91">
        <f>VLOOKUP($A117,'Data Vlaue (Cr)'!$C:$FB,75)</f>
        <v>373</v>
      </c>
      <c r="F117" s="91">
        <f>VLOOKUP($A117,'Data Vlaue (Cr)'!$C:$FB,77)</f>
        <v>-40</v>
      </c>
      <c r="G117" s="92">
        <f>VLOOKUP(A117,'Data Vlaue (Cr)'!C112:CB341,78,0)</f>
        <v>-9.6600000000000005E-2</v>
      </c>
      <c r="H117" s="91">
        <f>VLOOKUP($A117,'Data Vlaue (Cr)'!$C:$FB,91)</f>
        <v>51</v>
      </c>
      <c r="I117" s="91">
        <f>VLOOKUP($A117,'Data Vlaue (Cr)'!$C:$FB,93)</f>
        <v>-135</v>
      </c>
      <c r="J117" s="92">
        <f>VLOOKUP($A117,'Data Vlaue (Cr)'!$C:$FB,94)</f>
        <v>-0.72629999999999995</v>
      </c>
      <c r="K117" s="91">
        <f>VLOOKUP($A117,'Data Vlaue (Cr)'!$C:$FB,95)</f>
        <v>29</v>
      </c>
      <c r="L117" s="91">
        <f>VLOOKUP($A117,'Data Vlaue (Cr)'!$C:$FB,97)</f>
        <v>-38</v>
      </c>
      <c r="M117" s="92">
        <f>VLOOKUP($A117,'Data Vlaue (Cr)'!$C:$FB,98)</f>
        <v>-0.57050000000000001</v>
      </c>
      <c r="N117" s="91">
        <f>VLOOKUP($A117,'Data Vlaue (Cr)'!$C:$FB,79)</f>
        <v>26</v>
      </c>
      <c r="O117" s="92">
        <f>VLOOKUP($A117,'Data Vlaue (Cr)'!$C:$FB,82)</f>
        <v>-0.77380000000000004</v>
      </c>
    </row>
    <row r="118" spans="1:15" x14ac:dyDescent="0.25">
      <c r="A118" s="97" t="str">
        <f>'Data Vlaue (Cr)'!C113</f>
        <v>IRCTC</v>
      </c>
      <c r="B118" s="142">
        <f>VLOOKUP(A118,'Data Vlaue (Cr)'!C113:CW342,99,0)</f>
        <v>1571</v>
      </c>
      <c r="C118" s="90">
        <f>VLOOKUP(A118,'Data Vlaue (Cr)'!C113:CY342,101,0)</f>
        <v>-612</v>
      </c>
      <c r="D118" s="139">
        <f>VLOOKUP(A118,'Data Vlaue (Cr)'!C113:CZ342,102,0)</f>
        <v>-0.2802</v>
      </c>
      <c r="E118" s="91">
        <f>VLOOKUP($A118,'Data Vlaue (Cr)'!$C:$FB,75)</f>
        <v>1032</v>
      </c>
      <c r="F118" s="91">
        <f>VLOOKUP($A118,'Data Vlaue (Cr)'!$C:$FB,77)</f>
        <v>-81</v>
      </c>
      <c r="G118" s="92">
        <f>VLOOKUP(A118,'Data Vlaue (Cr)'!C113:CB342,78,0)</f>
        <v>-7.2999999999999995E-2</v>
      </c>
      <c r="H118" s="91">
        <f>VLOOKUP($A118,'Data Vlaue (Cr)'!$C:$FB,91)</f>
        <v>290</v>
      </c>
      <c r="I118" s="91">
        <f>VLOOKUP($A118,'Data Vlaue (Cr)'!$C:$FB,93)</f>
        <v>-367</v>
      </c>
      <c r="J118" s="92">
        <f>VLOOKUP($A118,'Data Vlaue (Cr)'!$C:$FB,94)</f>
        <v>-0.55840000000000001</v>
      </c>
      <c r="K118" s="91">
        <f>VLOOKUP($A118,'Data Vlaue (Cr)'!$C:$FB,95)</f>
        <v>249</v>
      </c>
      <c r="L118" s="91">
        <f>VLOOKUP($A118,'Data Vlaue (Cr)'!$C:$FB,97)</f>
        <v>-163</v>
      </c>
      <c r="M118" s="92">
        <f>VLOOKUP($A118,'Data Vlaue (Cr)'!$C:$FB,98)</f>
        <v>-0.39639999999999997</v>
      </c>
      <c r="N118" s="91">
        <f>VLOOKUP($A118,'Data Vlaue (Cr)'!$C:$FB,79)</f>
        <v>86</v>
      </c>
      <c r="O118" s="92">
        <f>VLOOKUP($A118,'Data Vlaue (Cr)'!$C:$FB,82)</f>
        <v>-0.68520000000000003</v>
      </c>
    </row>
    <row r="119" spans="1:15" x14ac:dyDescent="0.25">
      <c r="A119" s="97" t="str">
        <f>'Data Vlaue (Cr)'!C114</f>
        <v>IREDA</v>
      </c>
      <c r="B119" s="142">
        <f>VLOOKUP(A119,'Data Vlaue (Cr)'!C114:CW343,99,0)</f>
        <v>886</v>
      </c>
      <c r="C119" s="90">
        <f>VLOOKUP(A119,'Data Vlaue (Cr)'!C114:CY343,101,0)</f>
        <v>-484</v>
      </c>
      <c r="D119" s="139">
        <f>VLOOKUP(A119,'Data Vlaue (Cr)'!C114:CZ343,102,0)</f>
        <v>-0.3533</v>
      </c>
      <c r="E119" s="91">
        <f>VLOOKUP($A119,'Data Vlaue (Cr)'!$C:$FB,75)</f>
        <v>548</v>
      </c>
      <c r="F119" s="91">
        <f>VLOOKUP($A119,'Data Vlaue (Cr)'!$C:$FB,77)</f>
        <v>-113</v>
      </c>
      <c r="G119" s="92">
        <f>VLOOKUP(A119,'Data Vlaue (Cr)'!C114:CB343,78,0)</f>
        <v>-0.17100000000000001</v>
      </c>
      <c r="H119" s="91">
        <f>VLOOKUP($A119,'Data Vlaue (Cr)'!$C:$FB,91)</f>
        <v>197</v>
      </c>
      <c r="I119" s="91">
        <f>VLOOKUP($A119,'Data Vlaue (Cr)'!$C:$FB,93)</f>
        <v>-284</v>
      </c>
      <c r="J119" s="92">
        <f>VLOOKUP($A119,'Data Vlaue (Cr)'!$C:$FB,94)</f>
        <v>-0.59</v>
      </c>
      <c r="K119" s="91">
        <f>VLOOKUP($A119,'Data Vlaue (Cr)'!$C:$FB,95)</f>
        <v>140</v>
      </c>
      <c r="L119" s="91">
        <f>VLOOKUP($A119,'Data Vlaue (Cr)'!$C:$FB,97)</f>
        <v>-87</v>
      </c>
      <c r="M119" s="92">
        <f>VLOOKUP($A119,'Data Vlaue (Cr)'!$C:$FB,98)</f>
        <v>-0.38169999999999998</v>
      </c>
      <c r="N119" s="91">
        <f>VLOOKUP($A119,'Data Vlaue (Cr)'!$C:$FB,79)</f>
        <v>49</v>
      </c>
      <c r="O119" s="92">
        <f>VLOOKUP($A119,'Data Vlaue (Cr)'!$C:$FB,82)</f>
        <v>-0.65249999999999997</v>
      </c>
    </row>
    <row r="120" spans="1:15" x14ac:dyDescent="0.25">
      <c r="A120" s="97" t="str">
        <f>'Data Vlaue (Cr)'!C115</f>
        <v>IRFC</v>
      </c>
      <c r="B120" s="142">
        <f>VLOOKUP(A120,'Data Vlaue (Cr)'!C115:CW344,99,0)</f>
        <v>925</v>
      </c>
      <c r="C120" s="90">
        <f>VLOOKUP(A120,'Data Vlaue (Cr)'!C115:CY344,101,0)</f>
        <v>-637</v>
      </c>
      <c r="D120" s="139">
        <f>VLOOKUP(A120,'Data Vlaue (Cr)'!C115:CZ344,102,0)</f>
        <v>-0.40789999999999998</v>
      </c>
      <c r="E120" s="91">
        <f>VLOOKUP($A120,'Data Vlaue (Cr)'!$C:$FB,75)</f>
        <v>536</v>
      </c>
      <c r="F120" s="91">
        <f>VLOOKUP($A120,'Data Vlaue (Cr)'!$C:$FB,77)</f>
        <v>-126</v>
      </c>
      <c r="G120" s="92">
        <f>VLOOKUP(A120,'Data Vlaue (Cr)'!C115:CB344,78,0)</f>
        <v>-0.19020000000000001</v>
      </c>
      <c r="H120" s="91">
        <f>VLOOKUP($A120,'Data Vlaue (Cr)'!$C:$FB,91)</f>
        <v>267</v>
      </c>
      <c r="I120" s="91">
        <f>VLOOKUP($A120,'Data Vlaue (Cr)'!$C:$FB,93)</f>
        <v>-363</v>
      </c>
      <c r="J120" s="92">
        <f>VLOOKUP($A120,'Data Vlaue (Cr)'!$C:$FB,94)</f>
        <v>-0.57569999999999999</v>
      </c>
      <c r="K120" s="91">
        <f>VLOOKUP($A120,'Data Vlaue (Cr)'!$C:$FB,95)</f>
        <v>122</v>
      </c>
      <c r="L120" s="91">
        <f>VLOOKUP($A120,'Data Vlaue (Cr)'!$C:$FB,97)</f>
        <v>-149</v>
      </c>
      <c r="M120" s="92">
        <f>VLOOKUP($A120,'Data Vlaue (Cr)'!$C:$FB,98)</f>
        <v>-0.54879999999999995</v>
      </c>
      <c r="N120" s="91">
        <f>VLOOKUP($A120,'Data Vlaue (Cr)'!$C:$FB,79)</f>
        <v>67</v>
      </c>
      <c r="O120" s="92">
        <f>VLOOKUP($A120,'Data Vlaue (Cr)'!$C:$FB,82)</f>
        <v>-0.54010000000000002</v>
      </c>
    </row>
    <row r="121" spans="1:15" x14ac:dyDescent="0.25">
      <c r="A121" s="97" t="str">
        <f>'Data Vlaue (Cr)'!C116</f>
        <v>ITC</v>
      </c>
      <c r="B121" s="142">
        <f>VLOOKUP(A121,'Data Vlaue (Cr)'!C116:CW345,99,0)</f>
        <v>6206</v>
      </c>
      <c r="C121" s="90">
        <f>VLOOKUP(A121,'Data Vlaue (Cr)'!C116:CY345,101,0)</f>
        <v>-1810</v>
      </c>
      <c r="D121" s="139">
        <f>VLOOKUP(A121,'Data Vlaue (Cr)'!C116:CZ345,102,0)</f>
        <v>-0.2258</v>
      </c>
      <c r="E121" s="91">
        <f>VLOOKUP($A121,'Data Vlaue (Cr)'!$C:$FB,75)</f>
        <v>4261</v>
      </c>
      <c r="F121" s="91">
        <f>VLOOKUP($A121,'Data Vlaue (Cr)'!$C:$FB,77)</f>
        <v>-175</v>
      </c>
      <c r="G121" s="92">
        <f>VLOOKUP(A121,'Data Vlaue (Cr)'!C116:CB345,78,0)</f>
        <v>-3.95E-2</v>
      </c>
      <c r="H121" s="91">
        <f>VLOOKUP($A121,'Data Vlaue (Cr)'!$C:$FB,91)</f>
        <v>1017</v>
      </c>
      <c r="I121" s="91">
        <f>VLOOKUP($A121,'Data Vlaue (Cr)'!$C:$FB,93)</f>
        <v>-1244</v>
      </c>
      <c r="J121" s="92">
        <f>VLOOKUP($A121,'Data Vlaue (Cr)'!$C:$FB,94)</f>
        <v>-0.55030000000000001</v>
      </c>
      <c r="K121" s="91">
        <f>VLOOKUP($A121,'Data Vlaue (Cr)'!$C:$FB,95)</f>
        <v>928</v>
      </c>
      <c r="L121" s="91">
        <f>VLOOKUP($A121,'Data Vlaue (Cr)'!$C:$FB,97)</f>
        <v>-391</v>
      </c>
      <c r="M121" s="92">
        <f>VLOOKUP($A121,'Data Vlaue (Cr)'!$C:$FB,98)</f>
        <v>-0.29630000000000001</v>
      </c>
      <c r="N121" s="91">
        <f>VLOOKUP($A121,'Data Vlaue (Cr)'!$C:$FB,79)</f>
        <v>190</v>
      </c>
      <c r="O121" s="92">
        <f>VLOOKUP($A121,'Data Vlaue (Cr)'!$C:$FB,82)</f>
        <v>-0.79890000000000005</v>
      </c>
    </row>
    <row r="122" spans="1:15" x14ac:dyDescent="0.25">
      <c r="A122" s="97" t="str">
        <f>'Data Vlaue (Cr)'!C117</f>
        <v>JINDALSTEL</v>
      </c>
      <c r="B122" s="142">
        <f>VLOOKUP(A122,'Data Vlaue (Cr)'!C117:CW346,99,0)</f>
        <v>1447</v>
      </c>
      <c r="C122" s="90">
        <f>VLOOKUP(A122,'Data Vlaue (Cr)'!C117:CY346,101,0)</f>
        <v>-1015</v>
      </c>
      <c r="D122" s="139">
        <f>VLOOKUP(A122,'Data Vlaue (Cr)'!C117:CZ346,102,0)</f>
        <v>-0.41239999999999999</v>
      </c>
      <c r="E122" s="91">
        <f>VLOOKUP($A122,'Data Vlaue (Cr)'!$C:$FB,75)</f>
        <v>1124</v>
      </c>
      <c r="F122" s="91">
        <f>VLOOKUP($A122,'Data Vlaue (Cr)'!$C:$FB,77)</f>
        <v>-574</v>
      </c>
      <c r="G122" s="92">
        <f>VLOOKUP(A122,'Data Vlaue (Cr)'!C117:CB346,78,0)</f>
        <v>-0.3382</v>
      </c>
      <c r="H122" s="91">
        <f>VLOOKUP($A122,'Data Vlaue (Cr)'!$C:$FB,91)</f>
        <v>164</v>
      </c>
      <c r="I122" s="91">
        <f>VLOOKUP($A122,'Data Vlaue (Cr)'!$C:$FB,93)</f>
        <v>-220</v>
      </c>
      <c r="J122" s="92">
        <f>VLOOKUP($A122,'Data Vlaue (Cr)'!$C:$FB,94)</f>
        <v>-0.5736</v>
      </c>
      <c r="K122" s="91">
        <f>VLOOKUP($A122,'Data Vlaue (Cr)'!$C:$FB,95)</f>
        <v>159</v>
      </c>
      <c r="L122" s="91">
        <f>VLOOKUP($A122,'Data Vlaue (Cr)'!$C:$FB,97)</f>
        <v>-221</v>
      </c>
      <c r="M122" s="92">
        <f>VLOOKUP($A122,'Data Vlaue (Cr)'!$C:$FB,98)</f>
        <v>-0.58130000000000004</v>
      </c>
      <c r="N122" s="91">
        <f>VLOOKUP($A122,'Data Vlaue (Cr)'!$C:$FB,79)</f>
        <v>509</v>
      </c>
      <c r="O122" s="92">
        <f>VLOOKUP($A122,'Data Vlaue (Cr)'!$C:$FB,82)</f>
        <v>-0.20230000000000001</v>
      </c>
    </row>
    <row r="123" spans="1:15" x14ac:dyDescent="0.25">
      <c r="A123" s="97" t="str">
        <f>'Data Vlaue (Cr)'!C118</f>
        <v>JIOFIN</v>
      </c>
      <c r="B123" s="142">
        <f>VLOOKUP(A123,'Data Vlaue (Cr)'!C118:CW347,99,0)</f>
        <v>6025</v>
      </c>
      <c r="C123" s="90">
        <f>VLOOKUP(A123,'Data Vlaue (Cr)'!C118:CY347,101,0)</f>
        <v>-2130</v>
      </c>
      <c r="D123" s="139">
        <f>VLOOKUP(A123,'Data Vlaue (Cr)'!C118:CZ347,102,0)</f>
        <v>-0.26119999999999999</v>
      </c>
      <c r="E123" s="91">
        <f>VLOOKUP($A123,'Data Vlaue (Cr)'!$C:$FB,75)</f>
        <v>3623</v>
      </c>
      <c r="F123" s="91">
        <f>VLOOKUP($A123,'Data Vlaue (Cr)'!$C:$FB,77)</f>
        <v>-253</v>
      </c>
      <c r="G123" s="92">
        <f>VLOOKUP(A123,'Data Vlaue (Cr)'!C118:CB347,78,0)</f>
        <v>-6.5199999999999994E-2</v>
      </c>
      <c r="H123" s="91">
        <f>VLOOKUP($A123,'Data Vlaue (Cr)'!$C:$FB,91)</f>
        <v>1353</v>
      </c>
      <c r="I123" s="91">
        <f>VLOOKUP($A123,'Data Vlaue (Cr)'!$C:$FB,93)</f>
        <v>-1243</v>
      </c>
      <c r="J123" s="92">
        <f>VLOOKUP($A123,'Data Vlaue (Cr)'!$C:$FB,94)</f>
        <v>-0.4788</v>
      </c>
      <c r="K123" s="91">
        <f>VLOOKUP($A123,'Data Vlaue (Cr)'!$C:$FB,95)</f>
        <v>1049</v>
      </c>
      <c r="L123" s="91">
        <f>VLOOKUP($A123,'Data Vlaue (Cr)'!$C:$FB,97)</f>
        <v>-634</v>
      </c>
      <c r="M123" s="92">
        <f>VLOOKUP($A123,'Data Vlaue (Cr)'!$C:$FB,98)</f>
        <v>-0.37669999999999998</v>
      </c>
      <c r="N123" s="91">
        <f>VLOOKUP($A123,'Data Vlaue (Cr)'!$C:$FB,79)</f>
        <v>142</v>
      </c>
      <c r="O123" s="92">
        <f>VLOOKUP($A123,'Data Vlaue (Cr)'!$C:$FB,82)</f>
        <v>-0.78380000000000005</v>
      </c>
    </row>
    <row r="124" spans="1:15" x14ac:dyDescent="0.25">
      <c r="A124" s="97" t="str">
        <f>'Data Vlaue (Cr)'!C119</f>
        <v>JSL</v>
      </c>
      <c r="B124" s="142">
        <f>VLOOKUP(A124,'Data Vlaue (Cr)'!C119:CW348,99,0)</f>
        <v>385</v>
      </c>
      <c r="C124" s="90">
        <f>VLOOKUP(A124,'Data Vlaue (Cr)'!C119:CY348,101,0)</f>
        <v>-289</v>
      </c>
      <c r="D124" s="139">
        <f>VLOOKUP(A124,'Data Vlaue (Cr)'!C119:CZ348,102,0)</f>
        <v>-0.42870000000000003</v>
      </c>
      <c r="E124" s="91">
        <f>VLOOKUP($A124,'Data Vlaue (Cr)'!$C:$FB,75)</f>
        <v>316</v>
      </c>
      <c r="F124" s="91">
        <f>VLOOKUP($A124,'Data Vlaue (Cr)'!$C:$FB,77)</f>
        <v>-141</v>
      </c>
      <c r="G124" s="92">
        <f>VLOOKUP(A124,'Data Vlaue (Cr)'!C119:CB348,78,0)</f>
        <v>-0.30919999999999997</v>
      </c>
      <c r="H124" s="91">
        <f>VLOOKUP($A124,'Data Vlaue (Cr)'!$C:$FB,91)</f>
        <v>48</v>
      </c>
      <c r="I124" s="91">
        <f>VLOOKUP($A124,'Data Vlaue (Cr)'!$C:$FB,93)</f>
        <v>-93</v>
      </c>
      <c r="J124" s="92">
        <f>VLOOKUP($A124,'Data Vlaue (Cr)'!$C:$FB,94)</f>
        <v>-0.66149999999999998</v>
      </c>
      <c r="K124" s="91">
        <f>VLOOKUP($A124,'Data Vlaue (Cr)'!$C:$FB,95)</f>
        <v>22</v>
      </c>
      <c r="L124" s="91">
        <f>VLOOKUP($A124,'Data Vlaue (Cr)'!$C:$FB,97)</f>
        <v>-55</v>
      </c>
      <c r="M124" s="92">
        <f>VLOOKUP($A124,'Data Vlaue (Cr)'!$C:$FB,98)</f>
        <v>-0.71540000000000004</v>
      </c>
      <c r="N124" s="91">
        <f>VLOOKUP($A124,'Data Vlaue (Cr)'!$C:$FB,79)</f>
        <v>141</v>
      </c>
      <c r="O124" s="92">
        <f>VLOOKUP($A124,'Data Vlaue (Cr)'!$C:$FB,82)</f>
        <v>-8.9599999999999999E-2</v>
      </c>
    </row>
    <row r="125" spans="1:15" x14ac:dyDescent="0.25">
      <c r="A125" s="97" t="str">
        <f>'Data Vlaue (Cr)'!C120</f>
        <v>JSWENERGY</v>
      </c>
      <c r="B125" s="142">
        <f>VLOOKUP(A125,'Data Vlaue (Cr)'!C120:CW349,99,0)</f>
        <v>2578</v>
      </c>
      <c r="C125" s="90">
        <f>VLOOKUP(A125,'Data Vlaue (Cr)'!C120:CY349,101,0)</f>
        <v>-453</v>
      </c>
      <c r="D125" s="139">
        <f>VLOOKUP(A125,'Data Vlaue (Cr)'!C120:CZ349,102,0)</f>
        <v>-0.14960000000000001</v>
      </c>
      <c r="E125" s="91">
        <f>VLOOKUP($A125,'Data Vlaue (Cr)'!$C:$FB,75)</f>
        <v>2149</v>
      </c>
      <c r="F125" s="91">
        <f>VLOOKUP($A125,'Data Vlaue (Cr)'!$C:$FB,77)</f>
        <v>-162</v>
      </c>
      <c r="G125" s="92">
        <f>VLOOKUP(A125,'Data Vlaue (Cr)'!C120:CB349,78,0)</f>
        <v>-7.0000000000000007E-2</v>
      </c>
      <c r="H125" s="91">
        <f>VLOOKUP($A125,'Data Vlaue (Cr)'!$C:$FB,91)</f>
        <v>266</v>
      </c>
      <c r="I125" s="91">
        <f>VLOOKUP($A125,'Data Vlaue (Cr)'!$C:$FB,93)</f>
        <v>-193</v>
      </c>
      <c r="J125" s="92">
        <f>VLOOKUP($A125,'Data Vlaue (Cr)'!$C:$FB,94)</f>
        <v>-0.4209</v>
      </c>
      <c r="K125" s="91">
        <f>VLOOKUP($A125,'Data Vlaue (Cr)'!$C:$FB,95)</f>
        <v>163</v>
      </c>
      <c r="L125" s="91">
        <f>VLOOKUP($A125,'Data Vlaue (Cr)'!$C:$FB,97)</f>
        <v>-99</v>
      </c>
      <c r="M125" s="92">
        <f>VLOOKUP($A125,'Data Vlaue (Cr)'!$C:$FB,98)</f>
        <v>-0.3765</v>
      </c>
      <c r="N125" s="91">
        <f>VLOOKUP($A125,'Data Vlaue (Cr)'!$C:$FB,79)</f>
        <v>216</v>
      </c>
      <c r="O125" s="92">
        <f>VLOOKUP($A125,'Data Vlaue (Cr)'!$C:$FB,82)</f>
        <v>-0.53569999999999995</v>
      </c>
    </row>
    <row r="126" spans="1:15" x14ac:dyDescent="0.25">
      <c r="A126" s="97" t="str">
        <f>'Data Vlaue (Cr)'!C121</f>
        <v>JSWSTEEL</v>
      </c>
      <c r="B126" s="142">
        <f>VLOOKUP(A126,'Data Vlaue (Cr)'!C121:CW350,99,0)</f>
        <v>4659</v>
      </c>
      <c r="C126" s="90">
        <f>VLOOKUP(A126,'Data Vlaue (Cr)'!C121:CY350,101,0)</f>
        <v>-1018</v>
      </c>
      <c r="D126" s="139">
        <f>VLOOKUP(A126,'Data Vlaue (Cr)'!C121:CZ350,102,0)</f>
        <v>-0.1794</v>
      </c>
      <c r="E126" s="91">
        <f>VLOOKUP($A126,'Data Vlaue (Cr)'!$C:$FB,75)</f>
        <v>3953</v>
      </c>
      <c r="F126" s="91">
        <f>VLOOKUP($A126,'Data Vlaue (Cr)'!$C:$FB,77)</f>
        <v>-123</v>
      </c>
      <c r="G126" s="92">
        <f>VLOOKUP(A126,'Data Vlaue (Cr)'!C121:CB350,78,0)</f>
        <v>-3.0200000000000001E-2</v>
      </c>
      <c r="H126" s="91">
        <f>VLOOKUP($A126,'Data Vlaue (Cr)'!$C:$FB,91)</f>
        <v>449</v>
      </c>
      <c r="I126" s="91">
        <f>VLOOKUP($A126,'Data Vlaue (Cr)'!$C:$FB,93)</f>
        <v>-538</v>
      </c>
      <c r="J126" s="92">
        <f>VLOOKUP($A126,'Data Vlaue (Cr)'!$C:$FB,94)</f>
        <v>-0.5454</v>
      </c>
      <c r="K126" s="91">
        <f>VLOOKUP($A126,'Data Vlaue (Cr)'!$C:$FB,95)</f>
        <v>257</v>
      </c>
      <c r="L126" s="91">
        <f>VLOOKUP($A126,'Data Vlaue (Cr)'!$C:$FB,97)</f>
        <v>-357</v>
      </c>
      <c r="M126" s="92">
        <f>VLOOKUP($A126,'Data Vlaue (Cr)'!$C:$FB,98)</f>
        <v>-0.58120000000000005</v>
      </c>
      <c r="N126" s="91">
        <f>VLOOKUP($A126,'Data Vlaue (Cr)'!$C:$FB,79)</f>
        <v>237</v>
      </c>
      <c r="O126" s="92">
        <f>VLOOKUP($A126,'Data Vlaue (Cr)'!$C:$FB,82)</f>
        <v>-0.39610000000000001</v>
      </c>
    </row>
    <row r="127" spans="1:15" x14ac:dyDescent="0.25">
      <c r="A127" s="97" t="str">
        <f>'Data Vlaue (Cr)'!C122</f>
        <v>JUBLFOOD</v>
      </c>
      <c r="B127" s="142">
        <f>VLOOKUP(A127,'Data Vlaue (Cr)'!C122:CW351,99,0)</f>
        <v>1446</v>
      </c>
      <c r="C127" s="90">
        <f>VLOOKUP(A127,'Data Vlaue (Cr)'!C122:CY351,101,0)</f>
        <v>-564</v>
      </c>
      <c r="D127" s="139">
        <f>VLOOKUP(A127,'Data Vlaue (Cr)'!C122:CZ351,102,0)</f>
        <v>-0.28060000000000002</v>
      </c>
      <c r="E127" s="91">
        <f>VLOOKUP($A127,'Data Vlaue (Cr)'!$C:$FB,75)</f>
        <v>1303</v>
      </c>
      <c r="F127" s="91">
        <f>VLOOKUP($A127,'Data Vlaue (Cr)'!$C:$FB,77)</f>
        <v>-89</v>
      </c>
      <c r="G127" s="92">
        <f>VLOOKUP(A127,'Data Vlaue (Cr)'!C122:CB351,78,0)</f>
        <v>-6.3899999999999998E-2</v>
      </c>
      <c r="H127" s="91">
        <f>VLOOKUP($A127,'Data Vlaue (Cr)'!$C:$FB,91)</f>
        <v>79</v>
      </c>
      <c r="I127" s="91">
        <f>VLOOKUP($A127,'Data Vlaue (Cr)'!$C:$FB,93)</f>
        <v>-345</v>
      </c>
      <c r="J127" s="92">
        <f>VLOOKUP($A127,'Data Vlaue (Cr)'!$C:$FB,94)</f>
        <v>-0.8145</v>
      </c>
      <c r="K127" s="91">
        <f>VLOOKUP($A127,'Data Vlaue (Cr)'!$C:$FB,95)</f>
        <v>63</v>
      </c>
      <c r="L127" s="91">
        <f>VLOOKUP($A127,'Data Vlaue (Cr)'!$C:$FB,97)</f>
        <v>-130</v>
      </c>
      <c r="M127" s="92">
        <f>VLOOKUP($A127,'Data Vlaue (Cr)'!$C:$FB,98)</f>
        <v>-0.67190000000000005</v>
      </c>
      <c r="N127" s="91">
        <f>VLOOKUP($A127,'Data Vlaue (Cr)'!$C:$FB,79)</f>
        <v>49</v>
      </c>
      <c r="O127" s="92">
        <f>VLOOKUP($A127,'Data Vlaue (Cr)'!$C:$FB,82)</f>
        <v>-0.73119999999999996</v>
      </c>
    </row>
    <row r="128" spans="1:15" x14ac:dyDescent="0.25">
      <c r="A128" s="97" t="str">
        <f>'Data Vlaue (Cr)'!C123</f>
        <v>KALYANKJIL</v>
      </c>
      <c r="B128" s="142">
        <f>VLOOKUP(A128,'Data Vlaue (Cr)'!C123:CW352,99,0)</f>
        <v>1460</v>
      </c>
      <c r="C128" s="90">
        <f>VLOOKUP(A128,'Data Vlaue (Cr)'!C123:CY352,101,0)</f>
        <v>-514</v>
      </c>
      <c r="D128" s="139">
        <f>VLOOKUP(A128,'Data Vlaue (Cr)'!C123:CZ352,102,0)</f>
        <v>-0.26040000000000002</v>
      </c>
      <c r="E128" s="91">
        <f>VLOOKUP($A128,'Data Vlaue (Cr)'!$C:$FB,75)</f>
        <v>1195</v>
      </c>
      <c r="F128" s="91">
        <f>VLOOKUP($A128,'Data Vlaue (Cr)'!$C:$FB,77)</f>
        <v>-152</v>
      </c>
      <c r="G128" s="92">
        <f>VLOOKUP(A128,'Data Vlaue (Cr)'!C123:CB352,78,0)</f>
        <v>-0.11269999999999999</v>
      </c>
      <c r="H128" s="91">
        <f>VLOOKUP($A128,'Data Vlaue (Cr)'!$C:$FB,91)</f>
        <v>171</v>
      </c>
      <c r="I128" s="91">
        <f>VLOOKUP($A128,'Data Vlaue (Cr)'!$C:$FB,93)</f>
        <v>-216</v>
      </c>
      <c r="J128" s="92">
        <f>VLOOKUP($A128,'Data Vlaue (Cr)'!$C:$FB,94)</f>
        <v>-0.55910000000000004</v>
      </c>
      <c r="K128" s="91">
        <f>VLOOKUP($A128,'Data Vlaue (Cr)'!$C:$FB,95)</f>
        <v>95</v>
      </c>
      <c r="L128" s="91">
        <f>VLOOKUP($A128,'Data Vlaue (Cr)'!$C:$FB,97)</f>
        <v>-146</v>
      </c>
      <c r="M128" s="92">
        <f>VLOOKUP($A128,'Data Vlaue (Cr)'!$C:$FB,98)</f>
        <v>-0.6069</v>
      </c>
      <c r="N128" s="91">
        <f>VLOOKUP($A128,'Data Vlaue (Cr)'!$C:$FB,79)</f>
        <v>96</v>
      </c>
      <c r="O128" s="92">
        <f>VLOOKUP($A128,'Data Vlaue (Cr)'!$C:$FB,82)</f>
        <v>-0.65429999999999999</v>
      </c>
    </row>
    <row r="129" spans="1:15" x14ac:dyDescent="0.25">
      <c r="A129" s="97" t="str">
        <f>'Data Vlaue (Cr)'!C124</f>
        <v>KAYNES</v>
      </c>
      <c r="B129" s="142">
        <f>VLOOKUP(A129,'Data Vlaue (Cr)'!C124:CW353,99,0)</f>
        <v>963</v>
      </c>
      <c r="C129" s="90">
        <f>VLOOKUP(A129,'Data Vlaue (Cr)'!C124:CY353,101,0)</f>
        <v>-133</v>
      </c>
      <c r="D129" s="139">
        <f>VLOOKUP(A129,'Data Vlaue (Cr)'!C124:CZ353,102,0)</f>
        <v>-0.1211</v>
      </c>
      <c r="E129" s="91">
        <f>VLOOKUP($A129,'Data Vlaue (Cr)'!$C:$FB,75)</f>
        <v>428</v>
      </c>
      <c r="F129" s="91">
        <f>VLOOKUP($A129,'Data Vlaue (Cr)'!$C:$FB,77)</f>
        <v>20</v>
      </c>
      <c r="G129" s="92">
        <f>VLOOKUP(A129,'Data Vlaue (Cr)'!C124:CB353,78,0)</f>
        <v>4.8800000000000003E-2</v>
      </c>
      <c r="H129" s="91">
        <f>VLOOKUP($A129,'Data Vlaue (Cr)'!$C:$FB,91)</f>
        <v>320</v>
      </c>
      <c r="I129" s="91">
        <f>VLOOKUP($A129,'Data Vlaue (Cr)'!$C:$FB,93)</f>
        <v>-108</v>
      </c>
      <c r="J129" s="92">
        <f>VLOOKUP($A129,'Data Vlaue (Cr)'!$C:$FB,94)</f>
        <v>-0.25219999999999998</v>
      </c>
      <c r="K129" s="91">
        <f>VLOOKUP($A129,'Data Vlaue (Cr)'!$C:$FB,95)</f>
        <v>215</v>
      </c>
      <c r="L129" s="91">
        <f>VLOOKUP($A129,'Data Vlaue (Cr)'!$C:$FB,97)</f>
        <v>-45</v>
      </c>
      <c r="M129" s="92">
        <f>VLOOKUP($A129,'Data Vlaue (Cr)'!$C:$FB,98)</f>
        <v>-0.1719</v>
      </c>
      <c r="N129" s="91">
        <f>VLOOKUP($A129,'Data Vlaue (Cr)'!$C:$FB,79)</f>
        <v>49</v>
      </c>
      <c r="O129" s="92">
        <f>VLOOKUP($A129,'Data Vlaue (Cr)'!$C:$FB,82)</f>
        <v>-0.56830000000000003</v>
      </c>
    </row>
    <row r="130" spans="1:15" x14ac:dyDescent="0.25">
      <c r="A130" s="97" t="str">
        <f>'Data Vlaue (Cr)'!C125</f>
        <v>KEI</v>
      </c>
      <c r="B130" s="142">
        <f>VLOOKUP(A130,'Data Vlaue (Cr)'!C125:CW354,99,0)</f>
        <v>457</v>
      </c>
      <c r="C130" s="90">
        <f>VLOOKUP(A130,'Data Vlaue (Cr)'!C125:CY354,101,0)</f>
        <v>-424</v>
      </c>
      <c r="D130" s="139">
        <f>VLOOKUP(A130,'Data Vlaue (Cr)'!C125:CZ354,102,0)</f>
        <v>-0.48139999999999999</v>
      </c>
      <c r="E130" s="91">
        <f>VLOOKUP($A130,'Data Vlaue (Cr)'!$C:$FB,75)</f>
        <v>341</v>
      </c>
      <c r="F130" s="91">
        <f>VLOOKUP($A130,'Data Vlaue (Cr)'!$C:$FB,77)</f>
        <v>-88</v>
      </c>
      <c r="G130" s="92">
        <f>VLOOKUP(A130,'Data Vlaue (Cr)'!C125:CB354,78,0)</f>
        <v>-0.20499999999999999</v>
      </c>
      <c r="H130" s="91">
        <f>VLOOKUP($A130,'Data Vlaue (Cr)'!$C:$FB,91)</f>
        <v>73</v>
      </c>
      <c r="I130" s="91">
        <f>VLOOKUP($A130,'Data Vlaue (Cr)'!$C:$FB,93)</f>
        <v>-217</v>
      </c>
      <c r="J130" s="92">
        <f>VLOOKUP($A130,'Data Vlaue (Cr)'!$C:$FB,94)</f>
        <v>-0.74729999999999996</v>
      </c>
      <c r="K130" s="91">
        <f>VLOOKUP($A130,'Data Vlaue (Cr)'!$C:$FB,95)</f>
        <v>43</v>
      </c>
      <c r="L130" s="91">
        <f>VLOOKUP($A130,'Data Vlaue (Cr)'!$C:$FB,97)</f>
        <v>-120</v>
      </c>
      <c r="M130" s="92">
        <f>VLOOKUP($A130,'Data Vlaue (Cr)'!$C:$FB,98)</f>
        <v>-0.73619999999999997</v>
      </c>
      <c r="N130" s="91">
        <f>VLOOKUP($A130,'Data Vlaue (Cr)'!$C:$FB,79)</f>
        <v>81</v>
      </c>
      <c r="O130" s="92">
        <f>VLOOKUP($A130,'Data Vlaue (Cr)'!$C:$FB,82)</f>
        <v>-0.39279999999999998</v>
      </c>
    </row>
    <row r="131" spans="1:15" x14ac:dyDescent="0.25">
      <c r="A131" s="97" t="str">
        <f>'Data Vlaue (Cr)'!C126</f>
        <v>KFINTECH</v>
      </c>
      <c r="B131" s="142">
        <f>VLOOKUP(A131,'Data Vlaue (Cr)'!C126:CW355,99,0)</f>
        <v>320</v>
      </c>
      <c r="C131" s="90">
        <f>VLOOKUP(A131,'Data Vlaue (Cr)'!C126:CY355,101,0)</f>
        <v>-128</v>
      </c>
      <c r="D131" s="139">
        <f>VLOOKUP(A131,'Data Vlaue (Cr)'!C126:CZ355,102,0)</f>
        <v>-0.28570000000000001</v>
      </c>
      <c r="E131" s="91">
        <f>VLOOKUP($A131,'Data Vlaue (Cr)'!$C:$FB,75)</f>
        <v>246</v>
      </c>
      <c r="F131" s="91">
        <f>VLOOKUP($A131,'Data Vlaue (Cr)'!$C:$FB,77)</f>
        <v>2</v>
      </c>
      <c r="G131" s="92">
        <f>VLOOKUP(A131,'Data Vlaue (Cr)'!C126:CB355,78,0)</f>
        <v>7.0000000000000001E-3</v>
      </c>
      <c r="H131" s="91">
        <f>VLOOKUP($A131,'Data Vlaue (Cr)'!$C:$FB,91)</f>
        <v>43</v>
      </c>
      <c r="I131" s="91">
        <f>VLOOKUP($A131,'Data Vlaue (Cr)'!$C:$FB,93)</f>
        <v>-95</v>
      </c>
      <c r="J131" s="92">
        <f>VLOOKUP($A131,'Data Vlaue (Cr)'!$C:$FB,94)</f>
        <v>-0.68879999999999997</v>
      </c>
      <c r="K131" s="91">
        <f>VLOOKUP($A131,'Data Vlaue (Cr)'!$C:$FB,95)</f>
        <v>31</v>
      </c>
      <c r="L131" s="91">
        <f>VLOOKUP($A131,'Data Vlaue (Cr)'!$C:$FB,97)</f>
        <v>-35</v>
      </c>
      <c r="M131" s="92">
        <f>VLOOKUP($A131,'Data Vlaue (Cr)'!$C:$FB,98)</f>
        <v>-0.52590000000000003</v>
      </c>
      <c r="N131" s="91">
        <f>VLOOKUP($A131,'Data Vlaue (Cr)'!$C:$FB,79)</f>
        <v>10</v>
      </c>
      <c r="O131" s="92">
        <f>VLOOKUP($A131,'Data Vlaue (Cr)'!$C:$FB,82)</f>
        <v>-0.68679999999999997</v>
      </c>
    </row>
    <row r="132" spans="1:15" x14ac:dyDescent="0.25">
      <c r="A132" s="97" t="str">
        <f>'Data Vlaue (Cr)'!C127</f>
        <v>KOTAKBANK</v>
      </c>
      <c r="B132" s="142">
        <f>VLOOKUP(A132,'Data Vlaue (Cr)'!C127:CW356,99,0)</f>
        <v>8536</v>
      </c>
      <c r="C132" s="90">
        <f>VLOOKUP(A132,'Data Vlaue (Cr)'!C127:CY356,101,0)</f>
        <v>-3007</v>
      </c>
      <c r="D132" s="139">
        <f>VLOOKUP(A132,'Data Vlaue (Cr)'!C127:CZ356,102,0)</f>
        <v>-0.26050000000000001</v>
      </c>
      <c r="E132" s="91">
        <f>VLOOKUP($A132,'Data Vlaue (Cr)'!$C:$FB,75)</f>
        <v>6375</v>
      </c>
      <c r="F132" s="91">
        <f>VLOOKUP($A132,'Data Vlaue (Cr)'!$C:$FB,77)</f>
        <v>-401</v>
      </c>
      <c r="G132" s="92">
        <f>VLOOKUP(A132,'Data Vlaue (Cr)'!C127:CB356,78,0)</f>
        <v>-5.9200000000000003E-2</v>
      </c>
      <c r="H132" s="91">
        <f>VLOOKUP($A132,'Data Vlaue (Cr)'!$C:$FB,91)</f>
        <v>1288</v>
      </c>
      <c r="I132" s="91">
        <f>VLOOKUP($A132,'Data Vlaue (Cr)'!$C:$FB,93)</f>
        <v>-1726</v>
      </c>
      <c r="J132" s="92">
        <f>VLOOKUP($A132,'Data Vlaue (Cr)'!$C:$FB,94)</f>
        <v>-0.57269999999999999</v>
      </c>
      <c r="K132" s="91">
        <f>VLOOKUP($A132,'Data Vlaue (Cr)'!$C:$FB,95)</f>
        <v>874</v>
      </c>
      <c r="L132" s="91">
        <f>VLOOKUP($A132,'Data Vlaue (Cr)'!$C:$FB,97)</f>
        <v>-880</v>
      </c>
      <c r="M132" s="92">
        <f>VLOOKUP($A132,'Data Vlaue (Cr)'!$C:$FB,98)</f>
        <v>-0.50180000000000002</v>
      </c>
      <c r="N132" s="91">
        <f>VLOOKUP($A132,'Data Vlaue (Cr)'!$C:$FB,79)</f>
        <v>710</v>
      </c>
      <c r="O132" s="92">
        <f>VLOOKUP($A132,'Data Vlaue (Cr)'!$C:$FB,82)</f>
        <v>-0.47470000000000001</v>
      </c>
    </row>
    <row r="133" spans="1:15" x14ac:dyDescent="0.25">
      <c r="A133" s="97" t="str">
        <f>'Data Vlaue (Cr)'!C128</f>
        <v>KPITTECH</v>
      </c>
      <c r="B133" s="142">
        <f>VLOOKUP(A133,'Data Vlaue (Cr)'!C128:CW357,99,0)</f>
        <v>986</v>
      </c>
      <c r="C133" s="90">
        <f>VLOOKUP(A133,'Data Vlaue (Cr)'!C128:CY357,101,0)</f>
        <v>-857</v>
      </c>
      <c r="D133" s="139">
        <f>VLOOKUP(A133,'Data Vlaue (Cr)'!C128:CZ357,102,0)</f>
        <v>-0.46510000000000001</v>
      </c>
      <c r="E133" s="91">
        <f>VLOOKUP($A133,'Data Vlaue (Cr)'!$C:$FB,75)</f>
        <v>548</v>
      </c>
      <c r="F133" s="91">
        <f>VLOOKUP($A133,'Data Vlaue (Cr)'!$C:$FB,77)</f>
        <v>-135</v>
      </c>
      <c r="G133" s="92">
        <f>VLOOKUP(A133,'Data Vlaue (Cr)'!C128:CB357,78,0)</f>
        <v>-0.19789999999999999</v>
      </c>
      <c r="H133" s="91">
        <f>VLOOKUP($A133,'Data Vlaue (Cr)'!$C:$FB,91)</f>
        <v>190</v>
      </c>
      <c r="I133" s="91">
        <f>VLOOKUP($A133,'Data Vlaue (Cr)'!$C:$FB,93)</f>
        <v>-362</v>
      </c>
      <c r="J133" s="92">
        <f>VLOOKUP($A133,'Data Vlaue (Cr)'!$C:$FB,94)</f>
        <v>-0.65610000000000002</v>
      </c>
      <c r="K133" s="91">
        <f>VLOOKUP($A133,'Data Vlaue (Cr)'!$C:$FB,95)</f>
        <v>248</v>
      </c>
      <c r="L133" s="91">
        <f>VLOOKUP($A133,'Data Vlaue (Cr)'!$C:$FB,97)</f>
        <v>-360</v>
      </c>
      <c r="M133" s="92">
        <f>VLOOKUP($A133,'Data Vlaue (Cr)'!$C:$FB,98)</f>
        <v>-0.59179999999999999</v>
      </c>
      <c r="N133" s="91">
        <f>VLOOKUP($A133,'Data Vlaue (Cr)'!$C:$FB,79)</f>
        <v>59</v>
      </c>
      <c r="O133" s="92">
        <f>VLOOKUP($A133,'Data Vlaue (Cr)'!$C:$FB,82)</f>
        <v>-0.64680000000000004</v>
      </c>
    </row>
    <row r="134" spans="1:15" x14ac:dyDescent="0.25">
      <c r="A134" s="97" t="str">
        <f>'Data Vlaue (Cr)'!C129</f>
        <v>LAURUSLABS</v>
      </c>
      <c r="B134" s="142">
        <f>VLOOKUP(A134,'Data Vlaue (Cr)'!C129:CW358,99,0)</f>
        <v>2552</v>
      </c>
      <c r="C134" s="90">
        <f>VLOOKUP(A134,'Data Vlaue (Cr)'!C129:CY358,101,0)</f>
        <v>-2733</v>
      </c>
      <c r="D134" s="139">
        <f>VLOOKUP(A134,'Data Vlaue (Cr)'!C129:CZ358,102,0)</f>
        <v>-0.5171</v>
      </c>
      <c r="E134" s="91">
        <f>VLOOKUP($A134,'Data Vlaue (Cr)'!$C:$FB,75)</f>
        <v>1328</v>
      </c>
      <c r="F134" s="91">
        <f>VLOOKUP($A134,'Data Vlaue (Cr)'!$C:$FB,77)</f>
        <v>-622</v>
      </c>
      <c r="G134" s="92">
        <f>VLOOKUP(A134,'Data Vlaue (Cr)'!C129:CB358,78,0)</f>
        <v>-0.31890000000000002</v>
      </c>
      <c r="H134" s="91">
        <f>VLOOKUP($A134,'Data Vlaue (Cr)'!$C:$FB,91)</f>
        <v>739</v>
      </c>
      <c r="I134" s="91">
        <f>VLOOKUP($A134,'Data Vlaue (Cr)'!$C:$FB,93)</f>
        <v>-1017</v>
      </c>
      <c r="J134" s="92">
        <f>VLOOKUP($A134,'Data Vlaue (Cr)'!$C:$FB,94)</f>
        <v>-0.57920000000000005</v>
      </c>
      <c r="K134" s="91">
        <f>VLOOKUP($A134,'Data Vlaue (Cr)'!$C:$FB,95)</f>
        <v>485</v>
      </c>
      <c r="L134" s="91">
        <f>VLOOKUP($A134,'Data Vlaue (Cr)'!$C:$FB,97)</f>
        <v>-1093</v>
      </c>
      <c r="M134" s="92">
        <f>VLOOKUP($A134,'Data Vlaue (Cr)'!$C:$FB,98)</f>
        <v>-0.69269999999999998</v>
      </c>
      <c r="N134" s="91">
        <f>VLOOKUP($A134,'Data Vlaue (Cr)'!$C:$FB,79)</f>
        <v>569</v>
      </c>
      <c r="O134" s="92">
        <f>VLOOKUP($A134,'Data Vlaue (Cr)'!$C:$FB,82)</f>
        <v>-0.18609999999999999</v>
      </c>
    </row>
    <row r="135" spans="1:15" x14ac:dyDescent="0.25">
      <c r="A135" s="97" t="str">
        <f>'Data Vlaue (Cr)'!C130</f>
        <v>LICHSGFIN</v>
      </c>
      <c r="B135" s="142">
        <f>VLOOKUP(A135,'Data Vlaue (Cr)'!C130:CW359,99,0)</f>
        <v>2526</v>
      </c>
      <c r="C135" s="90">
        <f>VLOOKUP(A135,'Data Vlaue (Cr)'!C130:CY359,101,0)</f>
        <v>-513</v>
      </c>
      <c r="D135" s="139">
        <f>VLOOKUP(A135,'Data Vlaue (Cr)'!C130:CZ359,102,0)</f>
        <v>-0.16869999999999999</v>
      </c>
      <c r="E135" s="91">
        <f>VLOOKUP($A135,'Data Vlaue (Cr)'!$C:$FB,75)</f>
        <v>1861</v>
      </c>
      <c r="F135" s="91">
        <f>VLOOKUP($A135,'Data Vlaue (Cr)'!$C:$FB,77)</f>
        <v>-169</v>
      </c>
      <c r="G135" s="92">
        <f>VLOOKUP(A135,'Data Vlaue (Cr)'!C130:CB359,78,0)</f>
        <v>-8.3500000000000005E-2</v>
      </c>
      <c r="H135" s="91">
        <f>VLOOKUP($A135,'Data Vlaue (Cr)'!$C:$FB,91)</f>
        <v>334</v>
      </c>
      <c r="I135" s="91">
        <f>VLOOKUP($A135,'Data Vlaue (Cr)'!$C:$FB,93)</f>
        <v>-191</v>
      </c>
      <c r="J135" s="92">
        <f>VLOOKUP($A135,'Data Vlaue (Cr)'!$C:$FB,94)</f>
        <v>-0.36459999999999998</v>
      </c>
      <c r="K135" s="91">
        <f>VLOOKUP($A135,'Data Vlaue (Cr)'!$C:$FB,95)</f>
        <v>331</v>
      </c>
      <c r="L135" s="91">
        <f>VLOOKUP($A135,'Data Vlaue (Cr)'!$C:$FB,97)</f>
        <v>-152</v>
      </c>
      <c r="M135" s="92">
        <f>VLOOKUP($A135,'Data Vlaue (Cr)'!$C:$FB,98)</f>
        <v>-0.31409999999999999</v>
      </c>
      <c r="N135" s="91">
        <f>VLOOKUP($A135,'Data Vlaue (Cr)'!$C:$FB,79)</f>
        <v>352</v>
      </c>
      <c r="O135" s="92">
        <f>VLOOKUP($A135,'Data Vlaue (Cr)'!$C:$FB,82)</f>
        <v>-0.16309999999999999</v>
      </c>
    </row>
    <row r="136" spans="1:15" x14ac:dyDescent="0.25">
      <c r="A136" s="97" t="str">
        <f>'Data Vlaue (Cr)'!C131</f>
        <v>LICI</v>
      </c>
      <c r="B136" s="142">
        <f>VLOOKUP(A136,'Data Vlaue (Cr)'!C131:CW360,99,0)</f>
        <v>807</v>
      </c>
      <c r="C136" s="90">
        <f>VLOOKUP(A136,'Data Vlaue (Cr)'!C131:CY360,101,0)</f>
        <v>-545</v>
      </c>
      <c r="D136" s="139">
        <f>VLOOKUP(A136,'Data Vlaue (Cr)'!C131:CZ360,102,0)</f>
        <v>-0.4032</v>
      </c>
      <c r="E136" s="91">
        <f>VLOOKUP($A136,'Data Vlaue (Cr)'!$C:$FB,75)</f>
        <v>585</v>
      </c>
      <c r="F136" s="91">
        <f>VLOOKUP($A136,'Data Vlaue (Cr)'!$C:$FB,77)</f>
        <v>-151</v>
      </c>
      <c r="G136" s="92">
        <f>VLOOKUP(A136,'Data Vlaue (Cr)'!C131:CB360,78,0)</f>
        <v>-0.20530000000000001</v>
      </c>
      <c r="H136" s="91">
        <f>VLOOKUP($A136,'Data Vlaue (Cr)'!$C:$FB,91)</f>
        <v>130</v>
      </c>
      <c r="I136" s="91">
        <f>VLOOKUP($A136,'Data Vlaue (Cr)'!$C:$FB,93)</f>
        <v>-280</v>
      </c>
      <c r="J136" s="92">
        <f>VLOOKUP($A136,'Data Vlaue (Cr)'!$C:$FB,94)</f>
        <v>-0.68230000000000002</v>
      </c>
      <c r="K136" s="91">
        <f>VLOOKUP($A136,'Data Vlaue (Cr)'!$C:$FB,95)</f>
        <v>92</v>
      </c>
      <c r="L136" s="91">
        <f>VLOOKUP($A136,'Data Vlaue (Cr)'!$C:$FB,97)</f>
        <v>-115</v>
      </c>
      <c r="M136" s="92">
        <f>VLOOKUP($A136,'Data Vlaue (Cr)'!$C:$FB,98)</f>
        <v>-0.55569999999999997</v>
      </c>
      <c r="N136" s="91">
        <f>VLOOKUP($A136,'Data Vlaue (Cr)'!$C:$FB,79)</f>
        <v>116</v>
      </c>
      <c r="O136" s="92">
        <f>VLOOKUP($A136,'Data Vlaue (Cr)'!$C:$FB,82)</f>
        <v>-0.46539999999999998</v>
      </c>
    </row>
    <row r="137" spans="1:15" x14ac:dyDescent="0.25">
      <c r="A137" s="97" t="str">
        <f>'Data Vlaue (Cr)'!C132</f>
        <v>LODHA</v>
      </c>
      <c r="B137" s="142">
        <f>VLOOKUP(A137,'Data Vlaue (Cr)'!C132:CW361,99,0)</f>
        <v>1373</v>
      </c>
      <c r="C137" s="90">
        <f>VLOOKUP(A137,'Data Vlaue (Cr)'!C132:CY361,101,0)</f>
        <v>-470</v>
      </c>
      <c r="D137" s="139">
        <f>VLOOKUP(A137,'Data Vlaue (Cr)'!C132:CZ361,102,0)</f>
        <v>-0.25490000000000002</v>
      </c>
      <c r="E137" s="91">
        <f>VLOOKUP($A137,'Data Vlaue (Cr)'!$C:$FB,75)</f>
        <v>1130</v>
      </c>
      <c r="F137" s="91">
        <f>VLOOKUP($A137,'Data Vlaue (Cr)'!$C:$FB,77)</f>
        <v>-50</v>
      </c>
      <c r="G137" s="92">
        <f>VLOOKUP(A137,'Data Vlaue (Cr)'!C132:CB361,78,0)</f>
        <v>-4.2200000000000001E-2</v>
      </c>
      <c r="H137" s="91">
        <f>VLOOKUP($A137,'Data Vlaue (Cr)'!$C:$FB,91)</f>
        <v>131</v>
      </c>
      <c r="I137" s="91">
        <f>VLOOKUP($A137,'Data Vlaue (Cr)'!$C:$FB,93)</f>
        <v>-272</v>
      </c>
      <c r="J137" s="92">
        <f>VLOOKUP($A137,'Data Vlaue (Cr)'!$C:$FB,94)</f>
        <v>-0.67459999999999998</v>
      </c>
      <c r="K137" s="91">
        <f>VLOOKUP($A137,'Data Vlaue (Cr)'!$C:$FB,95)</f>
        <v>112</v>
      </c>
      <c r="L137" s="91">
        <f>VLOOKUP($A137,'Data Vlaue (Cr)'!$C:$FB,97)</f>
        <v>-148</v>
      </c>
      <c r="M137" s="92">
        <f>VLOOKUP($A137,'Data Vlaue (Cr)'!$C:$FB,98)</f>
        <v>-0.56989999999999996</v>
      </c>
      <c r="N137" s="91">
        <f>VLOOKUP($A137,'Data Vlaue (Cr)'!$C:$FB,79)</f>
        <v>154</v>
      </c>
      <c r="O137" s="92">
        <f>VLOOKUP($A137,'Data Vlaue (Cr)'!$C:$FB,82)</f>
        <v>-0.2787</v>
      </c>
    </row>
    <row r="138" spans="1:15" x14ac:dyDescent="0.25">
      <c r="A138" s="97" t="str">
        <f>'Data Vlaue (Cr)'!C133</f>
        <v>LT</v>
      </c>
      <c r="B138" s="142">
        <f>VLOOKUP(A138,'Data Vlaue (Cr)'!C133:CW362,99,0)</f>
        <v>7586</v>
      </c>
      <c r="C138" s="90">
        <f>VLOOKUP(A138,'Data Vlaue (Cr)'!C133:CY362,101,0)</f>
        <v>-4649</v>
      </c>
      <c r="D138" s="139">
        <f>VLOOKUP(A138,'Data Vlaue (Cr)'!C133:CZ362,102,0)</f>
        <v>-0.37990000000000002</v>
      </c>
      <c r="E138" s="91">
        <f>VLOOKUP($A138,'Data Vlaue (Cr)'!$C:$FB,75)</f>
        <v>5914</v>
      </c>
      <c r="F138" s="91">
        <f>VLOOKUP($A138,'Data Vlaue (Cr)'!$C:$FB,77)</f>
        <v>-715</v>
      </c>
      <c r="G138" s="92">
        <f>VLOOKUP(A138,'Data Vlaue (Cr)'!C133:CB362,78,0)</f>
        <v>-0.10780000000000001</v>
      </c>
      <c r="H138" s="91">
        <f>VLOOKUP($A138,'Data Vlaue (Cr)'!$C:$FB,91)</f>
        <v>896</v>
      </c>
      <c r="I138" s="91">
        <f>VLOOKUP($A138,'Data Vlaue (Cr)'!$C:$FB,93)</f>
        <v>-2620</v>
      </c>
      <c r="J138" s="92">
        <f>VLOOKUP($A138,'Data Vlaue (Cr)'!$C:$FB,94)</f>
        <v>-0.74529999999999996</v>
      </c>
      <c r="K138" s="91">
        <f>VLOOKUP($A138,'Data Vlaue (Cr)'!$C:$FB,95)</f>
        <v>776</v>
      </c>
      <c r="L138" s="91">
        <f>VLOOKUP($A138,'Data Vlaue (Cr)'!$C:$FB,97)</f>
        <v>-1314</v>
      </c>
      <c r="M138" s="92">
        <f>VLOOKUP($A138,'Data Vlaue (Cr)'!$C:$FB,98)</f>
        <v>-0.62849999999999995</v>
      </c>
      <c r="N138" s="91">
        <f>VLOOKUP($A138,'Data Vlaue (Cr)'!$C:$FB,79)</f>
        <v>739</v>
      </c>
      <c r="O138" s="92">
        <f>VLOOKUP($A138,'Data Vlaue (Cr)'!$C:$FB,82)</f>
        <v>-0.3463</v>
      </c>
    </row>
    <row r="139" spans="1:15" x14ac:dyDescent="0.25">
      <c r="A139" s="97" t="str">
        <f>'Data Vlaue (Cr)'!C134</f>
        <v>LTF</v>
      </c>
      <c r="B139" s="142">
        <f>VLOOKUP(A139,'Data Vlaue (Cr)'!C134:CW363,99,0)</f>
        <v>1707</v>
      </c>
      <c r="C139" s="90">
        <f>VLOOKUP(A139,'Data Vlaue (Cr)'!C134:CY363,101,0)</f>
        <v>-924</v>
      </c>
      <c r="D139" s="139">
        <f>VLOOKUP(A139,'Data Vlaue (Cr)'!C134:CZ363,102,0)</f>
        <v>-0.35120000000000001</v>
      </c>
      <c r="E139" s="91">
        <f>VLOOKUP($A139,'Data Vlaue (Cr)'!$C:$FB,75)</f>
        <v>1024</v>
      </c>
      <c r="F139" s="91">
        <f>VLOOKUP($A139,'Data Vlaue (Cr)'!$C:$FB,77)</f>
        <v>-119</v>
      </c>
      <c r="G139" s="92">
        <f>VLOOKUP(A139,'Data Vlaue (Cr)'!C134:CB363,78,0)</f>
        <v>-0.10440000000000001</v>
      </c>
      <c r="H139" s="91">
        <f>VLOOKUP($A139,'Data Vlaue (Cr)'!$C:$FB,91)</f>
        <v>406</v>
      </c>
      <c r="I139" s="91">
        <f>VLOOKUP($A139,'Data Vlaue (Cr)'!$C:$FB,93)</f>
        <v>-483</v>
      </c>
      <c r="J139" s="92">
        <f>VLOOKUP($A139,'Data Vlaue (Cr)'!$C:$FB,94)</f>
        <v>-0.54320000000000002</v>
      </c>
      <c r="K139" s="91">
        <f>VLOOKUP($A139,'Data Vlaue (Cr)'!$C:$FB,95)</f>
        <v>277</v>
      </c>
      <c r="L139" s="91">
        <f>VLOOKUP($A139,'Data Vlaue (Cr)'!$C:$FB,97)</f>
        <v>-321</v>
      </c>
      <c r="M139" s="92">
        <f>VLOOKUP($A139,'Data Vlaue (Cr)'!$C:$FB,98)</f>
        <v>-0.53720000000000001</v>
      </c>
      <c r="N139" s="91">
        <f>VLOOKUP($A139,'Data Vlaue (Cr)'!$C:$FB,79)</f>
        <v>60</v>
      </c>
      <c r="O139" s="92">
        <f>VLOOKUP($A139,'Data Vlaue (Cr)'!$C:$FB,82)</f>
        <v>-0.77529999999999999</v>
      </c>
    </row>
    <row r="140" spans="1:15" x14ac:dyDescent="0.25">
      <c r="A140" s="97" t="str">
        <f>'Data Vlaue (Cr)'!C135</f>
        <v>LTIM</v>
      </c>
      <c r="B140" s="142">
        <f>VLOOKUP(A140,'Data Vlaue (Cr)'!C135:CW364,99,0)</f>
        <v>1460</v>
      </c>
      <c r="C140" s="90">
        <f>VLOOKUP(A140,'Data Vlaue (Cr)'!C135:CY364,101,0)</f>
        <v>-644</v>
      </c>
      <c r="D140" s="139">
        <f>VLOOKUP(A140,'Data Vlaue (Cr)'!C135:CZ364,102,0)</f>
        <v>-0.30599999999999999</v>
      </c>
      <c r="E140" s="91">
        <f>VLOOKUP($A140,'Data Vlaue (Cr)'!$C:$FB,75)</f>
        <v>1272</v>
      </c>
      <c r="F140" s="91">
        <f>VLOOKUP($A140,'Data Vlaue (Cr)'!$C:$FB,77)</f>
        <v>-98</v>
      </c>
      <c r="G140" s="92">
        <f>VLOOKUP(A140,'Data Vlaue (Cr)'!C135:CB364,78,0)</f>
        <v>-7.1800000000000003E-2</v>
      </c>
      <c r="H140" s="91">
        <f>VLOOKUP($A140,'Data Vlaue (Cr)'!$C:$FB,91)</f>
        <v>107</v>
      </c>
      <c r="I140" s="91">
        <f>VLOOKUP($A140,'Data Vlaue (Cr)'!$C:$FB,93)</f>
        <v>-344</v>
      </c>
      <c r="J140" s="92">
        <f>VLOOKUP($A140,'Data Vlaue (Cr)'!$C:$FB,94)</f>
        <v>-0.76339999999999997</v>
      </c>
      <c r="K140" s="91">
        <f>VLOOKUP($A140,'Data Vlaue (Cr)'!$C:$FB,95)</f>
        <v>81</v>
      </c>
      <c r="L140" s="91">
        <f>VLOOKUP($A140,'Data Vlaue (Cr)'!$C:$FB,97)</f>
        <v>-201</v>
      </c>
      <c r="M140" s="92">
        <f>VLOOKUP($A140,'Data Vlaue (Cr)'!$C:$FB,98)</f>
        <v>-0.71230000000000004</v>
      </c>
      <c r="N140" s="91">
        <f>VLOOKUP($A140,'Data Vlaue (Cr)'!$C:$FB,79)</f>
        <v>61</v>
      </c>
      <c r="O140" s="92">
        <f>VLOOKUP($A140,'Data Vlaue (Cr)'!$C:$FB,82)</f>
        <v>-0.50490000000000002</v>
      </c>
    </row>
    <row r="141" spans="1:15" x14ac:dyDescent="0.25">
      <c r="A141" s="97" t="str">
        <f>'Data Vlaue (Cr)'!C136</f>
        <v>LUPIN</v>
      </c>
      <c r="B141" s="142">
        <f>VLOOKUP(A141,'Data Vlaue (Cr)'!C136:CW365,99,0)</f>
        <v>2627</v>
      </c>
      <c r="C141" s="90">
        <f>VLOOKUP(A141,'Data Vlaue (Cr)'!C136:CY365,101,0)</f>
        <v>-931</v>
      </c>
      <c r="D141" s="139">
        <f>VLOOKUP(A141,'Data Vlaue (Cr)'!C136:CZ365,102,0)</f>
        <v>-0.26179999999999998</v>
      </c>
      <c r="E141" s="91">
        <f>VLOOKUP($A141,'Data Vlaue (Cr)'!$C:$FB,75)</f>
        <v>2231</v>
      </c>
      <c r="F141" s="91">
        <f>VLOOKUP($A141,'Data Vlaue (Cr)'!$C:$FB,77)</f>
        <v>-298</v>
      </c>
      <c r="G141" s="92">
        <f>VLOOKUP(A141,'Data Vlaue (Cr)'!C136:CB365,78,0)</f>
        <v>-0.1178</v>
      </c>
      <c r="H141" s="91">
        <f>VLOOKUP($A141,'Data Vlaue (Cr)'!$C:$FB,91)</f>
        <v>222</v>
      </c>
      <c r="I141" s="91">
        <f>VLOOKUP($A141,'Data Vlaue (Cr)'!$C:$FB,93)</f>
        <v>-342</v>
      </c>
      <c r="J141" s="92">
        <f>VLOOKUP($A141,'Data Vlaue (Cr)'!$C:$FB,94)</f>
        <v>-0.60709999999999997</v>
      </c>
      <c r="K141" s="91">
        <f>VLOOKUP($A141,'Data Vlaue (Cr)'!$C:$FB,95)</f>
        <v>175</v>
      </c>
      <c r="L141" s="91">
        <f>VLOOKUP($A141,'Data Vlaue (Cr)'!$C:$FB,97)</f>
        <v>-291</v>
      </c>
      <c r="M141" s="92">
        <f>VLOOKUP($A141,'Data Vlaue (Cr)'!$C:$FB,98)</f>
        <v>-0.62509999999999999</v>
      </c>
      <c r="N141" s="91">
        <f>VLOOKUP($A141,'Data Vlaue (Cr)'!$C:$FB,79)</f>
        <v>63</v>
      </c>
      <c r="O141" s="92">
        <f>VLOOKUP($A141,'Data Vlaue (Cr)'!$C:$FB,82)</f>
        <v>-0.88590000000000002</v>
      </c>
    </row>
    <row r="142" spans="1:15" x14ac:dyDescent="0.25">
      <c r="A142" s="97" t="str">
        <f>'Data Vlaue (Cr)'!C137</f>
        <v>M&amp;M</v>
      </c>
      <c r="B142" s="142">
        <f>VLOOKUP(A142,'Data Vlaue (Cr)'!C137:CW366,99,0)</f>
        <v>9249</v>
      </c>
      <c r="C142" s="90">
        <f>VLOOKUP(A142,'Data Vlaue (Cr)'!C137:CY366,101,0)</f>
        <v>-1352</v>
      </c>
      <c r="D142" s="139">
        <f>VLOOKUP(A142,'Data Vlaue (Cr)'!C137:CZ366,102,0)</f>
        <v>-0.1275</v>
      </c>
      <c r="E142" s="91">
        <f>VLOOKUP($A142,'Data Vlaue (Cr)'!$C:$FB,75)</f>
        <v>7505</v>
      </c>
      <c r="F142" s="91">
        <f>VLOOKUP($A142,'Data Vlaue (Cr)'!$C:$FB,77)</f>
        <v>-115</v>
      </c>
      <c r="G142" s="92">
        <f>VLOOKUP(A142,'Data Vlaue (Cr)'!C137:CB366,78,0)</f>
        <v>-1.5100000000000001E-2</v>
      </c>
      <c r="H142" s="91">
        <f>VLOOKUP($A142,'Data Vlaue (Cr)'!$C:$FB,91)</f>
        <v>1073</v>
      </c>
      <c r="I142" s="91">
        <f>VLOOKUP($A142,'Data Vlaue (Cr)'!$C:$FB,93)</f>
        <v>-798</v>
      </c>
      <c r="J142" s="92">
        <f>VLOOKUP($A142,'Data Vlaue (Cr)'!$C:$FB,94)</f>
        <v>-0.42659999999999998</v>
      </c>
      <c r="K142" s="91">
        <f>VLOOKUP($A142,'Data Vlaue (Cr)'!$C:$FB,95)</f>
        <v>670</v>
      </c>
      <c r="L142" s="91">
        <f>VLOOKUP($A142,'Data Vlaue (Cr)'!$C:$FB,97)</f>
        <v>-438</v>
      </c>
      <c r="M142" s="92">
        <f>VLOOKUP($A142,'Data Vlaue (Cr)'!$C:$FB,98)</f>
        <v>-0.39539999999999997</v>
      </c>
      <c r="N142" s="91">
        <f>VLOOKUP($A142,'Data Vlaue (Cr)'!$C:$FB,79)</f>
        <v>101</v>
      </c>
      <c r="O142" s="92">
        <f>VLOOKUP($A142,'Data Vlaue (Cr)'!$C:$FB,82)</f>
        <v>-0.82299999999999995</v>
      </c>
    </row>
    <row r="143" spans="1:15" x14ac:dyDescent="0.25">
      <c r="A143" s="97" t="str">
        <f>'Data Vlaue (Cr)'!C138</f>
        <v>M&amp;MFIN</v>
      </c>
      <c r="B143" s="142">
        <f>VLOOKUP(A143,'Data Vlaue (Cr)'!C138:CW367,99,0)</f>
        <v>0</v>
      </c>
      <c r="C143" s="90">
        <f>VLOOKUP(A143,'Data Vlaue (Cr)'!C138:CY367,101,0)</f>
        <v>0</v>
      </c>
      <c r="D143" s="139">
        <f>VLOOKUP(A143,'Data Vlaue (Cr)'!C138:CZ367,102,0)</f>
        <v>-0.43390000000000001</v>
      </c>
      <c r="E143" s="91">
        <f>VLOOKUP($A143,'Data Vlaue (Cr)'!$C:$FB,75)</f>
        <v>0</v>
      </c>
      <c r="F143" s="91">
        <f>VLOOKUP($A143,'Data Vlaue (Cr)'!$C:$FB,77)</f>
        <v>0</v>
      </c>
      <c r="G143" s="92">
        <f>VLOOKUP(A143,'Data Vlaue (Cr)'!C138:CB367,78,0)</f>
        <v>-1</v>
      </c>
      <c r="H143" s="91">
        <f>VLOOKUP($A143,'Data Vlaue (Cr)'!$C:$FB,91)</f>
        <v>0</v>
      </c>
      <c r="I143" s="91">
        <f>VLOOKUP($A143,'Data Vlaue (Cr)'!$C:$FB,93)</f>
        <v>0</v>
      </c>
      <c r="J143" s="92">
        <f>VLOOKUP($A143,'Data Vlaue (Cr)'!$C:$FB,94)</f>
        <v>-0.19739999999999999</v>
      </c>
      <c r="K143" s="91">
        <f>VLOOKUP($A143,'Data Vlaue (Cr)'!$C:$FB,95)</f>
        <v>0</v>
      </c>
      <c r="L143" s="91">
        <f>VLOOKUP($A143,'Data Vlaue (Cr)'!$C:$FB,97)</f>
        <v>0</v>
      </c>
      <c r="M143" s="92">
        <f>VLOOKUP($A143,'Data Vlaue (Cr)'!$C:$FB,98)</f>
        <v>-0.1226</v>
      </c>
      <c r="N143" s="91">
        <f>VLOOKUP($A143,'Data Vlaue (Cr)'!$C:$FB,79)</f>
        <v>0</v>
      </c>
      <c r="O143" s="92">
        <f>VLOOKUP($A143,'Data Vlaue (Cr)'!$C:$FB,82)</f>
        <v>-0.56089999999999995</v>
      </c>
    </row>
    <row r="144" spans="1:15" x14ac:dyDescent="0.25">
      <c r="A144" s="97" t="str">
        <f>'Data Vlaue (Cr)'!C139</f>
        <v>MANAPPURAM</v>
      </c>
      <c r="B144" s="142">
        <f>VLOOKUP(A144,'Data Vlaue (Cr)'!C139:CW368,99,0)</f>
        <v>913</v>
      </c>
      <c r="C144" s="90">
        <f>VLOOKUP(A144,'Data Vlaue (Cr)'!C139:CY368,101,0)</f>
        <v>-360</v>
      </c>
      <c r="D144" s="139">
        <f>VLOOKUP(A144,'Data Vlaue (Cr)'!C139:CZ368,102,0)</f>
        <v>-0.28289999999999998</v>
      </c>
      <c r="E144" s="91">
        <f>VLOOKUP($A144,'Data Vlaue (Cr)'!$C:$FB,75)</f>
        <v>529</v>
      </c>
      <c r="F144" s="91">
        <f>VLOOKUP($A144,'Data Vlaue (Cr)'!$C:$FB,77)</f>
        <v>-23</v>
      </c>
      <c r="G144" s="92">
        <f>VLOOKUP(A144,'Data Vlaue (Cr)'!C139:CB368,78,0)</f>
        <v>-4.2299999999999997E-2</v>
      </c>
      <c r="H144" s="91">
        <f>VLOOKUP($A144,'Data Vlaue (Cr)'!$C:$FB,91)</f>
        <v>151</v>
      </c>
      <c r="I144" s="91">
        <f>VLOOKUP($A144,'Data Vlaue (Cr)'!$C:$FB,93)</f>
        <v>-200</v>
      </c>
      <c r="J144" s="92">
        <f>VLOOKUP($A144,'Data Vlaue (Cr)'!$C:$FB,94)</f>
        <v>-0.5696</v>
      </c>
      <c r="K144" s="91">
        <f>VLOOKUP($A144,'Data Vlaue (Cr)'!$C:$FB,95)</f>
        <v>233</v>
      </c>
      <c r="L144" s="91">
        <f>VLOOKUP($A144,'Data Vlaue (Cr)'!$C:$FB,97)</f>
        <v>-137</v>
      </c>
      <c r="M144" s="92">
        <f>VLOOKUP($A144,'Data Vlaue (Cr)'!$C:$FB,98)</f>
        <v>-0.36909999999999998</v>
      </c>
      <c r="N144" s="91">
        <f>VLOOKUP($A144,'Data Vlaue (Cr)'!$C:$FB,79)</f>
        <v>69</v>
      </c>
      <c r="O144" s="92">
        <f>VLOOKUP($A144,'Data Vlaue (Cr)'!$C:$FB,82)</f>
        <v>-0.4294</v>
      </c>
    </row>
    <row r="145" spans="1:15" x14ac:dyDescent="0.25">
      <c r="A145" s="97" t="str">
        <f>'Data Vlaue (Cr)'!C140</f>
        <v>MANKIND</v>
      </c>
      <c r="B145" s="142">
        <f>VLOOKUP(A145,'Data Vlaue (Cr)'!C140:CW369,99,0)</f>
        <v>539</v>
      </c>
      <c r="C145" s="90">
        <f>VLOOKUP(A145,'Data Vlaue (Cr)'!C140:CY369,101,0)</f>
        <v>-357</v>
      </c>
      <c r="D145" s="139">
        <f>VLOOKUP(A145,'Data Vlaue (Cr)'!C140:CZ369,102,0)</f>
        <v>-0.3982</v>
      </c>
      <c r="E145" s="91">
        <f>VLOOKUP($A145,'Data Vlaue (Cr)'!$C:$FB,75)</f>
        <v>414</v>
      </c>
      <c r="F145" s="91">
        <f>VLOOKUP($A145,'Data Vlaue (Cr)'!$C:$FB,77)</f>
        <v>-60</v>
      </c>
      <c r="G145" s="92">
        <f>VLOOKUP(A145,'Data Vlaue (Cr)'!C140:CB369,78,0)</f>
        <v>-0.1273</v>
      </c>
      <c r="H145" s="91">
        <f>VLOOKUP($A145,'Data Vlaue (Cr)'!$C:$FB,91)</f>
        <v>80</v>
      </c>
      <c r="I145" s="91">
        <f>VLOOKUP($A145,'Data Vlaue (Cr)'!$C:$FB,93)</f>
        <v>-168</v>
      </c>
      <c r="J145" s="92">
        <f>VLOOKUP($A145,'Data Vlaue (Cr)'!$C:$FB,94)</f>
        <v>-0.67659999999999998</v>
      </c>
      <c r="K145" s="91">
        <f>VLOOKUP($A145,'Data Vlaue (Cr)'!$C:$FB,95)</f>
        <v>45</v>
      </c>
      <c r="L145" s="91">
        <f>VLOOKUP($A145,'Data Vlaue (Cr)'!$C:$FB,97)</f>
        <v>-129</v>
      </c>
      <c r="M145" s="92">
        <f>VLOOKUP($A145,'Data Vlaue (Cr)'!$C:$FB,98)</f>
        <v>-0.73899999999999999</v>
      </c>
      <c r="N145" s="91">
        <f>VLOOKUP($A145,'Data Vlaue (Cr)'!$C:$FB,79)</f>
        <v>50</v>
      </c>
      <c r="O145" s="92">
        <f>VLOOKUP($A145,'Data Vlaue (Cr)'!$C:$FB,82)</f>
        <v>-0.52159999999999995</v>
      </c>
    </row>
    <row r="146" spans="1:15" x14ac:dyDescent="0.25">
      <c r="A146" s="97" t="str">
        <f>'Data Vlaue (Cr)'!C141</f>
        <v>MARICO</v>
      </c>
      <c r="B146" s="142">
        <f>VLOOKUP(A146,'Data Vlaue (Cr)'!C141:CW370,99,0)</f>
        <v>1630</v>
      </c>
      <c r="C146" s="90">
        <f>VLOOKUP(A146,'Data Vlaue (Cr)'!C141:CY370,101,0)</f>
        <v>-527</v>
      </c>
      <c r="D146" s="139">
        <f>VLOOKUP(A146,'Data Vlaue (Cr)'!C141:CZ370,102,0)</f>
        <v>-0.2445</v>
      </c>
      <c r="E146" s="91">
        <f>VLOOKUP($A146,'Data Vlaue (Cr)'!$C:$FB,75)</f>
        <v>1478</v>
      </c>
      <c r="F146" s="91">
        <f>VLOOKUP($A146,'Data Vlaue (Cr)'!$C:$FB,77)</f>
        <v>-24</v>
      </c>
      <c r="G146" s="92">
        <f>VLOOKUP(A146,'Data Vlaue (Cr)'!C141:CB370,78,0)</f>
        <v>-1.5699999999999999E-2</v>
      </c>
      <c r="H146" s="91">
        <f>VLOOKUP($A146,'Data Vlaue (Cr)'!$C:$FB,91)</f>
        <v>86</v>
      </c>
      <c r="I146" s="91">
        <f>VLOOKUP($A146,'Data Vlaue (Cr)'!$C:$FB,93)</f>
        <v>-330</v>
      </c>
      <c r="J146" s="92">
        <f>VLOOKUP($A146,'Data Vlaue (Cr)'!$C:$FB,94)</f>
        <v>-0.79290000000000005</v>
      </c>
      <c r="K146" s="91">
        <f>VLOOKUP($A146,'Data Vlaue (Cr)'!$C:$FB,95)</f>
        <v>66</v>
      </c>
      <c r="L146" s="91">
        <f>VLOOKUP($A146,'Data Vlaue (Cr)'!$C:$FB,97)</f>
        <v>-174</v>
      </c>
      <c r="M146" s="92">
        <f>VLOOKUP($A146,'Data Vlaue (Cr)'!$C:$FB,98)</f>
        <v>-0.72619999999999996</v>
      </c>
      <c r="N146" s="91">
        <f>VLOOKUP($A146,'Data Vlaue (Cr)'!$C:$FB,79)</f>
        <v>31</v>
      </c>
      <c r="O146" s="92">
        <f>VLOOKUP($A146,'Data Vlaue (Cr)'!$C:$FB,82)</f>
        <v>-0.67910000000000004</v>
      </c>
    </row>
    <row r="147" spans="1:15" x14ac:dyDescent="0.25">
      <c r="A147" s="97" t="str">
        <f>'Data Vlaue (Cr)'!C142</f>
        <v>MARUTI</v>
      </c>
      <c r="B147" s="142">
        <f>VLOOKUP(A147,'Data Vlaue (Cr)'!C142:CW371,99,0)</f>
        <v>5464</v>
      </c>
      <c r="C147" s="90">
        <f>VLOOKUP(A147,'Data Vlaue (Cr)'!C142:CY371,101,0)</f>
        <v>-3085</v>
      </c>
      <c r="D147" s="139">
        <f>VLOOKUP(A147,'Data Vlaue (Cr)'!C142:CZ371,102,0)</f>
        <v>-0.3609</v>
      </c>
      <c r="E147" s="91">
        <f>VLOOKUP($A147,'Data Vlaue (Cr)'!$C:$FB,75)</f>
        <v>3871</v>
      </c>
      <c r="F147" s="91">
        <f>VLOOKUP($A147,'Data Vlaue (Cr)'!$C:$FB,77)</f>
        <v>105</v>
      </c>
      <c r="G147" s="92">
        <f>VLOOKUP(A147,'Data Vlaue (Cr)'!C142:CB371,78,0)</f>
        <v>2.8000000000000001E-2</v>
      </c>
      <c r="H147" s="91">
        <f>VLOOKUP($A147,'Data Vlaue (Cr)'!$C:$FB,91)</f>
        <v>1052</v>
      </c>
      <c r="I147" s="91">
        <f>VLOOKUP($A147,'Data Vlaue (Cr)'!$C:$FB,93)</f>
        <v>-2544</v>
      </c>
      <c r="J147" s="92">
        <f>VLOOKUP($A147,'Data Vlaue (Cr)'!$C:$FB,94)</f>
        <v>-0.70740000000000003</v>
      </c>
      <c r="K147" s="91">
        <f>VLOOKUP($A147,'Data Vlaue (Cr)'!$C:$FB,95)</f>
        <v>541</v>
      </c>
      <c r="L147" s="91">
        <f>VLOOKUP($A147,'Data Vlaue (Cr)'!$C:$FB,97)</f>
        <v>-646</v>
      </c>
      <c r="M147" s="92">
        <f>VLOOKUP($A147,'Data Vlaue (Cr)'!$C:$FB,98)</f>
        <v>-0.54449999999999998</v>
      </c>
      <c r="N147" s="91">
        <f>VLOOKUP($A147,'Data Vlaue (Cr)'!$C:$FB,79)</f>
        <v>91</v>
      </c>
      <c r="O147" s="92">
        <f>VLOOKUP($A147,'Data Vlaue (Cr)'!$C:$FB,82)</f>
        <v>-0.71540000000000004</v>
      </c>
    </row>
    <row r="148" spans="1:15" x14ac:dyDescent="0.25">
      <c r="A148" s="97" t="str">
        <f>'Data Vlaue (Cr)'!C143</f>
        <v>MAXHEALTH</v>
      </c>
      <c r="B148" s="142">
        <f>VLOOKUP(A148,'Data Vlaue (Cr)'!C143:CW372,99,0)</f>
        <v>1483</v>
      </c>
      <c r="C148" s="90">
        <f>VLOOKUP(A148,'Data Vlaue (Cr)'!C143:CY372,101,0)</f>
        <v>-377</v>
      </c>
      <c r="D148" s="139">
        <f>VLOOKUP(A148,'Data Vlaue (Cr)'!C143:CZ372,102,0)</f>
        <v>-0.20269999999999999</v>
      </c>
      <c r="E148" s="91">
        <f>VLOOKUP($A148,'Data Vlaue (Cr)'!$C:$FB,75)</f>
        <v>1336</v>
      </c>
      <c r="F148" s="91">
        <f>VLOOKUP($A148,'Data Vlaue (Cr)'!$C:$FB,77)</f>
        <v>-99</v>
      </c>
      <c r="G148" s="92">
        <f>VLOOKUP(A148,'Data Vlaue (Cr)'!C143:CB372,78,0)</f>
        <v>-6.9199999999999998E-2</v>
      </c>
      <c r="H148" s="91">
        <f>VLOOKUP($A148,'Data Vlaue (Cr)'!$C:$FB,91)</f>
        <v>87</v>
      </c>
      <c r="I148" s="91">
        <f>VLOOKUP($A148,'Data Vlaue (Cr)'!$C:$FB,93)</f>
        <v>-204</v>
      </c>
      <c r="J148" s="92">
        <f>VLOOKUP($A148,'Data Vlaue (Cr)'!$C:$FB,94)</f>
        <v>-0.70230000000000004</v>
      </c>
      <c r="K148" s="91">
        <f>VLOOKUP($A148,'Data Vlaue (Cr)'!$C:$FB,95)</f>
        <v>60</v>
      </c>
      <c r="L148" s="91">
        <f>VLOOKUP($A148,'Data Vlaue (Cr)'!$C:$FB,97)</f>
        <v>-73</v>
      </c>
      <c r="M148" s="92">
        <f>VLOOKUP($A148,'Data Vlaue (Cr)'!$C:$FB,98)</f>
        <v>-0.55020000000000002</v>
      </c>
      <c r="N148" s="91">
        <f>VLOOKUP($A148,'Data Vlaue (Cr)'!$C:$FB,79)</f>
        <v>191</v>
      </c>
      <c r="O148" s="92">
        <f>VLOOKUP($A148,'Data Vlaue (Cr)'!$C:$FB,82)</f>
        <v>-0.18279999999999999</v>
      </c>
    </row>
    <row r="149" spans="1:15" x14ac:dyDescent="0.25">
      <c r="A149" s="97" t="str">
        <f>'Data Vlaue (Cr)'!C144</f>
        <v>MAZDOCK</v>
      </c>
      <c r="B149" s="142">
        <f>VLOOKUP(A149,'Data Vlaue (Cr)'!C144:CW373,99,0)</f>
        <v>1300</v>
      </c>
      <c r="C149" s="90">
        <f>VLOOKUP(A149,'Data Vlaue (Cr)'!C144:CY373,101,0)</f>
        <v>-859</v>
      </c>
      <c r="D149" s="139">
        <f>VLOOKUP(A149,'Data Vlaue (Cr)'!C144:CZ373,102,0)</f>
        <v>-0.39789999999999998</v>
      </c>
      <c r="E149" s="91">
        <f>VLOOKUP($A149,'Data Vlaue (Cr)'!$C:$FB,75)</f>
        <v>851</v>
      </c>
      <c r="F149" s="91">
        <f>VLOOKUP($A149,'Data Vlaue (Cr)'!$C:$FB,77)</f>
        <v>-81</v>
      </c>
      <c r="G149" s="92">
        <f>VLOOKUP(A149,'Data Vlaue (Cr)'!C144:CB373,78,0)</f>
        <v>-8.6999999999999994E-2</v>
      </c>
      <c r="H149" s="91">
        <f>VLOOKUP($A149,'Data Vlaue (Cr)'!$C:$FB,91)</f>
        <v>289</v>
      </c>
      <c r="I149" s="91">
        <f>VLOOKUP($A149,'Data Vlaue (Cr)'!$C:$FB,93)</f>
        <v>-550</v>
      </c>
      <c r="J149" s="92">
        <f>VLOOKUP($A149,'Data Vlaue (Cr)'!$C:$FB,94)</f>
        <v>-0.65539999999999998</v>
      </c>
      <c r="K149" s="91">
        <f>VLOOKUP($A149,'Data Vlaue (Cr)'!$C:$FB,95)</f>
        <v>160</v>
      </c>
      <c r="L149" s="91">
        <f>VLOOKUP($A149,'Data Vlaue (Cr)'!$C:$FB,97)</f>
        <v>-228</v>
      </c>
      <c r="M149" s="92">
        <f>VLOOKUP($A149,'Data Vlaue (Cr)'!$C:$FB,98)</f>
        <v>-0.58799999999999997</v>
      </c>
      <c r="N149" s="91">
        <f>VLOOKUP($A149,'Data Vlaue (Cr)'!$C:$FB,79)</f>
        <v>63</v>
      </c>
      <c r="O149" s="92">
        <f>VLOOKUP($A149,'Data Vlaue (Cr)'!$C:$FB,82)</f>
        <v>-0.67449999999999999</v>
      </c>
    </row>
    <row r="150" spans="1:15" x14ac:dyDescent="0.25">
      <c r="A150" s="97" t="str">
        <f>'Data Vlaue (Cr)'!C145</f>
        <v>MCX</v>
      </c>
      <c r="B150" s="142">
        <f>VLOOKUP(A150,'Data Vlaue (Cr)'!C145:CW374,99,0)</f>
        <v>2856</v>
      </c>
      <c r="C150" s="90">
        <f>VLOOKUP(A150,'Data Vlaue (Cr)'!C145:CY374,101,0)</f>
        <v>-2519</v>
      </c>
      <c r="D150" s="139">
        <f>VLOOKUP(A150,'Data Vlaue (Cr)'!C145:CZ374,102,0)</f>
        <v>-0.46870000000000001</v>
      </c>
      <c r="E150" s="91">
        <f>VLOOKUP($A150,'Data Vlaue (Cr)'!$C:$FB,75)</f>
        <v>1754</v>
      </c>
      <c r="F150" s="91">
        <f>VLOOKUP($A150,'Data Vlaue (Cr)'!$C:$FB,77)</f>
        <v>-221</v>
      </c>
      <c r="G150" s="92">
        <f>VLOOKUP(A150,'Data Vlaue (Cr)'!C145:CB374,78,0)</f>
        <v>-0.11210000000000001</v>
      </c>
      <c r="H150" s="91">
        <f>VLOOKUP($A150,'Data Vlaue (Cr)'!$C:$FB,91)</f>
        <v>650</v>
      </c>
      <c r="I150" s="91">
        <f>VLOOKUP($A150,'Data Vlaue (Cr)'!$C:$FB,93)</f>
        <v>-1455</v>
      </c>
      <c r="J150" s="92">
        <f>VLOOKUP($A150,'Data Vlaue (Cr)'!$C:$FB,94)</f>
        <v>-0.69110000000000005</v>
      </c>
      <c r="K150" s="91">
        <f>VLOOKUP($A150,'Data Vlaue (Cr)'!$C:$FB,95)</f>
        <v>452</v>
      </c>
      <c r="L150" s="91">
        <f>VLOOKUP($A150,'Data Vlaue (Cr)'!$C:$FB,97)</f>
        <v>-843</v>
      </c>
      <c r="M150" s="92">
        <f>VLOOKUP($A150,'Data Vlaue (Cr)'!$C:$FB,98)</f>
        <v>-0.65090000000000003</v>
      </c>
      <c r="N150" s="91">
        <f>VLOOKUP($A150,'Data Vlaue (Cr)'!$C:$FB,79)</f>
        <v>248</v>
      </c>
      <c r="O150" s="92">
        <f>VLOOKUP($A150,'Data Vlaue (Cr)'!$C:$FB,82)</f>
        <v>-0.48720000000000002</v>
      </c>
    </row>
    <row r="151" spans="1:15" x14ac:dyDescent="0.25">
      <c r="A151" s="97" t="str">
        <f>'Data Vlaue (Cr)'!C146</f>
        <v>MFSL</v>
      </c>
      <c r="B151" s="142">
        <f>VLOOKUP(A151,'Data Vlaue (Cr)'!C146:CW375,99,0)</f>
        <v>887</v>
      </c>
      <c r="C151" s="90">
        <f>VLOOKUP(A151,'Data Vlaue (Cr)'!C146:CY375,101,0)</f>
        <v>-431</v>
      </c>
      <c r="D151" s="139">
        <f>VLOOKUP(A151,'Data Vlaue (Cr)'!C146:CZ375,102,0)</f>
        <v>-0.32690000000000002</v>
      </c>
      <c r="E151" s="91">
        <f>VLOOKUP($A151,'Data Vlaue (Cr)'!$C:$FB,75)</f>
        <v>786</v>
      </c>
      <c r="F151" s="91">
        <f>VLOOKUP($A151,'Data Vlaue (Cr)'!$C:$FB,77)</f>
        <v>-162</v>
      </c>
      <c r="G151" s="92">
        <f>VLOOKUP(A151,'Data Vlaue (Cr)'!C146:CB375,78,0)</f>
        <v>-0.1704</v>
      </c>
      <c r="H151" s="91">
        <f>VLOOKUP($A151,'Data Vlaue (Cr)'!$C:$FB,91)</f>
        <v>49</v>
      </c>
      <c r="I151" s="91">
        <f>VLOOKUP($A151,'Data Vlaue (Cr)'!$C:$FB,93)</f>
        <v>-164</v>
      </c>
      <c r="J151" s="92">
        <f>VLOOKUP($A151,'Data Vlaue (Cr)'!$C:$FB,94)</f>
        <v>-0.77100000000000002</v>
      </c>
      <c r="K151" s="91">
        <f>VLOOKUP($A151,'Data Vlaue (Cr)'!$C:$FB,95)</f>
        <v>52</v>
      </c>
      <c r="L151" s="91">
        <f>VLOOKUP($A151,'Data Vlaue (Cr)'!$C:$FB,97)</f>
        <v>-105</v>
      </c>
      <c r="M151" s="92">
        <f>VLOOKUP($A151,'Data Vlaue (Cr)'!$C:$FB,98)</f>
        <v>-0.67049999999999998</v>
      </c>
      <c r="N151" s="91">
        <f>VLOOKUP($A151,'Data Vlaue (Cr)'!$C:$FB,79)</f>
        <v>139</v>
      </c>
      <c r="O151" s="92">
        <f>VLOOKUP($A151,'Data Vlaue (Cr)'!$C:$FB,82)</f>
        <v>-0.29880000000000001</v>
      </c>
    </row>
    <row r="152" spans="1:15" x14ac:dyDescent="0.25">
      <c r="A152" s="97" t="str">
        <f>'Data Vlaue (Cr)'!C147</f>
        <v>MGL</v>
      </c>
      <c r="B152" s="142">
        <f>VLOOKUP(A152,'Data Vlaue (Cr)'!C147:CW376,99,0)</f>
        <v>0</v>
      </c>
      <c r="C152" s="90">
        <f>VLOOKUP(A152,'Data Vlaue (Cr)'!C147:CY376,101,0)</f>
        <v>0</v>
      </c>
      <c r="D152" s="139">
        <f>VLOOKUP(A152,'Data Vlaue (Cr)'!C147:CZ376,102,0)</f>
        <v>-0.37390000000000001</v>
      </c>
      <c r="E152" s="91">
        <f>VLOOKUP($A152,'Data Vlaue (Cr)'!$C:$FB,75)</f>
        <v>0</v>
      </c>
      <c r="F152" s="91">
        <f>VLOOKUP($A152,'Data Vlaue (Cr)'!$C:$FB,77)</f>
        <v>0</v>
      </c>
      <c r="G152" s="92">
        <f>VLOOKUP(A152,'Data Vlaue (Cr)'!C147:CB376,78,0)</f>
        <v>-1</v>
      </c>
      <c r="H152" s="91">
        <f>VLOOKUP($A152,'Data Vlaue (Cr)'!$C:$FB,91)</f>
        <v>0</v>
      </c>
      <c r="I152" s="91">
        <f>VLOOKUP($A152,'Data Vlaue (Cr)'!$C:$FB,93)</f>
        <v>0</v>
      </c>
      <c r="J152" s="92">
        <f>VLOOKUP($A152,'Data Vlaue (Cr)'!$C:$FB,94)</f>
        <v>-0.31480000000000002</v>
      </c>
      <c r="K152" s="91">
        <f>VLOOKUP($A152,'Data Vlaue (Cr)'!$C:$FB,95)</f>
        <v>0</v>
      </c>
      <c r="L152" s="91">
        <f>VLOOKUP($A152,'Data Vlaue (Cr)'!$C:$FB,97)</f>
        <v>0</v>
      </c>
      <c r="M152" s="92">
        <f>VLOOKUP($A152,'Data Vlaue (Cr)'!$C:$FB,98)</f>
        <v>-0.17380000000000001</v>
      </c>
      <c r="N152" s="91">
        <f>VLOOKUP($A152,'Data Vlaue (Cr)'!$C:$FB,79)</f>
        <v>0</v>
      </c>
      <c r="O152" s="92">
        <f>VLOOKUP($A152,'Data Vlaue (Cr)'!$C:$FB,82)</f>
        <v>-0.47410000000000002</v>
      </c>
    </row>
    <row r="153" spans="1:15" x14ac:dyDescent="0.25">
      <c r="A153" s="97" t="str">
        <f>'Data Vlaue (Cr)'!C148</f>
        <v>MIDCPNIFTY</v>
      </c>
      <c r="B153" s="142">
        <f>VLOOKUP(A153,'Data Vlaue (Cr)'!C148:CW377,99,0)</f>
        <v>7084</v>
      </c>
      <c r="C153" s="90">
        <f>VLOOKUP(A153,'Data Vlaue (Cr)'!C148:CY377,101,0)</f>
        <v>-40821</v>
      </c>
      <c r="D153" s="139">
        <f>VLOOKUP(A153,'Data Vlaue (Cr)'!C148:CZ377,102,0)</f>
        <v>-0.85209999999999997</v>
      </c>
      <c r="E153" s="91">
        <f>VLOOKUP($A153,'Data Vlaue (Cr)'!$C:$FB,75)</f>
        <v>2860</v>
      </c>
      <c r="F153" s="91">
        <f>VLOOKUP($A153,'Data Vlaue (Cr)'!$C:$FB,77)</f>
        <v>-468</v>
      </c>
      <c r="G153" s="92">
        <f>VLOOKUP(A153,'Data Vlaue (Cr)'!C148:CB377,78,0)</f>
        <v>-0.1406</v>
      </c>
      <c r="H153" s="91">
        <f>VLOOKUP($A153,'Data Vlaue (Cr)'!$C:$FB,91)</f>
        <v>1921</v>
      </c>
      <c r="I153" s="91">
        <f>VLOOKUP($A153,'Data Vlaue (Cr)'!$C:$FB,93)</f>
        <v>-23384</v>
      </c>
      <c r="J153" s="92">
        <f>VLOOKUP($A153,'Data Vlaue (Cr)'!$C:$FB,94)</f>
        <v>-0.92410000000000003</v>
      </c>
      <c r="K153" s="91">
        <f>VLOOKUP($A153,'Data Vlaue (Cr)'!$C:$FB,95)</f>
        <v>2303</v>
      </c>
      <c r="L153" s="91">
        <f>VLOOKUP($A153,'Data Vlaue (Cr)'!$C:$FB,97)</f>
        <v>-16969</v>
      </c>
      <c r="M153" s="92">
        <f>VLOOKUP($A153,'Data Vlaue (Cr)'!$C:$FB,98)</f>
        <v>-0.88049999999999995</v>
      </c>
      <c r="N153" s="91">
        <f>VLOOKUP($A153,'Data Vlaue (Cr)'!$C:$FB,79)</f>
        <v>499</v>
      </c>
      <c r="O153" s="92">
        <f>VLOOKUP($A153,'Data Vlaue (Cr)'!$C:$FB,82)</f>
        <v>-0.5554</v>
      </c>
    </row>
    <row r="154" spans="1:15" x14ac:dyDescent="0.25">
      <c r="A154" s="97" t="str">
        <f>'Data Vlaue (Cr)'!C149</f>
        <v>MOTHERSON</v>
      </c>
      <c r="B154" s="142">
        <f>VLOOKUP(A154,'Data Vlaue (Cr)'!C149:CW378,99,0)</f>
        <v>1835</v>
      </c>
      <c r="C154" s="90">
        <f>VLOOKUP(A154,'Data Vlaue (Cr)'!C149:CY378,101,0)</f>
        <v>-418</v>
      </c>
      <c r="D154" s="139">
        <f>VLOOKUP(A154,'Data Vlaue (Cr)'!C149:CZ378,102,0)</f>
        <v>-0.1855</v>
      </c>
      <c r="E154" s="91">
        <f>VLOOKUP($A154,'Data Vlaue (Cr)'!$C:$FB,75)</f>
        <v>1521</v>
      </c>
      <c r="F154" s="91">
        <f>VLOOKUP($A154,'Data Vlaue (Cr)'!$C:$FB,77)</f>
        <v>-47</v>
      </c>
      <c r="G154" s="92">
        <f>VLOOKUP(A154,'Data Vlaue (Cr)'!C149:CB378,78,0)</f>
        <v>-2.98E-2</v>
      </c>
      <c r="H154" s="91">
        <f>VLOOKUP($A154,'Data Vlaue (Cr)'!$C:$FB,91)</f>
        <v>186</v>
      </c>
      <c r="I154" s="91">
        <f>VLOOKUP($A154,'Data Vlaue (Cr)'!$C:$FB,93)</f>
        <v>-240</v>
      </c>
      <c r="J154" s="92">
        <f>VLOOKUP($A154,'Data Vlaue (Cr)'!$C:$FB,94)</f>
        <v>-0.5635</v>
      </c>
      <c r="K154" s="91">
        <f>VLOOKUP($A154,'Data Vlaue (Cr)'!$C:$FB,95)</f>
        <v>128</v>
      </c>
      <c r="L154" s="91">
        <f>VLOOKUP($A154,'Data Vlaue (Cr)'!$C:$FB,97)</f>
        <v>-132</v>
      </c>
      <c r="M154" s="92">
        <f>VLOOKUP($A154,'Data Vlaue (Cr)'!$C:$FB,98)</f>
        <v>-0.50690000000000002</v>
      </c>
      <c r="N154" s="91">
        <f>VLOOKUP($A154,'Data Vlaue (Cr)'!$C:$FB,79)</f>
        <v>89</v>
      </c>
      <c r="O154" s="92">
        <f>VLOOKUP($A154,'Data Vlaue (Cr)'!$C:$FB,82)</f>
        <v>-0.67330000000000001</v>
      </c>
    </row>
    <row r="155" spans="1:15" x14ac:dyDescent="0.25">
      <c r="A155" s="97" t="str">
        <f>'Data Vlaue (Cr)'!C150</f>
        <v>MPHASIS</v>
      </c>
      <c r="B155" s="142">
        <f>VLOOKUP(A155,'Data Vlaue (Cr)'!C150:CW379,99,0)</f>
        <v>1313</v>
      </c>
      <c r="C155" s="90">
        <f>VLOOKUP(A155,'Data Vlaue (Cr)'!C150:CY379,101,0)</f>
        <v>-622</v>
      </c>
      <c r="D155" s="139">
        <f>VLOOKUP(A155,'Data Vlaue (Cr)'!C150:CZ379,102,0)</f>
        <v>-0.3216</v>
      </c>
      <c r="E155" s="91">
        <f>VLOOKUP($A155,'Data Vlaue (Cr)'!$C:$FB,75)</f>
        <v>1140</v>
      </c>
      <c r="F155" s="91">
        <f>VLOOKUP($A155,'Data Vlaue (Cr)'!$C:$FB,77)</f>
        <v>-147</v>
      </c>
      <c r="G155" s="92">
        <f>VLOOKUP(A155,'Data Vlaue (Cr)'!C150:CB379,78,0)</f>
        <v>-0.114</v>
      </c>
      <c r="H155" s="91">
        <f>VLOOKUP($A155,'Data Vlaue (Cr)'!$C:$FB,91)</f>
        <v>103</v>
      </c>
      <c r="I155" s="91">
        <f>VLOOKUP($A155,'Data Vlaue (Cr)'!$C:$FB,93)</f>
        <v>-249</v>
      </c>
      <c r="J155" s="92">
        <f>VLOOKUP($A155,'Data Vlaue (Cr)'!$C:$FB,94)</f>
        <v>-0.70709999999999995</v>
      </c>
      <c r="K155" s="91">
        <f>VLOOKUP($A155,'Data Vlaue (Cr)'!$C:$FB,95)</f>
        <v>70</v>
      </c>
      <c r="L155" s="91">
        <f>VLOOKUP($A155,'Data Vlaue (Cr)'!$C:$FB,97)</f>
        <v>-227</v>
      </c>
      <c r="M155" s="92">
        <f>VLOOKUP($A155,'Data Vlaue (Cr)'!$C:$FB,98)</f>
        <v>-0.76349999999999996</v>
      </c>
      <c r="N155" s="91">
        <f>VLOOKUP($A155,'Data Vlaue (Cr)'!$C:$FB,79)</f>
        <v>143</v>
      </c>
      <c r="O155" s="92">
        <f>VLOOKUP($A155,'Data Vlaue (Cr)'!$C:$FB,82)</f>
        <v>-0.51349999999999996</v>
      </c>
    </row>
    <row r="156" spans="1:15" x14ac:dyDescent="0.25">
      <c r="A156" s="97" t="str">
        <f>'Data Vlaue (Cr)'!C151</f>
        <v>MUTHOOTFIN</v>
      </c>
      <c r="B156" s="142">
        <f>VLOOKUP(A156,'Data Vlaue (Cr)'!C151:CW380,99,0)</f>
        <v>1290</v>
      </c>
      <c r="C156" s="90">
        <f>VLOOKUP(A156,'Data Vlaue (Cr)'!C151:CY380,101,0)</f>
        <v>-1033</v>
      </c>
      <c r="D156" s="139">
        <f>VLOOKUP(A156,'Data Vlaue (Cr)'!C151:CZ380,102,0)</f>
        <v>-0.4446</v>
      </c>
      <c r="E156" s="91">
        <f>VLOOKUP($A156,'Data Vlaue (Cr)'!$C:$FB,75)</f>
        <v>820</v>
      </c>
      <c r="F156" s="91">
        <f>VLOOKUP($A156,'Data Vlaue (Cr)'!$C:$FB,77)</f>
        <v>-592</v>
      </c>
      <c r="G156" s="92">
        <f>VLOOKUP(A156,'Data Vlaue (Cr)'!C151:CB380,78,0)</f>
        <v>-0.41909999999999997</v>
      </c>
      <c r="H156" s="91">
        <f>VLOOKUP($A156,'Data Vlaue (Cr)'!$C:$FB,91)</f>
        <v>374</v>
      </c>
      <c r="I156" s="91">
        <f>VLOOKUP($A156,'Data Vlaue (Cr)'!$C:$FB,93)</f>
        <v>-234</v>
      </c>
      <c r="J156" s="92">
        <f>VLOOKUP($A156,'Data Vlaue (Cr)'!$C:$FB,94)</f>
        <v>-0.38490000000000002</v>
      </c>
      <c r="K156" s="91">
        <f>VLOOKUP($A156,'Data Vlaue (Cr)'!$C:$FB,95)</f>
        <v>96</v>
      </c>
      <c r="L156" s="91">
        <f>VLOOKUP($A156,'Data Vlaue (Cr)'!$C:$FB,97)</f>
        <v>-207</v>
      </c>
      <c r="M156" s="92">
        <f>VLOOKUP($A156,'Data Vlaue (Cr)'!$C:$FB,98)</f>
        <v>-0.6835</v>
      </c>
      <c r="N156" s="91">
        <f>VLOOKUP($A156,'Data Vlaue (Cr)'!$C:$FB,79)</f>
        <v>513</v>
      </c>
      <c r="O156" s="92">
        <f>VLOOKUP($A156,'Data Vlaue (Cr)'!$C:$FB,82)</f>
        <v>-0.14979999999999999</v>
      </c>
    </row>
    <row r="157" spans="1:15" x14ac:dyDescent="0.25">
      <c r="A157" s="97" t="str">
        <f>'Data Vlaue (Cr)'!C152</f>
        <v>NATIONALUM</v>
      </c>
      <c r="B157" s="142">
        <f>VLOOKUP(A157,'Data Vlaue (Cr)'!C152:CW381,99,0)</f>
        <v>1688</v>
      </c>
      <c r="C157" s="90">
        <f>VLOOKUP(A157,'Data Vlaue (Cr)'!C152:CY381,101,0)</f>
        <v>-311</v>
      </c>
      <c r="D157" s="139">
        <f>VLOOKUP(A157,'Data Vlaue (Cr)'!C152:CZ381,102,0)</f>
        <v>-0.1555</v>
      </c>
      <c r="E157" s="91">
        <f>VLOOKUP($A157,'Data Vlaue (Cr)'!$C:$FB,75)</f>
        <v>1183</v>
      </c>
      <c r="F157" s="91">
        <f>VLOOKUP($A157,'Data Vlaue (Cr)'!$C:$FB,77)</f>
        <v>-45</v>
      </c>
      <c r="G157" s="92">
        <f>VLOOKUP(A157,'Data Vlaue (Cr)'!C152:CB381,78,0)</f>
        <v>-3.6600000000000001E-2</v>
      </c>
      <c r="H157" s="91">
        <f>VLOOKUP($A157,'Data Vlaue (Cr)'!$C:$FB,91)</f>
        <v>261</v>
      </c>
      <c r="I157" s="91">
        <f>VLOOKUP($A157,'Data Vlaue (Cr)'!$C:$FB,93)</f>
        <v>-188</v>
      </c>
      <c r="J157" s="92">
        <f>VLOOKUP($A157,'Data Vlaue (Cr)'!$C:$FB,94)</f>
        <v>-0.41830000000000001</v>
      </c>
      <c r="K157" s="91">
        <f>VLOOKUP($A157,'Data Vlaue (Cr)'!$C:$FB,95)</f>
        <v>244</v>
      </c>
      <c r="L157" s="91">
        <f>VLOOKUP($A157,'Data Vlaue (Cr)'!$C:$FB,97)</f>
        <v>-78</v>
      </c>
      <c r="M157" s="92">
        <f>VLOOKUP($A157,'Data Vlaue (Cr)'!$C:$FB,98)</f>
        <v>-0.2427</v>
      </c>
      <c r="N157" s="91">
        <f>VLOOKUP($A157,'Data Vlaue (Cr)'!$C:$FB,79)</f>
        <v>65</v>
      </c>
      <c r="O157" s="92">
        <f>VLOOKUP($A157,'Data Vlaue (Cr)'!$C:$FB,82)</f>
        <v>-0.76900000000000002</v>
      </c>
    </row>
    <row r="158" spans="1:15" x14ac:dyDescent="0.25">
      <c r="A158" s="97" t="str">
        <f>'Data Vlaue (Cr)'!C153</f>
        <v>NAUKRI</v>
      </c>
      <c r="B158" s="142">
        <f>VLOOKUP(A158,'Data Vlaue (Cr)'!C153:CW382,99,0)</f>
        <v>1664</v>
      </c>
      <c r="C158" s="90">
        <f>VLOOKUP(A158,'Data Vlaue (Cr)'!C153:CY382,101,0)</f>
        <v>-484</v>
      </c>
      <c r="D158" s="139">
        <f>VLOOKUP(A158,'Data Vlaue (Cr)'!C153:CZ382,102,0)</f>
        <v>-0.22550000000000001</v>
      </c>
      <c r="E158" s="91">
        <f>VLOOKUP($A158,'Data Vlaue (Cr)'!$C:$FB,75)</f>
        <v>1540</v>
      </c>
      <c r="F158" s="91">
        <f>VLOOKUP($A158,'Data Vlaue (Cr)'!$C:$FB,77)</f>
        <v>-187</v>
      </c>
      <c r="G158" s="92">
        <f>VLOOKUP(A158,'Data Vlaue (Cr)'!C153:CB382,78,0)</f>
        <v>-0.1084</v>
      </c>
      <c r="H158" s="91">
        <f>VLOOKUP($A158,'Data Vlaue (Cr)'!$C:$FB,91)</f>
        <v>62</v>
      </c>
      <c r="I158" s="91">
        <f>VLOOKUP($A158,'Data Vlaue (Cr)'!$C:$FB,93)</f>
        <v>-192</v>
      </c>
      <c r="J158" s="92">
        <f>VLOOKUP($A158,'Data Vlaue (Cr)'!$C:$FB,94)</f>
        <v>-0.75600000000000001</v>
      </c>
      <c r="K158" s="91">
        <f>VLOOKUP($A158,'Data Vlaue (Cr)'!$C:$FB,95)</f>
        <v>63</v>
      </c>
      <c r="L158" s="91">
        <f>VLOOKUP($A158,'Data Vlaue (Cr)'!$C:$FB,97)</f>
        <v>-105</v>
      </c>
      <c r="M158" s="92">
        <f>VLOOKUP($A158,'Data Vlaue (Cr)'!$C:$FB,98)</f>
        <v>-0.62609999999999999</v>
      </c>
      <c r="N158" s="91">
        <f>VLOOKUP($A158,'Data Vlaue (Cr)'!$C:$FB,79)</f>
        <v>111</v>
      </c>
      <c r="O158" s="92">
        <f>VLOOKUP($A158,'Data Vlaue (Cr)'!$C:$FB,82)</f>
        <v>-0.51239999999999997</v>
      </c>
    </row>
    <row r="159" spans="1:15" x14ac:dyDescent="0.25">
      <c r="A159" s="97" t="str">
        <f>'Data Vlaue (Cr)'!C154</f>
        <v>NBCC</v>
      </c>
      <c r="B159" s="142">
        <f>VLOOKUP(A159,'Data Vlaue (Cr)'!C154:CW383,99,0)</f>
        <v>694</v>
      </c>
      <c r="C159" s="90">
        <f>VLOOKUP(A159,'Data Vlaue (Cr)'!C154:CY383,101,0)</f>
        <v>-409</v>
      </c>
      <c r="D159" s="139">
        <f>VLOOKUP(A159,'Data Vlaue (Cr)'!C154:CZ383,102,0)</f>
        <v>-0.37109999999999999</v>
      </c>
      <c r="E159" s="91">
        <f>VLOOKUP($A159,'Data Vlaue (Cr)'!$C:$FB,75)</f>
        <v>578</v>
      </c>
      <c r="F159" s="91">
        <f>VLOOKUP($A159,'Data Vlaue (Cr)'!$C:$FB,77)</f>
        <v>-85</v>
      </c>
      <c r="G159" s="92">
        <f>VLOOKUP(A159,'Data Vlaue (Cr)'!C154:CB383,78,0)</f>
        <v>-0.12859999999999999</v>
      </c>
      <c r="H159" s="91">
        <f>VLOOKUP($A159,'Data Vlaue (Cr)'!$C:$FB,91)</f>
        <v>69</v>
      </c>
      <c r="I159" s="91">
        <f>VLOOKUP($A159,'Data Vlaue (Cr)'!$C:$FB,93)</f>
        <v>-232</v>
      </c>
      <c r="J159" s="92">
        <f>VLOOKUP($A159,'Data Vlaue (Cr)'!$C:$FB,94)</f>
        <v>-0.7712</v>
      </c>
      <c r="K159" s="91">
        <f>VLOOKUP($A159,'Data Vlaue (Cr)'!$C:$FB,95)</f>
        <v>47</v>
      </c>
      <c r="L159" s="91">
        <f>VLOOKUP($A159,'Data Vlaue (Cr)'!$C:$FB,97)</f>
        <v>-92</v>
      </c>
      <c r="M159" s="92">
        <f>VLOOKUP($A159,'Data Vlaue (Cr)'!$C:$FB,98)</f>
        <v>-0.66169999999999995</v>
      </c>
      <c r="N159" s="91">
        <f>VLOOKUP($A159,'Data Vlaue (Cr)'!$C:$FB,79)</f>
        <v>81</v>
      </c>
      <c r="O159" s="92">
        <f>VLOOKUP($A159,'Data Vlaue (Cr)'!$C:$FB,82)</f>
        <v>-0.59279999999999999</v>
      </c>
    </row>
    <row r="160" spans="1:15" x14ac:dyDescent="0.25">
      <c r="A160" s="97" t="str">
        <f>'Data Vlaue (Cr)'!C155</f>
        <v>NCC</v>
      </c>
      <c r="B160" s="142">
        <f>VLOOKUP(A160,'Data Vlaue (Cr)'!C155:CW384,99,0)</f>
        <v>396</v>
      </c>
      <c r="C160" s="90">
        <f>VLOOKUP(A160,'Data Vlaue (Cr)'!C155:CY384,101,0)</f>
        <v>-229</v>
      </c>
      <c r="D160" s="139">
        <f>VLOOKUP(A160,'Data Vlaue (Cr)'!C155:CZ384,102,0)</f>
        <v>-0.36630000000000001</v>
      </c>
      <c r="E160" s="91">
        <f>VLOOKUP($A160,'Data Vlaue (Cr)'!$C:$FB,75)</f>
        <v>294</v>
      </c>
      <c r="F160" s="91">
        <f>VLOOKUP($A160,'Data Vlaue (Cr)'!$C:$FB,77)</f>
        <v>-29</v>
      </c>
      <c r="G160" s="92">
        <f>VLOOKUP(A160,'Data Vlaue (Cr)'!C155:CB384,78,0)</f>
        <v>-9.0399999999999994E-2</v>
      </c>
      <c r="H160" s="91">
        <f>VLOOKUP($A160,'Data Vlaue (Cr)'!$C:$FB,91)</f>
        <v>59</v>
      </c>
      <c r="I160" s="91">
        <f>VLOOKUP($A160,'Data Vlaue (Cr)'!$C:$FB,93)</f>
        <v>-140</v>
      </c>
      <c r="J160" s="92">
        <f>VLOOKUP($A160,'Data Vlaue (Cr)'!$C:$FB,94)</f>
        <v>-0.70430000000000004</v>
      </c>
      <c r="K160" s="91">
        <f>VLOOKUP($A160,'Data Vlaue (Cr)'!$C:$FB,95)</f>
        <v>43</v>
      </c>
      <c r="L160" s="91">
        <f>VLOOKUP($A160,'Data Vlaue (Cr)'!$C:$FB,97)</f>
        <v>-60</v>
      </c>
      <c r="M160" s="92">
        <f>VLOOKUP($A160,'Data Vlaue (Cr)'!$C:$FB,98)</f>
        <v>-0.58030000000000004</v>
      </c>
      <c r="N160" s="91">
        <f>VLOOKUP($A160,'Data Vlaue (Cr)'!$C:$FB,79)</f>
        <v>28</v>
      </c>
      <c r="O160" s="92">
        <f>VLOOKUP($A160,'Data Vlaue (Cr)'!$C:$FB,82)</f>
        <v>-0.60350000000000004</v>
      </c>
    </row>
    <row r="161" spans="1:15" x14ac:dyDescent="0.25">
      <c r="A161" s="97" t="str">
        <f>'Data Vlaue (Cr)'!C156</f>
        <v>NESTLEIND</v>
      </c>
      <c r="B161" s="142">
        <f>VLOOKUP(A161,'Data Vlaue (Cr)'!C156:CW385,99,0)</f>
        <v>2958</v>
      </c>
      <c r="C161" s="90">
        <f>VLOOKUP(A161,'Data Vlaue (Cr)'!C156:CY385,101,0)</f>
        <v>-974</v>
      </c>
      <c r="D161" s="139">
        <f>VLOOKUP(A161,'Data Vlaue (Cr)'!C156:CZ385,102,0)</f>
        <v>-0.24759999999999999</v>
      </c>
      <c r="E161" s="91">
        <f>VLOOKUP($A161,'Data Vlaue (Cr)'!$C:$FB,75)</f>
        <v>2354</v>
      </c>
      <c r="F161" s="91">
        <f>VLOOKUP($A161,'Data Vlaue (Cr)'!$C:$FB,77)</f>
        <v>-139</v>
      </c>
      <c r="G161" s="92">
        <f>VLOOKUP(A161,'Data Vlaue (Cr)'!C156:CB385,78,0)</f>
        <v>-5.5599999999999997E-2</v>
      </c>
      <c r="H161" s="91">
        <f>VLOOKUP($A161,'Data Vlaue (Cr)'!$C:$FB,91)</f>
        <v>316</v>
      </c>
      <c r="I161" s="91">
        <f>VLOOKUP($A161,'Data Vlaue (Cr)'!$C:$FB,93)</f>
        <v>-538</v>
      </c>
      <c r="J161" s="92">
        <f>VLOOKUP($A161,'Data Vlaue (Cr)'!$C:$FB,94)</f>
        <v>-0.62980000000000003</v>
      </c>
      <c r="K161" s="91">
        <f>VLOOKUP($A161,'Data Vlaue (Cr)'!$C:$FB,95)</f>
        <v>287</v>
      </c>
      <c r="L161" s="91">
        <f>VLOOKUP($A161,'Data Vlaue (Cr)'!$C:$FB,97)</f>
        <v>-297</v>
      </c>
      <c r="M161" s="92">
        <f>VLOOKUP($A161,'Data Vlaue (Cr)'!$C:$FB,98)</f>
        <v>-0.50780000000000003</v>
      </c>
      <c r="N161" s="91">
        <f>VLOOKUP($A161,'Data Vlaue (Cr)'!$C:$FB,79)</f>
        <v>133</v>
      </c>
      <c r="O161" s="92">
        <f>VLOOKUP($A161,'Data Vlaue (Cr)'!$C:$FB,82)</f>
        <v>-0.55779999999999996</v>
      </c>
    </row>
    <row r="162" spans="1:15" x14ac:dyDescent="0.25">
      <c r="A162" s="97" t="str">
        <f>'Data Vlaue (Cr)'!C157</f>
        <v>NHPC</v>
      </c>
      <c r="B162" s="142">
        <f>VLOOKUP(A162,'Data Vlaue (Cr)'!C157:CW386,99,0)</f>
        <v>521</v>
      </c>
      <c r="C162" s="90">
        <f>VLOOKUP(A162,'Data Vlaue (Cr)'!C157:CY386,101,0)</f>
        <v>-303</v>
      </c>
      <c r="D162" s="139">
        <f>VLOOKUP(A162,'Data Vlaue (Cr)'!C157:CZ386,102,0)</f>
        <v>-0.3679</v>
      </c>
      <c r="E162" s="91">
        <f>VLOOKUP($A162,'Data Vlaue (Cr)'!$C:$FB,75)</f>
        <v>425</v>
      </c>
      <c r="F162" s="91">
        <f>VLOOKUP($A162,'Data Vlaue (Cr)'!$C:$FB,77)</f>
        <v>-127</v>
      </c>
      <c r="G162" s="92">
        <f>VLOOKUP(A162,'Data Vlaue (Cr)'!C157:CB386,78,0)</f>
        <v>-0.2306</v>
      </c>
      <c r="H162" s="91">
        <f>VLOOKUP($A162,'Data Vlaue (Cr)'!$C:$FB,91)</f>
        <v>59</v>
      </c>
      <c r="I162" s="91">
        <f>VLOOKUP($A162,'Data Vlaue (Cr)'!$C:$FB,93)</f>
        <v>-124</v>
      </c>
      <c r="J162" s="92">
        <f>VLOOKUP($A162,'Data Vlaue (Cr)'!$C:$FB,94)</f>
        <v>-0.67810000000000004</v>
      </c>
      <c r="K162" s="91">
        <f>VLOOKUP($A162,'Data Vlaue (Cr)'!$C:$FB,95)</f>
        <v>37</v>
      </c>
      <c r="L162" s="91">
        <f>VLOOKUP($A162,'Data Vlaue (Cr)'!$C:$FB,97)</f>
        <v>-52</v>
      </c>
      <c r="M162" s="92">
        <f>VLOOKUP($A162,'Data Vlaue (Cr)'!$C:$FB,98)</f>
        <v>-0.58350000000000002</v>
      </c>
      <c r="N162" s="91">
        <f>VLOOKUP($A162,'Data Vlaue (Cr)'!$C:$FB,79)</f>
        <v>124</v>
      </c>
      <c r="O162" s="92">
        <f>VLOOKUP($A162,'Data Vlaue (Cr)'!$C:$FB,82)</f>
        <v>-0.38319999999999999</v>
      </c>
    </row>
    <row r="163" spans="1:15" x14ac:dyDescent="0.25">
      <c r="A163" s="97" t="str">
        <f>'Data Vlaue (Cr)'!C158</f>
        <v>NIFTY</v>
      </c>
      <c r="B163" s="142">
        <f>VLOOKUP(A163,'Data Vlaue (Cr)'!C158:CW387,99,0)</f>
        <v>651679</v>
      </c>
      <c r="C163" s="90">
        <f>VLOOKUP(A163,'Data Vlaue (Cr)'!C158:CY387,101,0)</f>
        <v>-640533</v>
      </c>
      <c r="D163" s="139">
        <f>VLOOKUP(A163,'Data Vlaue (Cr)'!C158:CZ387,102,0)</f>
        <v>-0.49569999999999997</v>
      </c>
      <c r="E163" s="91">
        <f>VLOOKUP($A163,'Data Vlaue (Cr)'!$C:$FB,75)</f>
        <v>40921</v>
      </c>
      <c r="F163" s="91">
        <f>VLOOKUP($A163,'Data Vlaue (Cr)'!$C:$FB,77)</f>
        <v>-9711</v>
      </c>
      <c r="G163" s="92">
        <f>VLOOKUP(A163,'Data Vlaue (Cr)'!C158:CB387,78,0)</f>
        <v>-0.1918</v>
      </c>
      <c r="H163" s="91">
        <f>VLOOKUP($A163,'Data Vlaue (Cr)'!$C:$FB,91)</f>
        <v>299307</v>
      </c>
      <c r="I163" s="91">
        <f>VLOOKUP($A163,'Data Vlaue (Cr)'!$C:$FB,93)</f>
        <v>-363540</v>
      </c>
      <c r="J163" s="92">
        <f>VLOOKUP($A163,'Data Vlaue (Cr)'!$C:$FB,94)</f>
        <v>-0.54849999999999999</v>
      </c>
      <c r="K163" s="91">
        <f>VLOOKUP($A163,'Data Vlaue (Cr)'!$C:$FB,95)</f>
        <v>311451</v>
      </c>
      <c r="L163" s="91">
        <f>VLOOKUP($A163,'Data Vlaue (Cr)'!$C:$FB,97)</f>
        <v>-267282</v>
      </c>
      <c r="M163" s="92">
        <f>VLOOKUP($A163,'Data Vlaue (Cr)'!$C:$FB,98)</f>
        <v>-0.46179999999999999</v>
      </c>
      <c r="N163" s="91">
        <f>VLOOKUP($A163,'Data Vlaue (Cr)'!$C:$FB,79)</f>
        <v>13130</v>
      </c>
      <c r="O163" s="92">
        <f>VLOOKUP($A163,'Data Vlaue (Cr)'!$C:$FB,82)</f>
        <v>-0.24560000000000001</v>
      </c>
    </row>
    <row r="164" spans="1:15" x14ac:dyDescent="0.25">
      <c r="A164" s="97" t="str">
        <f>'Data Vlaue (Cr)'!C159</f>
        <v>NIFTYNXT50</v>
      </c>
      <c r="B164" s="142">
        <f>VLOOKUP(A164,'Data Vlaue (Cr)'!C159:CW388,99,0)</f>
        <v>137</v>
      </c>
      <c r="C164" s="90">
        <f>VLOOKUP(A164,'Data Vlaue (Cr)'!C159:CY388,101,0)</f>
        <v>-281</v>
      </c>
      <c r="D164" s="139">
        <f>VLOOKUP(A164,'Data Vlaue (Cr)'!C159:CZ388,102,0)</f>
        <v>-0.67149999999999999</v>
      </c>
      <c r="E164" s="91">
        <f>VLOOKUP($A164,'Data Vlaue (Cr)'!$C:$FB,75)</f>
        <v>137</v>
      </c>
      <c r="F164" s="91">
        <f>VLOOKUP($A164,'Data Vlaue (Cr)'!$C:$FB,77)</f>
        <v>-32</v>
      </c>
      <c r="G164" s="92">
        <f>VLOOKUP(A164,'Data Vlaue (Cr)'!C159:CB388,78,0)</f>
        <v>-0.19170000000000001</v>
      </c>
      <c r="H164" s="91">
        <f>VLOOKUP($A164,'Data Vlaue (Cr)'!$C:$FB,91)</f>
        <v>0</v>
      </c>
      <c r="I164" s="91">
        <f>VLOOKUP($A164,'Data Vlaue (Cr)'!$C:$FB,93)</f>
        <v>-162</v>
      </c>
      <c r="J164" s="92">
        <f>VLOOKUP($A164,'Data Vlaue (Cr)'!$C:$FB,94)</f>
        <v>-1</v>
      </c>
      <c r="K164" s="91">
        <f>VLOOKUP($A164,'Data Vlaue (Cr)'!$C:$FB,95)</f>
        <v>1</v>
      </c>
      <c r="L164" s="91">
        <f>VLOOKUP($A164,'Data Vlaue (Cr)'!$C:$FB,97)</f>
        <v>-86</v>
      </c>
      <c r="M164" s="92">
        <f>VLOOKUP($A164,'Data Vlaue (Cr)'!$C:$FB,98)</f>
        <v>-0.99419999999999997</v>
      </c>
      <c r="N164" s="91">
        <f>VLOOKUP($A164,'Data Vlaue (Cr)'!$C:$FB,79)</f>
        <v>25</v>
      </c>
      <c r="O164" s="92">
        <f>VLOOKUP($A164,'Data Vlaue (Cr)'!$C:$FB,82)</f>
        <v>-0.51780000000000004</v>
      </c>
    </row>
    <row r="165" spans="1:15" x14ac:dyDescent="0.25">
      <c r="A165" s="97" t="str">
        <f>'Data Vlaue (Cr)'!C160</f>
        <v>NMDC</v>
      </c>
      <c r="B165" s="142">
        <f>VLOOKUP(A165,'Data Vlaue (Cr)'!C160:CW389,99,0)</f>
        <v>2597</v>
      </c>
      <c r="C165" s="90">
        <f>VLOOKUP(A165,'Data Vlaue (Cr)'!C160:CY389,101,0)</f>
        <v>-1330</v>
      </c>
      <c r="D165" s="139">
        <f>VLOOKUP(A165,'Data Vlaue (Cr)'!C160:CZ389,102,0)</f>
        <v>-0.33879999999999999</v>
      </c>
      <c r="E165" s="91">
        <f>VLOOKUP($A165,'Data Vlaue (Cr)'!$C:$FB,75)</f>
        <v>1681</v>
      </c>
      <c r="F165" s="91">
        <f>VLOOKUP($A165,'Data Vlaue (Cr)'!$C:$FB,77)</f>
        <v>-575</v>
      </c>
      <c r="G165" s="92">
        <f>VLOOKUP(A165,'Data Vlaue (Cr)'!C160:CB389,78,0)</f>
        <v>-0.25490000000000002</v>
      </c>
      <c r="H165" s="91">
        <f>VLOOKUP($A165,'Data Vlaue (Cr)'!$C:$FB,91)</f>
        <v>486</v>
      </c>
      <c r="I165" s="91">
        <f>VLOOKUP($A165,'Data Vlaue (Cr)'!$C:$FB,93)</f>
        <v>-412</v>
      </c>
      <c r="J165" s="92">
        <f>VLOOKUP($A165,'Data Vlaue (Cr)'!$C:$FB,94)</f>
        <v>-0.4587</v>
      </c>
      <c r="K165" s="91">
        <f>VLOOKUP($A165,'Data Vlaue (Cr)'!$C:$FB,95)</f>
        <v>430</v>
      </c>
      <c r="L165" s="91">
        <f>VLOOKUP($A165,'Data Vlaue (Cr)'!$C:$FB,97)</f>
        <v>-343</v>
      </c>
      <c r="M165" s="92">
        <f>VLOOKUP($A165,'Data Vlaue (Cr)'!$C:$FB,98)</f>
        <v>-0.44390000000000002</v>
      </c>
      <c r="N165" s="91">
        <f>VLOOKUP($A165,'Data Vlaue (Cr)'!$C:$FB,79)</f>
        <v>234</v>
      </c>
      <c r="O165" s="92">
        <f>VLOOKUP($A165,'Data Vlaue (Cr)'!$C:$FB,82)</f>
        <v>-0.7016</v>
      </c>
    </row>
    <row r="166" spans="1:15" x14ac:dyDescent="0.25">
      <c r="A166" s="97" t="str">
        <f>'Data Vlaue (Cr)'!C161</f>
        <v>NTPC</v>
      </c>
      <c r="B166" s="142">
        <f>VLOOKUP(A166,'Data Vlaue (Cr)'!C161:CW390,99,0)</f>
        <v>4169</v>
      </c>
      <c r="C166" s="90">
        <f>VLOOKUP(A166,'Data Vlaue (Cr)'!C161:CY390,101,0)</f>
        <v>-2893</v>
      </c>
      <c r="D166" s="139">
        <f>VLOOKUP(A166,'Data Vlaue (Cr)'!C161:CZ390,102,0)</f>
        <v>-0.40970000000000001</v>
      </c>
      <c r="E166" s="91">
        <f>VLOOKUP($A166,'Data Vlaue (Cr)'!$C:$FB,75)</f>
        <v>3465</v>
      </c>
      <c r="F166" s="91">
        <f>VLOOKUP($A166,'Data Vlaue (Cr)'!$C:$FB,77)</f>
        <v>-274</v>
      </c>
      <c r="G166" s="92">
        <f>VLOOKUP(A166,'Data Vlaue (Cr)'!C161:CB390,78,0)</f>
        <v>-7.3400000000000007E-2</v>
      </c>
      <c r="H166" s="91">
        <f>VLOOKUP($A166,'Data Vlaue (Cr)'!$C:$FB,91)</f>
        <v>374</v>
      </c>
      <c r="I166" s="91">
        <f>VLOOKUP($A166,'Data Vlaue (Cr)'!$C:$FB,93)</f>
        <v>-2157</v>
      </c>
      <c r="J166" s="92">
        <f>VLOOKUP($A166,'Data Vlaue (Cr)'!$C:$FB,94)</f>
        <v>-0.85229999999999995</v>
      </c>
      <c r="K166" s="91">
        <f>VLOOKUP($A166,'Data Vlaue (Cr)'!$C:$FB,95)</f>
        <v>330</v>
      </c>
      <c r="L166" s="91">
        <f>VLOOKUP($A166,'Data Vlaue (Cr)'!$C:$FB,97)</f>
        <v>-462</v>
      </c>
      <c r="M166" s="92">
        <f>VLOOKUP($A166,'Data Vlaue (Cr)'!$C:$FB,98)</f>
        <v>-0.58320000000000005</v>
      </c>
      <c r="N166" s="91">
        <f>VLOOKUP($A166,'Data Vlaue (Cr)'!$C:$FB,79)</f>
        <v>152</v>
      </c>
      <c r="O166" s="92">
        <f>VLOOKUP($A166,'Data Vlaue (Cr)'!$C:$FB,82)</f>
        <v>-0.63349999999999995</v>
      </c>
    </row>
    <row r="167" spans="1:15" x14ac:dyDescent="0.25">
      <c r="A167" s="97" t="str">
        <f>'Data Vlaue (Cr)'!C162</f>
        <v>NYKAA</v>
      </c>
      <c r="B167" s="142">
        <f>VLOOKUP(A167,'Data Vlaue (Cr)'!C162:CW391,99,0)</f>
        <v>1106</v>
      </c>
      <c r="C167" s="90">
        <f>VLOOKUP(A167,'Data Vlaue (Cr)'!C162:CY391,101,0)</f>
        <v>-598</v>
      </c>
      <c r="D167" s="139">
        <f>VLOOKUP(A167,'Data Vlaue (Cr)'!C162:CZ391,102,0)</f>
        <v>-0.35089999999999999</v>
      </c>
      <c r="E167" s="91">
        <f>VLOOKUP($A167,'Data Vlaue (Cr)'!$C:$FB,75)</f>
        <v>985</v>
      </c>
      <c r="F167" s="91">
        <f>VLOOKUP($A167,'Data Vlaue (Cr)'!$C:$FB,77)</f>
        <v>-214</v>
      </c>
      <c r="G167" s="92">
        <f>VLOOKUP(A167,'Data Vlaue (Cr)'!C162:CB391,78,0)</f>
        <v>-0.17860000000000001</v>
      </c>
      <c r="H167" s="91">
        <f>VLOOKUP($A167,'Data Vlaue (Cr)'!$C:$FB,91)</f>
        <v>79</v>
      </c>
      <c r="I167" s="91">
        <f>VLOOKUP($A167,'Data Vlaue (Cr)'!$C:$FB,93)</f>
        <v>-237</v>
      </c>
      <c r="J167" s="92">
        <f>VLOOKUP($A167,'Data Vlaue (Cr)'!$C:$FB,94)</f>
        <v>-0.749</v>
      </c>
      <c r="K167" s="91">
        <f>VLOOKUP($A167,'Data Vlaue (Cr)'!$C:$FB,95)</f>
        <v>41</v>
      </c>
      <c r="L167" s="91">
        <f>VLOOKUP($A167,'Data Vlaue (Cr)'!$C:$FB,97)</f>
        <v>-146</v>
      </c>
      <c r="M167" s="92">
        <f>VLOOKUP($A167,'Data Vlaue (Cr)'!$C:$FB,98)</f>
        <v>-0.78139999999999998</v>
      </c>
      <c r="N167" s="91">
        <f>VLOOKUP($A167,'Data Vlaue (Cr)'!$C:$FB,79)</f>
        <v>126</v>
      </c>
      <c r="O167" s="92">
        <f>VLOOKUP($A167,'Data Vlaue (Cr)'!$C:$FB,82)</f>
        <v>-0.4748</v>
      </c>
    </row>
    <row r="168" spans="1:15" x14ac:dyDescent="0.25">
      <c r="A168" s="97" t="str">
        <f>'Data Vlaue (Cr)'!C163</f>
        <v>OBEROIRLTY</v>
      </c>
      <c r="B168" s="142">
        <f>VLOOKUP(A168,'Data Vlaue (Cr)'!C163:CW392,99,0)</f>
        <v>1052</v>
      </c>
      <c r="C168" s="90">
        <f>VLOOKUP(A168,'Data Vlaue (Cr)'!C163:CY392,101,0)</f>
        <v>-621</v>
      </c>
      <c r="D168" s="139">
        <f>VLOOKUP(A168,'Data Vlaue (Cr)'!C163:CZ392,102,0)</f>
        <v>-0.37109999999999999</v>
      </c>
      <c r="E168" s="91">
        <f>VLOOKUP($A168,'Data Vlaue (Cr)'!$C:$FB,75)</f>
        <v>834</v>
      </c>
      <c r="F168" s="91">
        <f>VLOOKUP($A168,'Data Vlaue (Cr)'!$C:$FB,77)</f>
        <v>-104</v>
      </c>
      <c r="G168" s="92">
        <f>VLOOKUP(A168,'Data Vlaue (Cr)'!C163:CB392,78,0)</f>
        <v>-0.11070000000000001</v>
      </c>
      <c r="H168" s="91">
        <f>VLOOKUP($A168,'Data Vlaue (Cr)'!$C:$FB,91)</f>
        <v>108</v>
      </c>
      <c r="I168" s="91">
        <f>VLOOKUP($A168,'Data Vlaue (Cr)'!$C:$FB,93)</f>
        <v>-377</v>
      </c>
      <c r="J168" s="92">
        <f>VLOOKUP($A168,'Data Vlaue (Cr)'!$C:$FB,94)</f>
        <v>-0.77680000000000005</v>
      </c>
      <c r="K168" s="91">
        <f>VLOOKUP($A168,'Data Vlaue (Cr)'!$C:$FB,95)</f>
        <v>110</v>
      </c>
      <c r="L168" s="91">
        <f>VLOOKUP($A168,'Data Vlaue (Cr)'!$C:$FB,97)</f>
        <v>-140</v>
      </c>
      <c r="M168" s="92">
        <f>VLOOKUP($A168,'Data Vlaue (Cr)'!$C:$FB,98)</f>
        <v>-0.55979999999999996</v>
      </c>
      <c r="N168" s="91">
        <f>VLOOKUP($A168,'Data Vlaue (Cr)'!$C:$FB,79)</f>
        <v>99</v>
      </c>
      <c r="O168" s="92">
        <f>VLOOKUP($A168,'Data Vlaue (Cr)'!$C:$FB,82)</f>
        <v>-0.53390000000000004</v>
      </c>
    </row>
    <row r="169" spans="1:15" x14ac:dyDescent="0.25">
      <c r="A169" s="97" t="str">
        <f>'Data Vlaue (Cr)'!C164</f>
        <v>OFSS</v>
      </c>
      <c r="B169" s="142">
        <f>VLOOKUP(A169,'Data Vlaue (Cr)'!C164:CW393,99,0)</f>
        <v>1141</v>
      </c>
      <c r="C169" s="90">
        <f>VLOOKUP(A169,'Data Vlaue (Cr)'!C164:CY393,101,0)</f>
        <v>-719</v>
      </c>
      <c r="D169" s="139">
        <f>VLOOKUP(A169,'Data Vlaue (Cr)'!C164:CZ393,102,0)</f>
        <v>-0.38650000000000001</v>
      </c>
      <c r="E169" s="91">
        <f>VLOOKUP($A169,'Data Vlaue (Cr)'!$C:$FB,75)</f>
        <v>846</v>
      </c>
      <c r="F169" s="91">
        <f>VLOOKUP($A169,'Data Vlaue (Cr)'!$C:$FB,77)</f>
        <v>-128</v>
      </c>
      <c r="G169" s="92">
        <f>VLOOKUP(A169,'Data Vlaue (Cr)'!C164:CB393,78,0)</f>
        <v>-0.1318</v>
      </c>
      <c r="H169" s="91">
        <f>VLOOKUP($A169,'Data Vlaue (Cr)'!$C:$FB,91)</f>
        <v>183</v>
      </c>
      <c r="I169" s="91">
        <f>VLOOKUP($A169,'Data Vlaue (Cr)'!$C:$FB,93)</f>
        <v>-381</v>
      </c>
      <c r="J169" s="92">
        <f>VLOOKUP($A169,'Data Vlaue (Cr)'!$C:$FB,94)</f>
        <v>-0.67530000000000001</v>
      </c>
      <c r="K169" s="91">
        <f>VLOOKUP($A169,'Data Vlaue (Cr)'!$C:$FB,95)</f>
        <v>112</v>
      </c>
      <c r="L169" s="91">
        <f>VLOOKUP($A169,'Data Vlaue (Cr)'!$C:$FB,97)</f>
        <v>-210</v>
      </c>
      <c r="M169" s="92">
        <f>VLOOKUP($A169,'Data Vlaue (Cr)'!$C:$FB,98)</f>
        <v>-0.65159999999999996</v>
      </c>
      <c r="N169" s="91">
        <f>VLOOKUP($A169,'Data Vlaue (Cr)'!$C:$FB,79)</f>
        <v>90</v>
      </c>
      <c r="O169" s="92">
        <f>VLOOKUP($A169,'Data Vlaue (Cr)'!$C:$FB,82)</f>
        <v>-0.6452</v>
      </c>
    </row>
    <row r="170" spans="1:15" x14ac:dyDescent="0.25">
      <c r="A170" s="97" t="str">
        <f>'Data Vlaue (Cr)'!C165</f>
        <v>OIL</v>
      </c>
      <c r="B170" s="142">
        <f>VLOOKUP(A170,'Data Vlaue (Cr)'!C165:CW394,99,0)</f>
        <v>553</v>
      </c>
      <c r="C170" s="90">
        <f>VLOOKUP(A170,'Data Vlaue (Cr)'!C165:CY394,101,0)</f>
        <v>-488</v>
      </c>
      <c r="D170" s="139">
        <f>VLOOKUP(A170,'Data Vlaue (Cr)'!C165:CZ394,102,0)</f>
        <v>-0.46889999999999998</v>
      </c>
      <c r="E170" s="91">
        <f>VLOOKUP($A170,'Data Vlaue (Cr)'!$C:$FB,75)</f>
        <v>450</v>
      </c>
      <c r="F170" s="91">
        <f>VLOOKUP($A170,'Data Vlaue (Cr)'!$C:$FB,77)</f>
        <v>-154</v>
      </c>
      <c r="G170" s="92">
        <f>VLOOKUP(A170,'Data Vlaue (Cr)'!C165:CB394,78,0)</f>
        <v>-0.25540000000000002</v>
      </c>
      <c r="H170" s="91">
        <f>VLOOKUP($A170,'Data Vlaue (Cr)'!$C:$FB,91)</f>
        <v>61</v>
      </c>
      <c r="I170" s="91">
        <f>VLOOKUP($A170,'Data Vlaue (Cr)'!$C:$FB,93)</f>
        <v>-207</v>
      </c>
      <c r="J170" s="92">
        <f>VLOOKUP($A170,'Data Vlaue (Cr)'!$C:$FB,94)</f>
        <v>-0.77180000000000004</v>
      </c>
      <c r="K170" s="91">
        <f>VLOOKUP($A170,'Data Vlaue (Cr)'!$C:$FB,95)</f>
        <v>41</v>
      </c>
      <c r="L170" s="91">
        <f>VLOOKUP($A170,'Data Vlaue (Cr)'!$C:$FB,97)</f>
        <v>-126</v>
      </c>
      <c r="M170" s="92">
        <f>VLOOKUP($A170,'Data Vlaue (Cr)'!$C:$FB,98)</f>
        <v>-0.75429999999999997</v>
      </c>
      <c r="N170" s="91">
        <f>VLOOKUP($A170,'Data Vlaue (Cr)'!$C:$FB,79)</f>
        <v>118</v>
      </c>
      <c r="O170" s="92">
        <f>VLOOKUP($A170,'Data Vlaue (Cr)'!$C:$FB,82)</f>
        <v>-0.40649999999999997</v>
      </c>
    </row>
    <row r="171" spans="1:15" x14ac:dyDescent="0.25">
      <c r="A171" s="97" t="str">
        <f>'Data Vlaue (Cr)'!C166</f>
        <v>ONGC</v>
      </c>
      <c r="B171" s="142">
        <f>VLOOKUP(A171,'Data Vlaue (Cr)'!C166:CW395,99,0)</f>
        <v>2672</v>
      </c>
      <c r="C171" s="90">
        <f>VLOOKUP(A171,'Data Vlaue (Cr)'!C166:CY395,101,0)</f>
        <v>-1962</v>
      </c>
      <c r="D171" s="139">
        <f>VLOOKUP(A171,'Data Vlaue (Cr)'!C166:CZ395,102,0)</f>
        <v>-0.4234</v>
      </c>
      <c r="E171" s="91">
        <f>VLOOKUP($A171,'Data Vlaue (Cr)'!$C:$FB,75)</f>
        <v>2107</v>
      </c>
      <c r="F171" s="91">
        <f>VLOOKUP($A171,'Data Vlaue (Cr)'!$C:$FB,77)</f>
        <v>-280</v>
      </c>
      <c r="G171" s="92">
        <f>VLOOKUP(A171,'Data Vlaue (Cr)'!C166:CB395,78,0)</f>
        <v>-0.1173</v>
      </c>
      <c r="H171" s="91">
        <f>VLOOKUP($A171,'Data Vlaue (Cr)'!$C:$FB,91)</f>
        <v>297</v>
      </c>
      <c r="I171" s="91">
        <f>VLOOKUP($A171,'Data Vlaue (Cr)'!$C:$FB,93)</f>
        <v>-1436</v>
      </c>
      <c r="J171" s="92">
        <f>VLOOKUP($A171,'Data Vlaue (Cr)'!$C:$FB,94)</f>
        <v>-0.82869999999999999</v>
      </c>
      <c r="K171" s="91">
        <f>VLOOKUP($A171,'Data Vlaue (Cr)'!$C:$FB,95)</f>
        <v>268</v>
      </c>
      <c r="L171" s="91">
        <f>VLOOKUP($A171,'Data Vlaue (Cr)'!$C:$FB,97)</f>
        <v>-246</v>
      </c>
      <c r="M171" s="92">
        <f>VLOOKUP($A171,'Data Vlaue (Cr)'!$C:$FB,98)</f>
        <v>-0.47860000000000003</v>
      </c>
      <c r="N171" s="91">
        <f>VLOOKUP($A171,'Data Vlaue (Cr)'!$C:$FB,79)</f>
        <v>273</v>
      </c>
      <c r="O171" s="92">
        <f>VLOOKUP($A171,'Data Vlaue (Cr)'!$C:$FB,82)</f>
        <v>-0.57650000000000001</v>
      </c>
    </row>
    <row r="172" spans="1:15" x14ac:dyDescent="0.25">
      <c r="A172" s="97" t="str">
        <f>'Data Vlaue (Cr)'!C167</f>
        <v>PAGEIND</v>
      </c>
      <c r="B172" s="142">
        <f>VLOOKUP(A172,'Data Vlaue (Cr)'!C167:CW396,99,0)</f>
        <v>1355</v>
      </c>
      <c r="C172" s="90">
        <f>VLOOKUP(A172,'Data Vlaue (Cr)'!C167:CY396,101,0)</f>
        <v>-469</v>
      </c>
      <c r="D172" s="139">
        <f>VLOOKUP(A172,'Data Vlaue (Cr)'!C167:CZ396,102,0)</f>
        <v>-0.2571</v>
      </c>
      <c r="E172" s="91">
        <f>VLOOKUP($A172,'Data Vlaue (Cr)'!$C:$FB,75)</f>
        <v>1292</v>
      </c>
      <c r="F172" s="91">
        <f>VLOOKUP($A172,'Data Vlaue (Cr)'!$C:$FB,77)</f>
        <v>-157</v>
      </c>
      <c r="G172" s="92">
        <f>VLOOKUP(A172,'Data Vlaue (Cr)'!C167:CB396,78,0)</f>
        <v>-0.1084</v>
      </c>
      <c r="H172" s="91">
        <f>VLOOKUP($A172,'Data Vlaue (Cr)'!$C:$FB,91)</f>
        <v>49</v>
      </c>
      <c r="I172" s="91">
        <f>VLOOKUP($A172,'Data Vlaue (Cr)'!$C:$FB,93)</f>
        <v>-216</v>
      </c>
      <c r="J172" s="92">
        <f>VLOOKUP($A172,'Data Vlaue (Cr)'!$C:$FB,94)</f>
        <v>-0.81489999999999996</v>
      </c>
      <c r="K172" s="91">
        <f>VLOOKUP($A172,'Data Vlaue (Cr)'!$C:$FB,95)</f>
        <v>14</v>
      </c>
      <c r="L172" s="91">
        <f>VLOOKUP($A172,'Data Vlaue (Cr)'!$C:$FB,97)</f>
        <v>-96</v>
      </c>
      <c r="M172" s="92">
        <f>VLOOKUP($A172,'Data Vlaue (Cr)'!$C:$FB,98)</f>
        <v>-0.87209999999999999</v>
      </c>
      <c r="N172" s="91">
        <f>VLOOKUP($A172,'Data Vlaue (Cr)'!$C:$FB,79)</f>
        <v>164</v>
      </c>
      <c r="O172" s="92">
        <f>VLOOKUP($A172,'Data Vlaue (Cr)'!$C:$FB,82)</f>
        <v>-0.31830000000000003</v>
      </c>
    </row>
    <row r="173" spans="1:15" x14ac:dyDescent="0.25">
      <c r="A173" s="97" t="str">
        <f>'Data Vlaue (Cr)'!C168</f>
        <v>PATANJALI</v>
      </c>
      <c r="B173" s="142">
        <f>VLOOKUP(A173,'Data Vlaue (Cr)'!C168:CW397,99,0)</f>
        <v>2068</v>
      </c>
      <c r="C173" s="90">
        <f>VLOOKUP(A173,'Data Vlaue (Cr)'!C168:CY397,101,0)</f>
        <v>-1046</v>
      </c>
      <c r="D173" s="139">
        <f>VLOOKUP(A173,'Data Vlaue (Cr)'!C168:CZ397,102,0)</f>
        <v>-0.33600000000000002</v>
      </c>
      <c r="E173" s="91">
        <f>VLOOKUP($A173,'Data Vlaue (Cr)'!$C:$FB,75)</f>
        <v>1858</v>
      </c>
      <c r="F173" s="91">
        <f>VLOOKUP($A173,'Data Vlaue (Cr)'!$C:$FB,77)</f>
        <v>-157</v>
      </c>
      <c r="G173" s="92">
        <f>VLOOKUP(A173,'Data Vlaue (Cr)'!C168:CB397,78,0)</f>
        <v>-7.8E-2</v>
      </c>
      <c r="H173" s="91">
        <f>VLOOKUP($A173,'Data Vlaue (Cr)'!$C:$FB,91)</f>
        <v>133</v>
      </c>
      <c r="I173" s="91">
        <f>VLOOKUP($A173,'Data Vlaue (Cr)'!$C:$FB,93)</f>
        <v>-563</v>
      </c>
      <c r="J173" s="92">
        <f>VLOOKUP($A173,'Data Vlaue (Cr)'!$C:$FB,94)</f>
        <v>-0.8085</v>
      </c>
      <c r="K173" s="91">
        <f>VLOOKUP($A173,'Data Vlaue (Cr)'!$C:$FB,95)</f>
        <v>76</v>
      </c>
      <c r="L173" s="91">
        <f>VLOOKUP($A173,'Data Vlaue (Cr)'!$C:$FB,97)</f>
        <v>-327</v>
      </c>
      <c r="M173" s="92">
        <f>VLOOKUP($A173,'Data Vlaue (Cr)'!$C:$FB,98)</f>
        <v>-0.81110000000000004</v>
      </c>
      <c r="N173" s="91">
        <f>VLOOKUP($A173,'Data Vlaue (Cr)'!$C:$FB,79)</f>
        <v>210</v>
      </c>
      <c r="O173" s="92">
        <f>VLOOKUP($A173,'Data Vlaue (Cr)'!$C:$FB,82)</f>
        <v>-0.66169999999999995</v>
      </c>
    </row>
    <row r="174" spans="1:15" x14ac:dyDescent="0.25">
      <c r="A174" s="97" t="str">
        <f>'Data Vlaue (Cr)'!C169</f>
        <v>PAYTM</v>
      </c>
      <c r="B174" s="142">
        <f>VLOOKUP(A174,'Data Vlaue (Cr)'!C169:CW398,99,0)</f>
        <v>3257</v>
      </c>
      <c r="C174" s="90">
        <f>VLOOKUP(A174,'Data Vlaue (Cr)'!C169:CY398,101,0)</f>
        <v>-1624</v>
      </c>
      <c r="D174" s="139">
        <f>VLOOKUP(A174,'Data Vlaue (Cr)'!C169:CZ398,102,0)</f>
        <v>-0.3327</v>
      </c>
      <c r="E174" s="91">
        <f>VLOOKUP($A174,'Data Vlaue (Cr)'!$C:$FB,75)</f>
        <v>2427</v>
      </c>
      <c r="F174" s="91">
        <f>VLOOKUP($A174,'Data Vlaue (Cr)'!$C:$FB,77)</f>
        <v>-271</v>
      </c>
      <c r="G174" s="92">
        <f>VLOOKUP(A174,'Data Vlaue (Cr)'!C169:CB398,78,0)</f>
        <v>-0.10059999999999999</v>
      </c>
      <c r="H174" s="91">
        <f>VLOOKUP($A174,'Data Vlaue (Cr)'!$C:$FB,91)</f>
        <v>487</v>
      </c>
      <c r="I174" s="91">
        <f>VLOOKUP($A174,'Data Vlaue (Cr)'!$C:$FB,93)</f>
        <v>-782</v>
      </c>
      <c r="J174" s="92">
        <f>VLOOKUP($A174,'Data Vlaue (Cr)'!$C:$FB,94)</f>
        <v>-0.61629999999999996</v>
      </c>
      <c r="K174" s="91">
        <f>VLOOKUP($A174,'Data Vlaue (Cr)'!$C:$FB,95)</f>
        <v>343</v>
      </c>
      <c r="L174" s="91">
        <f>VLOOKUP($A174,'Data Vlaue (Cr)'!$C:$FB,97)</f>
        <v>-570</v>
      </c>
      <c r="M174" s="92">
        <f>VLOOKUP($A174,'Data Vlaue (Cr)'!$C:$FB,98)</f>
        <v>-0.62460000000000004</v>
      </c>
      <c r="N174" s="91">
        <f>VLOOKUP($A174,'Data Vlaue (Cr)'!$C:$FB,79)</f>
        <v>264</v>
      </c>
      <c r="O174" s="92">
        <f>VLOOKUP($A174,'Data Vlaue (Cr)'!$C:$FB,82)</f>
        <v>-0.38500000000000001</v>
      </c>
    </row>
    <row r="175" spans="1:15" x14ac:dyDescent="0.25">
      <c r="A175" s="97" t="str">
        <f>'Data Vlaue (Cr)'!C170</f>
        <v>PEL</v>
      </c>
      <c r="B175" s="142">
        <f>VLOOKUP(A175,'Data Vlaue (Cr)'!C170:CW399,99,0)</f>
        <v>0</v>
      </c>
      <c r="C175" s="90">
        <f>VLOOKUP(A175,'Data Vlaue (Cr)'!C170:CY399,101,0)</f>
        <v>0</v>
      </c>
      <c r="D175" s="139">
        <f>VLOOKUP(A175,'Data Vlaue (Cr)'!C170:CZ399,102,0)</f>
        <v>-0.52649999999999997</v>
      </c>
      <c r="E175" s="91">
        <f>VLOOKUP($A175,'Data Vlaue (Cr)'!$C:$FB,75)</f>
        <v>0</v>
      </c>
      <c r="F175" s="91">
        <f>VLOOKUP($A175,'Data Vlaue (Cr)'!$C:$FB,77)</f>
        <v>0</v>
      </c>
      <c r="G175" s="92">
        <f>VLOOKUP(A175,'Data Vlaue (Cr)'!C170:CB399,78,0)</f>
        <v>-1</v>
      </c>
      <c r="H175" s="91">
        <f>VLOOKUP($A175,'Data Vlaue (Cr)'!$C:$FB,91)</f>
        <v>0</v>
      </c>
      <c r="I175" s="91">
        <f>VLOOKUP($A175,'Data Vlaue (Cr)'!$C:$FB,93)</f>
        <v>0</v>
      </c>
      <c r="J175" s="92">
        <f>VLOOKUP($A175,'Data Vlaue (Cr)'!$C:$FB,94)</f>
        <v>-0.31850000000000001</v>
      </c>
      <c r="K175" s="91">
        <f>VLOOKUP($A175,'Data Vlaue (Cr)'!$C:$FB,95)</f>
        <v>0</v>
      </c>
      <c r="L175" s="91">
        <f>VLOOKUP($A175,'Data Vlaue (Cr)'!$C:$FB,97)</f>
        <v>0</v>
      </c>
      <c r="M175" s="92">
        <f>VLOOKUP($A175,'Data Vlaue (Cr)'!$C:$FB,98)</f>
        <v>-0.224</v>
      </c>
      <c r="N175" s="91">
        <f>VLOOKUP($A175,'Data Vlaue (Cr)'!$C:$FB,79)</f>
        <v>0</v>
      </c>
      <c r="O175" s="92">
        <f>VLOOKUP($A175,'Data Vlaue (Cr)'!$C:$FB,82)</f>
        <v>-0.26929999999999998</v>
      </c>
    </row>
    <row r="176" spans="1:15" x14ac:dyDescent="0.25">
      <c r="A176" s="97" t="str">
        <f>'Data Vlaue (Cr)'!C171</f>
        <v>PERSISTENT</v>
      </c>
      <c r="B176" s="142">
        <f>VLOOKUP(A176,'Data Vlaue (Cr)'!C171:CW400,99,0)</f>
        <v>2518</v>
      </c>
      <c r="C176" s="90">
        <f>VLOOKUP(A176,'Data Vlaue (Cr)'!C171:CY400,101,0)</f>
        <v>-1341</v>
      </c>
      <c r="D176" s="139">
        <f>VLOOKUP(A176,'Data Vlaue (Cr)'!C171:CZ400,102,0)</f>
        <v>-0.34760000000000002</v>
      </c>
      <c r="E176" s="91">
        <f>VLOOKUP($A176,'Data Vlaue (Cr)'!$C:$FB,75)</f>
        <v>1536</v>
      </c>
      <c r="F176" s="91">
        <f>VLOOKUP($A176,'Data Vlaue (Cr)'!$C:$FB,77)</f>
        <v>-245</v>
      </c>
      <c r="G176" s="92">
        <f>VLOOKUP(A176,'Data Vlaue (Cr)'!C171:CB400,78,0)</f>
        <v>-0.1376</v>
      </c>
      <c r="H176" s="91">
        <f>VLOOKUP($A176,'Data Vlaue (Cr)'!$C:$FB,91)</f>
        <v>650</v>
      </c>
      <c r="I176" s="91">
        <f>VLOOKUP($A176,'Data Vlaue (Cr)'!$C:$FB,93)</f>
        <v>-767</v>
      </c>
      <c r="J176" s="92">
        <f>VLOOKUP($A176,'Data Vlaue (Cr)'!$C:$FB,94)</f>
        <v>-0.54139999999999999</v>
      </c>
      <c r="K176" s="91">
        <f>VLOOKUP($A176,'Data Vlaue (Cr)'!$C:$FB,95)</f>
        <v>332</v>
      </c>
      <c r="L176" s="91">
        <f>VLOOKUP($A176,'Data Vlaue (Cr)'!$C:$FB,97)</f>
        <v>-329</v>
      </c>
      <c r="M176" s="92">
        <f>VLOOKUP($A176,'Data Vlaue (Cr)'!$C:$FB,98)</f>
        <v>-0.49780000000000002</v>
      </c>
      <c r="N176" s="91">
        <f>VLOOKUP($A176,'Data Vlaue (Cr)'!$C:$FB,79)</f>
        <v>213</v>
      </c>
      <c r="O176" s="92">
        <f>VLOOKUP($A176,'Data Vlaue (Cr)'!$C:$FB,82)</f>
        <v>-0.5081</v>
      </c>
    </row>
    <row r="177" spans="1:15" x14ac:dyDescent="0.25">
      <c r="A177" s="97" t="str">
        <f>'Data Vlaue (Cr)'!C172</f>
        <v>PETRONET</v>
      </c>
      <c r="B177" s="142">
        <f>VLOOKUP(A177,'Data Vlaue (Cr)'!C172:CW401,99,0)</f>
        <v>1564</v>
      </c>
      <c r="C177" s="90">
        <f>VLOOKUP(A177,'Data Vlaue (Cr)'!C172:CY401,101,0)</f>
        <v>-298</v>
      </c>
      <c r="D177" s="139">
        <f>VLOOKUP(A177,'Data Vlaue (Cr)'!C172:CZ401,102,0)</f>
        <v>-0.16009999999999999</v>
      </c>
      <c r="E177" s="91">
        <f>VLOOKUP($A177,'Data Vlaue (Cr)'!$C:$FB,75)</f>
        <v>1090</v>
      </c>
      <c r="F177" s="91">
        <f>VLOOKUP($A177,'Data Vlaue (Cr)'!$C:$FB,77)</f>
        <v>-12</v>
      </c>
      <c r="G177" s="92">
        <f>VLOOKUP(A177,'Data Vlaue (Cr)'!C172:CB401,78,0)</f>
        <v>-1.1299999999999999E-2</v>
      </c>
      <c r="H177" s="91">
        <f>VLOOKUP($A177,'Data Vlaue (Cr)'!$C:$FB,91)</f>
        <v>263</v>
      </c>
      <c r="I177" s="91">
        <f>VLOOKUP($A177,'Data Vlaue (Cr)'!$C:$FB,93)</f>
        <v>-189</v>
      </c>
      <c r="J177" s="92">
        <f>VLOOKUP($A177,'Data Vlaue (Cr)'!$C:$FB,94)</f>
        <v>-0.41799999999999998</v>
      </c>
      <c r="K177" s="91">
        <f>VLOOKUP($A177,'Data Vlaue (Cr)'!$C:$FB,95)</f>
        <v>211</v>
      </c>
      <c r="L177" s="91">
        <f>VLOOKUP($A177,'Data Vlaue (Cr)'!$C:$FB,97)</f>
        <v>-96</v>
      </c>
      <c r="M177" s="92">
        <f>VLOOKUP($A177,'Data Vlaue (Cr)'!$C:$FB,98)</f>
        <v>-0.31390000000000001</v>
      </c>
      <c r="N177" s="91">
        <f>VLOOKUP($A177,'Data Vlaue (Cr)'!$C:$FB,79)</f>
        <v>85</v>
      </c>
      <c r="O177" s="92">
        <f>VLOOKUP($A177,'Data Vlaue (Cr)'!$C:$FB,82)</f>
        <v>-0.4839</v>
      </c>
    </row>
    <row r="178" spans="1:15" x14ac:dyDescent="0.25">
      <c r="A178" s="97" t="str">
        <f>'Data Vlaue (Cr)'!C173</f>
        <v>PFC</v>
      </c>
      <c r="B178" s="142">
        <f>VLOOKUP(A178,'Data Vlaue (Cr)'!C173:CW402,99,0)</f>
        <v>3008</v>
      </c>
      <c r="C178" s="90">
        <f>VLOOKUP(A178,'Data Vlaue (Cr)'!C173:CY402,101,0)</f>
        <v>-903</v>
      </c>
      <c r="D178" s="139">
        <f>VLOOKUP(A178,'Data Vlaue (Cr)'!C173:CZ402,102,0)</f>
        <v>-0.23100000000000001</v>
      </c>
      <c r="E178" s="91">
        <f>VLOOKUP($A178,'Data Vlaue (Cr)'!$C:$FB,75)</f>
        <v>1990</v>
      </c>
      <c r="F178" s="91">
        <f>VLOOKUP($A178,'Data Vlaue (Cr)'!$C:$FB,77)</f>
        <v>-299</v>
      </c>
      <c r="G178" s="92">
        <f>VLOOKUP(A178,'Data Vlaue (Cr)'!C173:CB402,78,0)</f>
        <v>-0.13070000000000001</v>
      </c>
      <c r="H178" s="91">
        <f>VLOOKUP($A178,'Data Vlaue (Cr)'!$C:$FB,91)</f>
        <v>500</v>
      </c>
      <c r="I178" s="91">
        <f>VLOOKUP($A178,'Data Vlaue (Cr)'!$C:$FB,93)</f>
        <v>-415</v>
      </c>
      <c r="J178" s="92">
        <f>VLOOKUP($A178,'Data Vlaue (Cr)'!$C:$FB,94)</f>
        <v>-0.45369999999999999</v>
      </c>
      <c r="K178" s="91">
        <f>VLOOKUP($A178,'Data Vlaue (Cr)'!$C:$FB,95)</f>
        <v>518</v>
      </c>
      <c r="L178" s="91">
        <f>VLOOKUP($A178,'Data Vlaue (Cr)'!$C:$FB,97)</f>
        <v>-189</v>
      </c>
      <c r="M178" s="92">
        <f>VLOOKUP($A178,'Data Vlaue (Cr)'!$C:$FB,98)</f>
        <v>-0.26740000000000003</v>
      </c>
      <c r="N178" s="91">
        <f>VLOOKUP($A178,'Data Vlaue (Cr)'!$C:$FB,79)</f>
        <v>251</v>
      </c>
      <c r="O178" s="92">
        <f>VLOOKUP($A178,'Data Vlaue (Cr)'!$C:$FB,82)</f>
        <v>-0.5968</v>
      </c>
    </row>
    <row r="179" spans="1:15" x14ac:dyDescent="0.25">
      <c r="A179" s="97" t="str">
        <f>'Data Vlaue (Cr)'!C174</f>
        <v>PGEL</v>
      </c>
      <c r="B179" s="142">
        <f>VLOOKUP(A179,'Data Vlaue (Cr)'!C174:CW403,99,0)</f>
        <v>656</v>
      </c>
      <c r="C179" s="90">
        <f>VLOOKUP(A179,'Data Vlaue (Cr)'!C174:CY403,101,0)</f>
        <v>-105</v>
      </c>
      <c r="D179" s="139">
        <f>VLOOKUP(A179,'Data Vlaue (Cr)'!C174:CZ403,102,0)</f>
        <v>-0.13769999999999999</v>
      </c>
      <c r="E179" s="91">
        <f>VLOOKUP($A179,'Data Vlaue (Cr)'!$C:$FB,75)</f>
        <v>563</v>
      </c>
      <c r="F179" s="91">
        <f>VLOOKUP($A179,'Data Vlaue (Cr)'!$C:$FB,77)</f>
        <v>12</v>
      </c>
      <c r="G179" s="92">
        <f>VLOOKUP(A179,'Data Vlaue (Cr)'!C174:CB403,78,0)</f>
        <v>2.2599999999999999E-2</v>
      </c>
      <c r="H179" s="91">
        <f>VLOOKUP($A179,'Data Vlaue (Cr)'!$C:$FB,91)</f>
        <v>66</v>
      </c>
      <c r="I179" s="91">
        <f>VLOOKUP($A179,'Data Vlaue (Cr)'!$C:$FB,93)</f>
        <v>-70</v>
      </c>
      <c r="J179" s="92">
        <f>VLOOKUP($A179,'Data Vlaue (Cr)'!$C:$FB,94)</f>
        <v>-0.5141</v>
      </c>
      <c r="K179" s="91">
        <f>VLOOKUP($A179,'Data Vlaue (Cr)'!$C:$FB,95)</f>
        <v>28</v>
      </c>
      <c r="L179" s="91">
        <f>VLOOKUP($A179,'Data Vlaue (Cr)'!$C:$FB,97)</f>
        <v>-48</v>
      </c>
      <c r="M179" s="92">
        <f>VLOOKUP($A179,'Data Vlaue (Cr)'!$C:$FB,98)</f>
        <v>-0.62970000000000004</v>
      </c>
      <c r="N179" s="91">
        <f>VLOOKUP($A179,'Data Vlaue (Cr)'!$C:$FB,79)</f>
        <v>17</v>
      </c>
      <c r="O179" s="92">
        <f>VLOOKUP($A179,'Data Vlaue (Cr)'!$C:$FB,82)</f>
        <v>-0.83120000000000005</v>
      </c>
    </row>
    <row r="180" spans="1:15" x14ac:dyDescent="0.25">
      <c r="A180" s="97" t="str">
        <f>'Data Vlaue (Cr)'!C175</f>
        <v>PHOENIXLTD</v>
      </c>
      <c r="B180" s="142">
        <f>VLOOKUP(A180,'Data Vlaue (Cr)'!C175:CW404,99,0)</f>
        <v>668</v>
      </c>
      <c r="C180" s="90">
        <f>VLOOKUP(A180,'Data Vlaue (Cr)'!C175:CY404,101,0)</f>
        <v>-278</v>
      </c>
      <c r="D180" s="139">
        <f>VLOOKUP(A180,'Data Vlaue (Cr)'!C175:CZ404,102,0)</f>
        <v>-0.29360000000000003</v>
      </c>
      <c r="E180" s="91">
        <f>VLOOKUP($A180,'Data Vlaue (Cr)'!$C:$FB,75)</f>
        <v>598</v>
      </c>
      <c r="F180" s="91">
        <f>VLOOKUP($A180,'Data Vlaue (Cr)'!$C:$FB,77)</f>
        <v>-95</v>
      </c>
      <c r="G180" s="92">
        <f>VLOOKUP(A180,'Data Vlaue (Cr)'!C175:CB404,78,0)</f>
        <v>-0.13730000000000001</v>
      </c>
      <c r="H180" s="91">
        <f>VLOOKUP($A180,'Data Vlaue (Cr)'!$C:$FB,91)</f>
        <v>44</v>
      </c>
      <c r="I180" s="91">
        <f>VLOOKUP($A180,'Data Vlaue (Cr)'!$C:$FB,93)</f>
        <v>-121</v>
      </c>
      <c r="J180" s="92">
        <f>VLOOKUP($A180,'Data Vlaue (Cr)'!$C:$FB,94)</f>
        <v>-0.73240000000000005</v>
      </c>
      <c r="K180" s="91">
        <f>VLOOKUP($A180,'Data Vlaue (Cr)'!$C:$FB,95)</f>
        <v>26</v>
      </c>
      <c r="L180" s="91">
        <f>VLOOKUP($A180,'Data Vlaue (Cr)'!$C:$FB,97)</f>
        <v>-61</v>
      </c>
      <c r="M180" s="92">
        <f>VLOOKUP($A180,'Data Vlaue (Cr)'!$C:$FB,98)</f>
        <v>-0.70299999999999996</v>
      </c>
      <c r="N180" s="91">
        <f>VLOOKUP($A180,'Data Vlaue (Cr)'!$C:$FB,79)</f>
        <v>96</v>
      </c>
      <c r="O180" s="92">
        <f>VLOOKUP($A180,'Data Vlaue (Cr)'!$C:$FB,82)</f>
        <v>-0.54479999999999995</v>
      </c>
    </row>
    <row r="181" spans="1:15" x14ac:dyDescent="0.25">
      <c r="A181" s="97" t="str">
        <f>'Data Vlaue (Cr)'!C176</f>
        <v>PIDILITIND</v>
      </c>
      <c r="B181" s="142">
        <f>VLOOKUP(A181,'Data Vlaue (Cr)'!C176:CW405,99,0)</f>
        <v>1123</v>
      </c>
      <c r="C181" s="90">
        <f>VLOOKUP(A181,'Data Vlaue (Cr)'!C176:CY405,101,0)</f>
        <v>-350</v>
      </c>
      <c r="D181" s="139">
        <f>VLOOKUP(A181,'Data Vlaue (Cr)'!C176:CZ405,102,0)</f>
        <v>-0.2374</v>
      </c>
      <c r="E181" s="91">
        <f>VLOOKUP($A181,'Data Vlaue (Cr)'!$C:$FB,75)</f>
        <v>959</v>
      </c>
      <c r="F181" s="91">
        <f>VLOOKUP($A181,'Data Vlaue (Cr)'!$C:$FB,77)</f>
        <v>-46</v>
      </c>
      <c r="G181" s="92">
        <f>VLOOKUP(A181,'Data Vlaue (Cr)'!C176:CB405,78,0)</f>
        <v>-4.5600000000000002E-2</v>
      </c>
      <c r="H181" s="91">
        <f>VLOOKUP($A181,'Data Vlaue (Cr)'!$C:$FB,91)</f>
        <v>92</v>
      </c>
      <c r="I181" s="91">
        <f>VLOOKUP($A181,'Data Vlaue (Cr)'!$C:$FB,93)</f>
        <v>-213</v>
      </c>
      <c r="J181" s="92">
        <f>VLOOKUP($A181,'Data Vlaue (Cr)'!$C:$FB,94)</f>
        <v>-0.69720000000000004</v>
      </c>
      <c r="K181" s="91">
        <f>VLOOKUP($A181,'Data Vlaue (Cr)'!$C:$FB,95)</f>
        <v>71</v>
      </c>
      <c r="L181" s="91">
        <f>VLOOKUP($A181,'Data Vlaue (Cr)'!$C:$FB,97)</f>
        <v>-91</v>
      </c>
      <c r="M181" s="92">
        <f>VLOOKUP($A181,'Data Vlaue (Cr)'!$C:$FB,98)</f>
        <v>-0.56079999999999997</v>
      </c>
      <c r="N181" s="91">
        <f>VLOOKUP($A181,'Data Vlaue (Cr)'!$C:$FB,79)</f>
        <v>51</v>
      </c>
      <c r="O181" s="92">
        <f>VLOOKUP($A181,'Data Vlaue (Cr)'!$C:$FB,82)</f>
        <v>-0.6139</v>
      </c>
    </row>
    <row r="182" spans="1:15" x14ac:dyDescent="0.25">
      <c r="A182" s="97" t="str">
        <f>'Data Vlaue (Cr)'!C177</f>
        <v>PIIND</v>
      </c>
      <c r="B182" s="142">
        <f>VLOOKUP(A182,'Data Vlaue (Cr)'!C177:CW406,99,0)</f>
        <v>820</v>
      </c>
      <c r="C182" s="90">
        <f>VLOOKUP(A182,'Data Vlaue (Cr)'!C177:CY406,101,0)</f>
        <v>-178</v>
      </c>
      <c r="D182" s="139">
        <f>VLOOKUP(A182,'Data Vlaue (Cr)'!C177:CZ406,102,0)</f>
        <v>-0.17879999999999999</v>
      </c>
      <c r="E182" s="91">
        <f>VLOOKUP($A182,'Data Vlaue (Cr)'!$C:$FB,75)</f>
        <v>664</v>
      </c>
      <c r="F182" s="91">
        <f>VLOOKUP($A182,'Data Vlaue (Cr)'!$C:$FB,77)</f>
        <v>-3</v>
      </c>
      <c r="G182" s="92">
        <f>VLOOKUP(A182,'Data Vlaue (Cr)'!C177:CB406,78,0)</f>
        <v>-5.0000000000000001E-3</v>
      </c>
      <c r="H182" s="91">
        <f>VLOOKUP($A182,'Data Vlaue (Cr)'!$C:$FB,91)</f>
        <v>99</v>
      </c>
      <c r="I182" s="91">
        <f>VLOOKUP($A182,'Data Vlaue (Cr)'!$C:$FB,93)</f>
        <v>-102</v>
      </c>
      <c r="J182" s="92">
        <f>VLOOKUP($A182,'Data Vlaue (Cr)'!$C:$FB,94)</f>
        <v>-0.5081</v>
      </c>
      <c r="K182" s="91">
        <f>VLOOKUP($A182,'Data Vlaue (Cr)'!$C:$FB,95)</f>
        <v>56</v>
      </c>
      <c r="L182" s="91">
        <f>VLOOKUP($A182,'Data Vlaue (Cr)'!$C:$FB,97)</f>
        <v>-73</v>
      </c>
      <c r="M182" s="92">
        <f>VLOOKUP($A182,'Data Vlaue (Cr)'!$C:$FB,98)</f>
        <v>-0.56440000000000001</v>
      </c>
      <c r="N182" s="91">
        <f>VLOOKUP($A182,'Data Vlaue (Cr)'!$C:$FB,79)</f>
        <v>24</v>
      </c>
      <c r="O182" s="92">
        <f>VLOOKUP($A182,'Data Vlaue (Cr)'!$C:$FB,82)</f>
        <v>-0.4173</v>
      </c>
    </row>
    <row r="183" spans="1:15" x14ac:dyDescent="0.25">
      <c r="A183" s="97" t="str">
        <f>'Data Vlaue (Cr)'!C178</f>
        <v>PNB</v>
      </c>
      <c r="B183" s="142">
        <f>VLOOKUP(A183,'Data Vlaue (Cr)'!C178:CW407,99,0)</f>
        <v>4348</v>
      </c>
      <c r="C183" s="90">
        <f>VLOOKUP(A183,'Data Vlaue (Cr)'!C178:CY407,101,0)</f>
        <v>-1382</v>
      </c>
      <c r="D183" s="139">
        <f>VLOOKUP(A183,'Data Vlaue (Cr)'!C178:CZ407,102,0)</f>
        <v>-0.2412</v>
      </c>
      <c r="E183" s="91">
        <f>VLOOKUP($A183,'Data Vlaue (Cr)'!$C:$FB,75)</f>
        <v>2704</v>
      </c>
      <c r="F183" s="91">
        <f>VLOOKUP($A183,'Data Vlaue (Cr)'!$C:$FB,77)</f>
        <v>-62</v>
      </c>
      <c r="G183" s="92">
        <f>VLOOKUP(A183,'Data Vlaue (Cr)'!C178:CB407,78,0)</f>
        <v>-2.24E-2</v>
      </c>
      <c r="H183" s="91">
        <f>VLOOKUP($A183,'Data Vlaue (Cr)'!$C:$FB,91)</f>
        <v>984</v>
      </c>
      <c r="I183" s="91">
        <f>VLOOKUP($A183,'Data Vlaue (Cr)'!$C:$FB,93)</f>
        <v>-803</v>
      </c>
      <c r="J183" s="92">
        <f>VLOOKUP($A183,'Data Vlaue (Cr)'!$C:$FB,94)</f>
        <v>-0.44940000000000002</v>
      </c>
      <c r="K183" s="91">
        <f>VLOOKUP($A183,'Data Vlaue (Cr)'!$C:$FB,95)</f>
        <v>660</v>
      </c>
      <c r="L183" s="91">
        <f>VLOOKUP($A183,'Data Vlaue (Cr)'!$C:$FB,97)</f>
        <v>-517</v>
      </c>
      <c r="M183" s="92">
        <f>VLOOKUP($A183,'Data Vlaue (Cr)'!$C:$FB,98)</f>
        <v>-0.43919999999999998</v>
      </c>
      <c r="N183" s="91">
        <f>VLOOKUP($A183,'Data Vlaue (Cr)'!$C:$FB,79)</f>
        <v>225</v>
      </c>
      <c r="O183" s="92">
        <f>VLOOKUP($A183,'Data Vlaue (Cr)'!$C:$FB,82)</f>
        <v>-0.60219999999999996</v>
      </c>
    </row>
    <row r="184" spans="1:15" x14ac:dyDescent="0.25">
      <c r="A184" s="97" t="str">
        <f>'Data Vlaue (Cr)'!C179</f>
        <v>PNBHOUSING</v>
      </c>
      <c r="B184" s="142">
        <f>VLOOKUP(A184,'Data Vlaue (Cr)'!C179:CW408,99,0)</f>
        <v>1097</v>
      </c>
      <c r="C184" s="90">
        <f>VLOOKUP(A184,'Data Vlaue (Cr)'!C179:CY408,101,0)</f>
        <v>-485</v>
      </c>
      <c r="D184" s="139">
        <f>VLOOKUP(A184,'Data Vlaue (Cr)'!C179:CZ408,102,0)</f>
        <v>-0.30649999999999999</v>
      </c>
      <c r="E184" s="91">
        <f>VLOOKUP($A184,'Data Vlaue (Cr)'!$C:$FB,75)</f>
        <v>898</v>
      </c>
      <c r="F184" s="91">
        <f>VLOOKUP($A184,'Data Vlaue (Cr)'!$C:$FB,77)</f>
        <v>-103</v>
      </c>
      <c r="G184" s="92">
        <f>VLOOKUP(A184,'Data Vlaue (Cr)'!C179:CB408,78,0)</f>
        <v>-0.1024</v>
      </c>
      <c r="H184" s="91">
        <f>VLOOKUP($A184,'Data Vlaue (Cr)'!$C:$FB,91)</f>
        <v>105</v>
      </c>
      <c r="I184" s="91">
        <f>VLOOKUP($A184,'Data Vlaue (Cr)'!$C:$FB,93)</f>
        <v>-268</v>
      </c>
      <c r="J184" s="92">
        <f>VLOOKUP($A184,'Data Vlaue (Cr)'!$C:$FB,94)</f>
        <v>-0.71789999999999998</v>
      </c>
      <c r="K184" s="91">
        <f>VLOOKUP($A184,'Data Vlaue (Cr)'!$C:$FB,95)</f>
        <v>93</v>
      </c>
      <c r="L184" s="91">
        <f>VLOOKUP($A184,'Data Vlaue (Cr)'!$C:$FB,97)</f>
        <v>-114</v>
      </c>
      <c r="M184" s="92">
        <f>VLOOKUP($A184,'Data Vlaue (Cr)'!$C:$FB,98)</f>
        <v>-0.55020000000000002</v>
      </c>
      <c r="N184" s="91">
        <f>VLOOKUP($A184,'Data Vlaue (Cr)'!$C:$FB,79)</f>
        <v>104</v>
      </c>
      <c r="O184" s="92">
        <f>VLOOKUP($A184,'Data Vlaue (Cr)'!$C:$FB,82)</f>
        <v>-0.45240000000000002</v>
      </c>
    </row>
    <row r="185" spans="1:15" x14ac:dyDescent="0.25">
      <c r="A185" s="97" t="str">
        <f>'Data Vlaue (Cr)'!C180</f>
        <v>POLICYBZR</v>
      </c>
      <c r="B185" s="142">
        <f>VLOOKUP(A185,'Data Vlaue (Cr)'!C180:CW409,99,0)</f>
        <v>1549</v>
      </c>
      <c r="C185" s="90">
        <f>VLOOKUP(A185,'Data Vlaue (Cr)'!C180:CY409,101,0)</f>
        <v>-442</v>
      </c>
      <c r="D185" s="139">
        <f>VLOOKUP(A185,'Data Vlaue (Cr)'!C180:CZ409,102,0)</f>
        <v>-0.222</v>
      </c>
      <c r="E185" s="91">
        <f>VLOOKUP($A185,'Data Vlaue (Cr)'!$C:$FB,75)</f>
        <v>1411</v>
      </c>
      <c r="F185" s="91">
        <f>VLOOKUP($A185,'Data Vlaue (Cr)'!$C:$FB,77)</f>
        <v>-113</v>
      </c>
      <c r="G185" s="92">
        <f>VLOOKUP(A185,'Data Vlaue (Cr)'!C180:CB409,78,0)</f>
        <v>-7.3899999999999993E-2</v>
      </c>
      <c r="H185" s="91">
        <f>VLOOKUP($A185,'Data Vlaue (Cr)'!$C:$FB,91)</f>
        <v>61</v>
      </c>
      <c r="I185" s="91">
        <f>VLOOKUP($A185,'Data Vlaue (Cr)'!$C:$FB,93)</f>
        <v>-218</v>
      </c>
      <c r="J185" s="92">
        <f>VLOOKUP($A185,'Data Vlaue (Cr)'!$C:$FB,94)</f>
        <v>-0.78190000000000004</v>
      </c>
      <c r="K185" s="91">
        <f>VLOOKUP($A185,'Data Vlaue (Cr)'!$C:$FB,95)</f>
        <v>77</v>
      </c>
      <c r="L185" s="91">
        <f>VLOOKUP($A185,'Data Vlaue (Cr)'!$C:$FB,97)</f>
        <v>-111</v>
      </c>
      <c r="M185" s="92">
        <f>VLOOKUP($A185,'Data Vlaue (Cr)'!$C:$FB,98)</f>
        <v>-0.59089999999999998</v>
      </c>
      <c r="N185" s="91">
        <f>VLOOKUP($A185,'Data Vlaue (Cr)'!$C:$FB,79)</f>
        <v>95</v>
      </c>
      <c r="O185" s="92">
        <f>VLOOKUP($A185,'Data Vlaue (Cr)'!$C:$FB,82)</f>
        <v>-0.61639999999999995</v>
      </c>
    </row>
    <row r="186" spans="1:15" x14ac:dyDescent="0.25">
      <c r="A186" s="97" t="str">
        <f>'Data Vlaue (Cr)'!C181</f>
        <v>POLYCAB</v>
      </c>
      <c r="B186" s="142">
        <f>VLOOKUP(A186,'Data Vlaue (Cr)'!C181:CW410,99,0)</f>
        <v>1829</v>
      </c>
      <c r="C186" s="90">
        <f>VLOOKUP(A186,'Data Vlaue (Cr)'!C181:CY410,101,0)</f>
        <v>-1081</v>
      </c>
      <c r="D186" s="139">
        <f>VLOOKUP(A186,'Data Vlaue (Cr)'!C181:CZ410,102,0)</f>
        <v>-0.3715</v>
      </c>
      <c r="E186" s="91">
        <f>VLOOKUP($A186,'Data Vlaue (Cr)'!$C:$FB,75)</f>
        <v>1253</v>
      </c>
      <c r="F186" s="91">
        <f>VLOOKUP($A186,'Data Vlaue (Cr)'!$C:$FB,77)</f>
        <v>-170</v>
      </c>
      <c r="G186" s="92">
        <f>VLOOKUP(A186,'Data Vlaue (Cr)'!C181:CB410,78,0)</f>
        <v>-0.1193</v>
      </c>
      <c r="H186" s="91">
        <f>VLOOKUP($A186,'Data Vlaue (Cr)'!$C:$FB,91)</f>
        <v>364</v>
      </c>
      <c r="I186" s="91">
        <f>VLOOKUP($A186,'Data Vlaue (Cr)'!$C:$FB,93)</f>
        <v>-474</v>
      </c>
      <c r="J186" s="92">
        <f>VLOOKUP($A186,'Data Vlaue (Cr)'!$C:$FB,94)</f>
        <v>-0.5655</v>
      </c>
      <c r="K186" s="91">
        <f>VLOOKUP($A186,'Data Vlaue (Cr)'!$C:$FB,95)</f>
        <v>212</v>
      </c>
      <c r="L186" s="91">
        <f>VLOOKUP($A186,'Data Vlaue (Cr)'!$C:$FB,97)</f>
        <v>-437</v>
      </c>
      <c r="M186" s="92">
        <f>VLOOKUP($A186,'Data Vlaue (Cr)'!$C:$FB,98)</f>
        <v>-0.6734</v>
      </c>
      <c r="N186" s="91">
        <f>VLOOKUP($A186,'Data Vlaue (Cr)'!$C:$FB,79)</f>
        <v>95</v>
      </c>
      <c r="O186" s="92">
        <f>VLOOKUP($A186,'Data Vlaue (Cr)'!$C:$FB,82)</f>
        <v>-0.69099999999999995</v>
      </c>
    </row>
    <row r="187" spans="1:15" x14ac:dyDescent="0.25">
      <c r="A187" s="97" t="str">
        <f>'Data Vlaue (Cr)'!C182</f>
        <v>POONAWALLA</v>
      </c>
      <c r="B187" s="142">
        <f>VLOOKUP(A187,'Data Vlaue (Cr)'!C182:CW411,99,0)</f>
        <v>660</v>
      </c>
      <c r="C187" s="90">
        <f>VLOOKUP(A187,'Data Vlaue (Cr)'!C182:CY411,101,0)</f>
        <v>-536</v>
      </c>
      <c r="D187" s="139">
        <f>VLOOKUP(A187,'Data Vlaue (Cr)'!C182:CZ411,102,0)</f>
        <v>-0.44829999999999998</v>
      </c>
      <c r="E187" s="91">
        <f>VLOOKUP($A187,'Data Vlaue (Cr)'!$C:$FB,75)</f>
        <v>485</v>
      </c>
      <c r="F187" s="91">
        <f>VLOOKUP($A187,'Data Vlaue (Cr)'!$C:$FB,77)</f>
        <v>-155</v>
      </c>
      <c r="G187" s="92">
        <f>VLOOKUP(A187,'Data Vlaue (Cr)'!C182:CB411,78,0)</f>
        <v>-0.24249999999999999</v>
      </c>
      <c r="H187" s="91">
        <f>VLOOKUP($A187,'Data Vlaue (Cr)'!$C:$FB,91)</f>
        <v>105</v>
      </c>
      <c r="I187" s="91">
        <f>VLOOKUP($A187,'Data Vlaue (Cr)'!$C:$FB,93)</f>
        <v>-257</v>
      </c>
      <c r="J187" s="92">
        <f>VLOOKUP($A187,'Data Vlaue (Cr)'!$C:$FB,94)</f>
        <v>-0.71009999999999995</v>
      </c>
      <c r="K187" s="91">
        <f>VLOOKUP($A187,'Data Vlaue (Cr)'!$C:$FB,95)</f>
        <v>69</v>
      </c>
      <c r="L187" s="91">
        <f>VLOOKUP($A187,'Data Vlaue (Cr)'!$C:$FB,97)</f>
        <v>-124</v>
      </c>
      <c r="M187" s="92">
        <f>VLOOKUP($A187,'Data Vlaue (Cr)'!$C:$FB,98)</f>
        <v>-0.64029999999999998</v>
      </c>
      <c r="N187" s="91">
        <f>VLOOKUP($A187,'Data Vlaue (Cr)'!$C:$FB,79)</f>
        <v>106</v>
      </c>
      <c r="O187" s="92">
        <f>VLOOKUP($A187,'Data Vlaue (Cr)'!$C:$FB,82)</f>
        <v>-0.41949999999999998</v>
      </c>
    </row>
    <row r="188" spans="1:15" x14ac:dyDescent="0.25">
      <c r="A188" s="97" t="str">
        <f>'Data Vlaue (Cr)'!C183</f>
        <v>POWERGRID</v>
      </c>
      <c r="B188" s="142">
        <f>VLOOKUP(A188,'Data Vlaue (Cr)'!C183:CW412,99,0)</f>
        <v>2580</v>
      </c>
      <c r="C188" s="90">
        <f>VLOOKUP(A188,'Data Vlaue (Cr)'!C183:CY412,101,0)</f>
        <v>-1036</v>
      </c>
      <c r="D188" s="139">
        <f>VLOOKUP(A188,'Data Vlaue (Cr)'!C183:CZ412,102,0)</f>
        <v>-0.28649999999999998</v>
      </c>
      <c r="E188" s="91">
        <f>VLOOKUP($A188,'Data Vlaue (Cr)'!$C:$FB,75)</f>
        <v>2050</v>
      </c>
      <c r="F188" s="91">
        <f>VLOOKUP($A188,'Data Vlaue (Cr)'!$C:$FB,77)</f>
        <v>-249</v>
      </c>
      <c r="G188" s="92">
        <f>VLOOKUP(A188,'Data Vlaue (Cr)'!C183:CB412,78,0)</f>
        <v>-0.1084</v>
      </c>
      <c r="H188" s="91">
        <f>VLOOKUP($A188,'Data Vlaue (Cr)'!$C:$FB,91)</f>
        <v>251</v>
      </c>
      <c r="I188" s="91">
        <f>VLOOKUP($A188,'Data Vlaue (Cr)'!$C:$FB,93)</f>
        <v>-548</v>
      </c>
      <c r="J188" s="92">
        <f>VLOOKUP($A188,'Data Vlaue (Cr)'!$C:$FB,94)</f>
        <v>-0.68569999999999998</v>
      </c>
      <c r="K188" s="91">
        <f>VLOOKUP($A188,'Data Vlaue (Cr)'!$C:$FB,95)</f>
        <v>280</v>
      </c>
      <c r="L188" s="91">
        <f>VLOOKUP($A188,'Data Vlaue (Cr)'!$C:$FB,97)</f>
        <v>-240</v>
      </c>
      <c r="M188" s="92">
        <f>VLOOKUP($A188,'Data Vlaue (Cr)'!$C:$FB,98)</f>
        <v>-0.46150000000000002</v>
      </c>
      <c r="N188" s="91">
        <f>VLOOKUP($A188,'Data Vlaue (Cr)'!$C:$FB,79)</f>
        <v>250</v>
      </c>
      <c r="O188" s="92">
        <f>VLOOKUP($A188,'Data Vlaue (Cr)'!$C:$FB,82)</f>
        <v>-0.27089999999999997</v>
      </c>
    </row>
    <row r="189" spans="1:15" x14ac:dyDescent="0.25">
      <c r="A189" s="97" t="str">
        <f>'Data Vlaue (Cr)'!C231</f>
        <v>ZYDUSLIFE</v>
      </c>
      <c r="B189" s="142">
        <f>VLOOKUP(A189,'Data Vlaue (Cr)'!C231:CW413,99,0)</f>
        <v>1055</v>
      </c>
      <c r="C189" s="90">
        <f>VLOOKUP(A189,'Data Vlaue (Cr)'!C231:CY413,101,0)</f>
        <v>-421</v>
      </c>
      <c r="D189" s="139">
        <f>VLOOKUP(A189,'Data Vlaue (Cr)'!C231:CZ413,102,0)</f>
        <v>-0.28520000000000001</v>
      </c>
      <c r="E189" s="91">
        <f>VLOOKUP($A189,'Data Vlaue (Cr)'!$C:$FB,75)</f>
        <v>837</v>
      </c>
      <c r="F189" s="91">
        <f>VLOOKUP($A189,'Data Vlaue (Cr)'!$C:$FB,77)</f>
        <v>-111</v>
      </c>
      <c r="G189" s="92">
        <f>VLOOKUP(A189,'Data Vlaue (Cr)'!C231:CB413,78,0)</f>
        <v>-0.1174</v>
      </c>
      <c r="H189" s="91">
        <f>VLOOKUP($A189,'Data Vlaue (Cr)'!$C:$FB,91)</f>
        <v>123</v>
      </c>
      <c r="I189" s="91">
        <f>VLOOKUP($A189,'Data Vlaue (Cr)'!$C:$FB,93)</f>
        <v>-175</v>
      </c>
      <c r="J189" s="92">
        <f>VLOOKUP($A189,'Data Vlaue (Cr)'!$C:$FB,94)</f>
        <v>-0.5877</v>
      </c>
      <c r="K189" s="91">
        <f>VLOOKUP($A189,'Data Vlaue (Cr)'!$C:$FB,95)</f>
        <v>95</v>
      </c>
      <c r="L189" s="91">
        <f>VLOOKUP($A189,'Data Vlaue (Cr)'!$C:$FB,97)</f>
        <v>-135</v>
      </c>
      <c r="M189" s="92">
        <f>VLOOKUP($A189,'Data Vlaue (Cr)'!$C:$FB,98)</f>
        <v>-0.58550000000000002</v>
      </c>
      <c r="N189" s="91">
        <f>VLOOKUP($A189,'Data Vlaue (Cr)'!$C:$FB,79)</f>
        <v>44</v>
      </c>
      <c r="O189" s="92">
        <f>VLOOKUP($A189,'Data Vlaue (Cr)'!$C:$FB,82)</f>
        <v>-0.75800000000000001</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1220415</v>
      </c>
      <c r="C210" s="123">
        <f>SUM(C7:C209)</f>
        <v>-1109489</v>
      </c>
      <c r="D210" s="124">
        <f>'Snapshot (Value)'!K225</f>
        <v>-0.47619335798679424</v>
      </c>
      <c r="E210" s="123">
        <f>SUM(E7:E209)</f>
        <v>393413</v>
      </c>
      <c r="F210" s="123">
        <f>SUM(F7:F209)</f>
        <v>-40012</v>
      </c>
      <c r="G210" s="149">
        <f>F210*100/(E210-F210)</f>
        <v>-9.2315856261175515</v>
      </c>
      <c r="H210" s="123">
        <f>SUM(H7:H209)</f>
        <v>414661</v>
      </c>
      <c r="I210" s="123">
        <f>SUM(I7:I209)</f>
        <v>-642203</v>
      </c>
      <c r="J210" s="149">
        <f>I210/(H210-I210)</f>
        <v>-0.60764961243830806</v>
      </c>
      <c r="K210" s="123">
        <f>SUM(K7:K209)</f>
        <v>412330</v>
      </c>
      <c r="L210" s="123">
        <f>SUM(L7:L209)</f>
        <v>-427277</v>
      </c>
      <c r="M210" s="149">
        <f>L210/(K210-L210)</f>
        <v>-0.50890118829404707</v>
      </c>
      <c r="N210" s="123">
        <f>SUM(N7:N209)</f>
        <v>44148</v>
      </c>
      <c r="O210" s="149">
        <f>(N210-FII!V2)/N210</f>
        <v>-1.4790250973996557</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393413</v>
      </c>
      <c r="C217" s="37">
        <f>F210</f>
        <v>-40012</v>
      </c>
      <c r="D217" s="39">
        <f>C217/B217</f>
        <v>-0.10170482419238815</v>
      </c>
    </row>
    <row r="218" spans="1:15" x14ac:dyDescent="0.25">
      <c r="A218" s="36" t="s">
        <v>404</v>
      </c>
      <c r="B218" s="37">
        <f>H210</f>
        <v>414661</v>
      </c>
      <c r="C218" s="37">
        <f>I210</f>
        <v>-642203</v>
      </c>
      <c r="D218" s="150">
        <f>C218/B218</f>
        <v>-1.5487422255770376</v>
      </c>
    </row>
    <row r="219" spans="1:15" x14ac:dyDescent="0.25">
      <c r="A219" s="36" t="s">
        <v>405</v>
      </c>
      <c r="B219" s="37">
        <f>K210</f>
        <v>412330</v>
      </c>
      <c r="C219" s="37">
        <f>L210</f>
        <v>-427277</v>
      </c>
      <c r="D219" s="150">
        <f>C219/B219</f>
        <v>-1.0362500909465719</v>
      </c>
    </row>
    <row r="220" spans="1:15" x14ac:dyDescent="0.25">
      <c r="A220" s="36" t="s">
        <v>406</v>
      </c>
      <c r="B220" s="37">
        <f>B217+B218+B219</f>
        <v>1220404</v>
      </c>
      <c r="C220" s="37">
        <f>C217+C218+C219</f>
        <v>-1109492</v>
      </c>
      <c r="D220" s="150">
        <f>C220/B220</f>
        <v>-0.90911861973575958</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45869</v>
      </c>
      <c r="C6" s="3">
        <f>B6</f>
        <v>45869</v>
      </c>
      <c r="D6" s="94" t="s">
        <v>328</v>
      </c>
      <c r="E6" s="3">
        <f>B6</f>
        <v>45869</v>
      </c>
      <c r="F6" s="94" t="s">
        <v>322</v>
      </c>
      <c r="G6" s="94" t="s">
        <v>328</v>
      </c>
      <c r="H6" s="3">
        <f>E6</f>
        <v>45869</v>
      </c>
      <c r="I6" s="94" t="s">
        <v>322</v>
      </c>
      <c r="J6" s="94" t="s">
        <v>328</v>
      </c>
    </row>
    <row r="7" spans="1:10" x14ac:dyDescent="0.25">
      <c r="A7" s="101" t="str">
        <f>'NIFTY GRP'!C2</f>
        <v>ADANIENT</v>
      </c>
      <c r="B7" s="140">
        <f>VLOOKUP($A7,'Data shares'!$C:$FA,7)</f>
        <v>2430.6999999999998</v>
      </c>
      <c r="C7" s="140">
        <f>VLOOKUP($A7,'Data shares'!$C:$FA,3)</f>
        <v>2440.1</v>
      </c>
      <c r="D7" s="50">
        <f>VLOOKUP($A7,'Data shares'!$C:$FA,6)*100</f>
        <v>-4.1099999999999994</v>
      </c>
      <c r="E7" s="51">
        <f>VLOOKUP($A7,'Data shares'!$C:$FA,98)</f>
        <v>27541800</v>
      </c>
      <c r="F7" s="51">
        <f>VLOOKUP($A7,'Data shares'!$C:$FA,99)</f>
        <v>33294600</v>
      </c>
      <c r="G7" s="50">
        <f>VLOOKUP($A7,'Data shares'!$C:$FA,101)*100</f>
        <v>-17.28</v>
      </c>
      <c r="H7" s="49">
        <f>VLOOKUP($A7,'Data Vlaue (Cr)'!$C:$FB,99)</f>
        <v>6720</v>
      </c>
      <c r="I7" s="49">
        <f>VLOOKUP($A7,'Data Vlaue (Cr)'!$C:$FB,100)</f>
        <v>8124</v>
      </c>
      <c r="J7" s="49">
        <f>VLOOKUP($A7,'Data Vlaue (Cr)'!$C:$FB,102)*100</f>
        <v>-17.28</v>
      </c>
    </row>
    <row r="8" spans="1:10" x14ac:dyDescent="0.25">
      <c r="A8" s="101" t="str">
        <f>'NIFTY GRP'!C3</f>
        <v>ADANIPORTS</v>
      </c>
      <c r="B8" s="140">
        <f>VLOOKUP($A8,'Data shares'!$C:$FA,7)</f>
        <v>1373.1</v>
      </c>
      <c r="C8" s="140">
        <f>VLOOKUP($A8,'Data shares'!$C:$FA,3)</f>
        <v>1380.9</v>
      </c>
      <c r="D8" s="50">
        <f>VLOOKUP($A8,'Data shares'!$C:$FA,6)*100</f>
        <v>-1.5599999999999998</v>
      </c>
      <c r="E8" s="51">
        <f>VLOOKUP($A8,'Data shares'!$C:$FA,98)</f>
        <v>27558075</v>
      </c>
      <c r="F8" s="51">
        <f>VLOOKUP($A8,'Data shares'!$C:$FA,99)</f>
        <v>35695300</v>
      </c>
      <c r="G8" s="50">
        <f>VLOOKUP($A8,'Data shares'!$C:$FA,101)*100</f>
        <v>-22.8</v>
      </c>
      <c r="H8" s="49">
        <f>VLOOKUP($A8,'Data Vlaue (Cr)'!$C:$FB,99)</f>
        <v>3805</v>
      </c>
      <c r="I8" s="49">
        <f>VLOOKUP($A8,'Data Vlaue (Cr)'!$C:$FB,100)</f>
        <v>4929</v>
      </c>
      <c r="J8" s="49">
        <f>VLOOKUP($A8,'Data Vlaue (Cr)'!$C:$FB,102)*100</f>
        <v>-22.8</v>
      </c>
    </row>
    <row r="9" spans="1:10" x14ac:dyDescent="0.25">
      <c r="A9" s="101" t="str">
        <f>'NIFTY GRP'!C4</f>
        <v>APOLLOHOSP</v>
      </c>
      <c r="B9" s="140">
        <f>VLOOKUP($A9,'Data shares'!$C:$FA,7)</f>
        <v>7498</v>
      </c>
      <c r="C9" s="140">
        <f>VLOOKUP($A9,'Data shares'!$C:$FA,3)</f>
        <v>7517.5</v>
      </c>
      <c r="D9" s="50">
        <f>VLOOKUP($A9,'Data shares'!$C:$FA,6)*100</f>
        <v>0.6</v>
      </c>
      <c r="E9" s="51">
        <f>VLOOKUP($A9,'Data shares'!$C:$FA,98)</f>
        <v>2810125</v>
      </c>
      <c r="F9" s="51">
        <f>VLOOKUP($A9,'Data shares'!$C:$FA,99)</f>
        <v>5084875</v>
      </c>
      <c r="G9" s="50">
        <f>VLOOKUP($A9,'Data shares'!$C:$FA,101)*100</f>
        <v>-44.74</v>
      </c>
      <c r="H9" s="49">
        <f>VLOOKUP($A9,'Data Vlaue (Cr)'!$C:$FB,99)</f>
        <v>2113</v>
      </c>
      <c r="I9" s="49">
        <f>VLOOKUP($A9,'Data Vlaue (Cr)'!$C:$FB,100)</f>
        <v>3823</v>
      </c>
      <c r="J9" s="49">
        <f>VLOOKUP($A9,'Data Vlaue (Cr)'!$C:$FB,102)*100</f>
        <v>-44.74</v>
      </c>
    </row>
    <row r="10" spans="1:10" x14ac:dyDescent="0.25">
      <c r="A10" s="101" t="str">
        <f>'NIFTY GRP'!C5</f>
        <v>ASIANPAINT</v>
      </c>
      <c r="B10" s="140">
        <f>VLOOKUP($A10,'Data shares'!$C:$FA,7)</f>
        <v>2396.1</v>
      </c>
      <c r="C10" s="140">
        <f>VLOOKUP($A10,'Data shares'!$C:$FA,3)</f>
        <v>2404.6</v>
      </c>
      <c r="D10" s="50">
        <f>VLOOKUP($A10,'Data shares'!$C:$FA,6)*100</f>
        <v>-0.88</v>
      </c>
      <c r="E10" s="51">
        <f>VLOOKUP($A10,'Data shares'!$C:$FA,98)</f>
        <v>18668000</v>
      </c>
      <c r="F10" s="51">
        <f>VLOOKUP($A10,'Data shares'!$C:$FA,99)</f>
        <v>28130750</v>
      </c>
      <c r="G10" s="50">
        <f>VLOOKUP($A10,'Data shares'!$C:$FA,101)*100</f>
        <v>-33.64</v>
      </c>
      <c r="H10" s="49">
        <f>VLOOKUP($A10,'Data Vlaue (Cr)'!$C:$FB,99)</f>
        <v>4489</v>
      </c>
      <c r="I10" s="49">
        <f>VLOOKUP($A10,'Data Vlaue (Cr)'!$C:$FB,100)</f>
        <v>6764</v>
      </c>
      <c r="J10" s="49">
        <f>VLOOKUP($A10,'Data Vlaue (Cr)'!$C:$FB,102)*100</f>
        <v>-33.64</v>
      </c>
    </row>
    <row r="11" spans="1:10" x14ac:dyDescent="0.25">
      <c r="A11" s="101" t="str">
        <f>'NIFTY GRP'!C6</f>
        <v>AXISBANK</v>
      </c>
      <c r="B11" s="140">
        <f>VLOOKUP($A11,'Data shares'!$C:$FA,7)</f>
        <v>1068.4000000000001</v>
      </c>
      <c r="C11" s="140">
        <f>VLOOKUP($A11,'Data shares'!$C:$FA,3)</f>
        <v>1074.4000000000001</v>
      </c>
      <c r="D11" s="50">
        <f>VLOOKUP($A11,'Data shares'!$C:$FA,6)*100</f>
        <v>-0.49</v>
      </c>
      <c r="E11" s="51">
        <f>VLOOKUP($A11,'Data shares'!$C:$FA,98)</f>
        <v>118940625</v>
      </c>
      <c r="F11" s="51">
        <f>VLOOKUP($A11,'Data shares'!$C:$FA,99)</f>
        <v>159758125</v>
      </c>
      <c r="G11" s="50">
        <f>VLOOKUP($A11,'Data shares'!$C:$FA,101)*100</f>
        <v>-25.55</v>
      </c>
      <c r="H11" s="49">
        <f>VLOOKUP($A11,'Data Vlaue (Cr)'!$C:$FB,99)</f>
        <v>12779</v>
      </c>
      <c r="I11" s="49">
        <f>VLOOKUP($A11,'Data Vlaue (Cr)'!$C:$FB,100)</f>
        <v>17164</v>
      </c>
      <c r="J11" s="49">
        <f>VLOOKUP($A11,'Data Vlaue (Cr)'!$C:$FB,102)*100</f>
        <v>-25.55</v>
      </c>
    </row>
    <row r="12" spans="1:10" x14ac:dyDescent="0.25">
      <c r="A12" s="101" t="str">
        <f>'NIFTY GRP'!C7</f>
        <v>BAJAJ-AUTO</v>
      </c>
      <c r="B12" s="140">
        <f>VLOOKUP($A12,'Data shares'!$C:$FA,7)</f>
        <v>8008</v>
      </c>
      <c r="C12" s="140">
        <f>VLOOKUP($A12,'Data shares'!$C:$FA,3)</f>
        <v>8051</v>
      </c>
      <c r="D12" s="50">
        <f>VLOOKUP($A12,'Data shares'!$C:$FA,6)*100</f>
        <v>-0.44999999999999996</v>
      </c>
      <c r="E12" s="51">
        <f>VLOOKUP($A12,'Data shares'!$C:$FA,98)</f>
        <v>3598575</v>
      </c>
      <c r="F12" s="51">
        <f>VLOOKUP($A12,'Data shares'!$C:$FA,99)</f>
        <v>5212950</v>
      </c>
      <c r="G12" s="50">
        <f>VLOOKUP($A12,'Data shares'!$C:$FA,101)*100</f>
        <v>-30.97</v>
      </c>
      <c r="H12" s="49">
        <f>VLOOKUP($A12,'Data Vlaue (Cr)'!$C:$FB,99)</f>
        <v>2897</v>
      </c>
      <c r="I12" s="49">
        <f>VLOOKUP($A12,'Data Vlaue (Cr)'!$C:$FB,100)</f>
        <v>4197</v>
      </c>
      <c r="J12" s="49">
        <f>VLOOKUP($A12,'Data Vlaue (Cr)'!$C:$FB,102)*100</f>
        <v>-30.97</v>
      </c>
    </row>
    <row r="13" spans="1:10" x14ac:dyDescent="0.25">
      <c r="A13" s="101" t="str">
        <f>'NIFTY GRP'!C8</f>
        <v>BAJAJFINSV</v>
      </c>
      <c r="B13" s="140">
        <f>VLOOKUP($A13,'Data shares'!$C:$FA,7)</f>
        <v>1948</v>
      </c>
      <c r="C13" s="140">
        <f>VLOOKUP($A13,'Data shares'!$C:$FA,3)</f>
        <v>1954.2</v>
      </c>
      <c r="D13" s="50">
        <f>VLOOKUP($A13,'Data shares'!$C:$FA,6)*100</f>
        <v>-0.76</v>
      </c>
      <c r="E13" s="51">
        <f>VLOOKUP($A13,'Data shares'!$C:$FA,98)</f>
        <v>21587500</v>
      </c>
      <c r="F13" s="51">
        <f>VLOOKUP($A13,'Data shares'!$C:$FA,99)</f>
        <v>31070000</v>
      </c>
      <c r="G13" s="50">
        <f>VLOOKUP($A13,'Data shares'!$C:$FA,101)*100</f>
        <v>-30.520000000000003</v>
      </c>
      <c r="H13" s="49">
        <f>VLOOKUP($A13,'Data Vlaue (Cr)'!$C:$FB,99)</f>
        <v>4219</v>
      </c>
      <c r="I13" s="49">
        <f>VLOOKUP($A13,'Data Vlaue (Cr)'!$C:$FB,100)</f>
        <v>6072</v>
      </c>
      <c r="J13" s="49">
        <f>VLOOKUP($A13,'Data Vlaue (Cr)'!$C:$FB,102)*100</f>
        <v>-30.520000000000003</v>
      </c>
    </row>
    <row r="14" spans="1:10" x14ac:dyDescent="0.25">
      <c r="A14" s="101" t="str">
        <f>'NIFTY GRP'!C9</f>
        <v>BAJFINANCE</v>
      </c>
      <c r="B14" s="140">
        <f>VLOOKUP($A14,'Data shares'!$C:$FA,7)</f>
        <v>881.2</v>
      </c>
      <c r="C14" s="140">
        <f>VLOOKUP($A14,'Data shares'!$C:$FA,3)</f>
        <v>883.95</v>
      </c>
      <c r="D14" s="50">
        <f>VLOOKUP($A14,'Data shares'!$C:$FA,6)*100</f>
        <v>-0.69</v>
      </c>
      <c r="E14" s="51">
        <f>VLOOKUP($A14,'Data shares'!$C:$FA,98)</f>
        <v>120872250</v>
      </c>
      <c r="F14" s="51">
        <f>VLOOKUP($A14,'Data shares'!$C:$FA,99)</f>
        <v>144811500</v>
      </c>
      <c r="G14" s="50">
        <f>VLOOKUP($A14,'Data shares'!$C:$FA,101)*100</f>
        <v>-16.53</v>
      </c>
      <c r="H14" s="49">
        <f>VLOOKUP($A14,'Data Vlaue (Cr)'!$C:$FB,99)</f>
        <v>10685</v>
      </c>
      <c r="I14" s="49">
        <f>VLOOKUP($A14,'Data Vlaue (Cr)'!$C:$FB,100)</f>
        <v>12801</v>
      </c>
      <c r="J14" s="49">
        <f>VLOOKUP($A14,'Data Vlaue (Cr)'!$C:$FB,102)*100</f>
        <v>-16.53</v>
      </c>
    </row>
    <row r="15" spans="1:10" x14ac:dyDescent="0.25">
      <c r="A15" s="101" t="str">
        <f>'NIFTY GRP'!C10</f>
        <v>BEL</v>
      </c>
      <c r="B15" s="140">
        <f>VLOOKUP($A15,'Data shares'!$C:$FA,7)</f>
        <v>383.1</v>
      </c>
      <c r="C15" s="140">
        <f>VLOOKUP($A15,'Data shares'!$C:$FA,3)</f>
        <v>384.9</v>
      </c>
      <c r="D15" s="50">
        <f>VLOOKUP($A15,'Data shares'!$C:$FA,6)*100</f>
        <v>-0.85000000000000009</v>
      </c>
      <c r="E15" s="51">
        <f>VLOOKUP($A15,'Data shares'!$C:$FA,98)</f>
        <v>193600500</v>
      </c>
      <c r="F15" s="51">
        <f>VLOOKUP($A15,'Data shares'!$C:$FA,99)</f>
        <v>277552950</v>
      </c>
      <c r="G15" s="50">
        <f>VLOOKUP($A15,'Data shares'!$C:$FA,101)*100</f>
        <v>-30.25</v>
      </c>
      <c r="H15" s="49">
        <f>VLOOKUP($A15,'Data Vlaue (Cr)'!$C:$FB,99)</f>
        <v>7452</v>
      </c>
      <c r="I15" s="49">
        <f>VLOOKUP($A15,'Data Vlaue (Cr)'!$C:$FB,100)</f>
        <v>10683</v>
      </c>
      <c r="J15" s="49">
        <f>VLOOKUP($A15,'Data Vlaue (Cr)'!$C:$FB,102)*100</f>
        <v>-30.25</v>
      </c>
    </row>
    <row r="16" spans="1:10" x14ac:dyDescent="0.25">
      <c r="A16" s="101" t="str">
        <f>'NIFTY GRP'!C11</f>
        <v>BHARTIARTL</v>
      </c>
      <c r="B16" s="140">
        <f>VLOOKUP($A16,'Data shares'!$C:$FA,7)</f>
        <v>1914.3</v>
      </c>
      <c r="C16" s="140">
        <f>VLOOKUP($A16,'Data shares'!$C:$FA,3)</f>
        <v>1921.7</v>
      </c>
      <c r="D16" s="50">
        <f>VLOOKUP($A16,'Data shares'!$C:$FA,6)*100</f>
        <v>-1.1299999999999999</v>
      </c>
      <c r="E16" s="51">
        <f>VLOOKUP($A16,'Data shares'!$C:$FA,98)</f>
        <v>51979725</v>
      </c>
      <c r="F16" s="51">
        <f>VLOOKUP($A16,'Data shares'!$C:$FA,99)</f>
        <v>72238000</v>
      </c>
      <c r="G16" s="50">
        <f>VLOOKUP($A16,'Data shares'!$C:$FA,101)*100</f>
        <v>-28.04</v>
      </c>
      <c r="H16" s="49">
        <f>VLOOKUP($A16,'Data Vlaue (Cr)'!$C:$FB,99)</f>
        <v>9989</v>
      </c>
      <c r="I16" s="49">
        <f>VLOOKUP($A16,'Data Vlaue (Cr)'!$C:$FB,100)</f>
        <v>13882</v>
      </c>
      <c r="J16" s="49">
        <f>VLOOKUP($A16,'Data Vlaue (Cr)'!$C:$FB,102)*100</f>
        <v>-28.04</v>
      </c>
    </row>
    <row r="17" spans="1:10" x14ac:dyDescent="0.25">
      <c r="A17" s="101" t="str">
        <f>'NIFTY GRP'!C12</f>
        <v>CIPLA</v>
      </c>
      <c r="B17" s="140">
        <f>VLOOKUP($A17,'Data shares'!$C:$FA,7)</f>
        <v>1554.6</v>
      </c>
      <c r="C17" s="140">
        <f>VLOOKUP($A17,'Data shares'!$C:$FA,3)</f>
        <v>1560.8</v>
      </c>
      <c r="D17" s="50">
        <f>VLOOKUP($A17,'Data shares'!$C:$FA,6)*100</f>
        <v>-0.42</v>
      </c>
      <c r="E17" s="51">
        <f>VLOOKUP($A17,'Data shares'!$C:$FA,98)</f>
        <v>14310375</v>
      </c>
      <c r="F17" s="51">
        <f>VLOOKUP($A17,'Data shares'!$C:$FA,99)</f>
        <v>22341000</v>
      </c>
      <c r="G17" s="50">
        <f>VLOOKUP($A17,'Data shares'!$C:$FA,101)*100</f>
        <v>-35.949999999999996</v>
      </c>
      <c r="H17" s="49">
        <f>VLOOKUP($A17,'Data Vlaue (Cr)'!$C:$FB,99)</f>
        <v>2234</v>
      </c>
      <c r="I17" s="49">
        <f>VLOOKUP($A17,'Data Vlaue (Cr)'!$C:$FB,100)</f>
        <v>3487</v>
      </c>
      <c r="J17" s="49">
        <f>VLOOKUP($A17,'Data Vlaue (Cr)'!$C:$FB,102)*100</f>
        <v>-35.949999999999996</v>
      </c>
    </row>
    <row r="18" spans="1:10" x14ac:dyDescent="0.25">
      <c r="A18" s="101" t="str">
        <f>'NIFTY GRP'!C13</f>
        <v>COALINDIA</v>
      </c>
      <c r="B18" s="140">
        <f>VLOOKUP($A18,'Data shares'!$C:$FA,7)</f>
        <v>376.35</v>
      </c>
      <c r="C18" s="140">
        <f>VLOOKUP($A18,'Data shares'!$C:$FA,3)</f>
        <v>370.7</v>
      </c>
      <c r="D18" s="50">
        <f>VLOOKUP($A18,'Data shares'!$C:$FA,6)*100</f>
        <v>-1.37</v>
      </c>
      <c r="E18" s="51">
        <f>VLOOKUP($A18,'Data shares'!$C:$FA,98)</f>
        <v>113387850</v>
      </c>
      <c r="F18" s="51">
        <f>VLOOKUP($A18,'Data shares'!$C:$FA,99)</f>
        <v>145489500</v>
      </c>
      <c r="G18" s="50">
        <f>VLOOKUP($A18,'Data shares'!$C:$FA,101)*100</f>
        <v>-22.06</v>
      </c>
      <c r="H18" s="49">
        <f>VLOOKUP($A18,'Data Vlaue (Cr)'!$C:$FB,99)</f>
        <v>4203</v>
      </c>
      <c r="I18" s="49">
        <f>VLOOKUP($A18,'Data Vlaue (Cr)'!$C:$FB,100)</f>
        <v>5393</v>
      </c>
      <c r="J18" s="49">
        <f>VLOOKUP($A18,'Data Vlaue (Cr)'!$C:$FB,102)*100</f>
        <v>-22.06</v>
      </c>
    </row>
    <row r="19" spans="1:10" x14ac:dyDescent="0.25">
      <c r="A19" s="101" t="str">
        <f>'NIFTY GRP'!C14</f>
        <v>DRREDDY</v>
      </c>
      <c r="B19" s="140">
        <f>VLOOKUP($A19,'Data shares'!$C:$FA,7)</f>
        <v>1270.3</v>
      </c>
      <c r="C19" s="140">
        <f>VLOOKUP($A19,'Data shares'!$C:$FA,3)</f>
        <v>1274.3</v>
      </c>
      <c r="D19" s="50">
        <f>VLOOKUP($A19,'Data shares'!$C:$FA,6)*100</f>
        <v>-1.7399999999999998</v>
      </c>
      <c r="E19" s="51">
        <f>VLOOKUP($A19,'Data shares'!$C:$FA,98)</f>
        <v>15224375</v>
      </c>
      <c r="F19" s="51">
        <f>VLOOKUP($A19,'Data shares'!$C:$FA,99)</f>
        <v>29964375</v>
      </c>
      <c r="G19" s="50">
        <f>VLOOKUP($A19,'Data shares'!$C:$FA,101)*100</f>
        <v>-49.19</v>
      </c>
      <c r="H19" s="49">
        <f>VLOOKUP($A19,'Data Vlaue (Cr)'!$C:$FB,99)</f>
        <v>1940</v>
      </c>
      <c r="I19" s="49">
        <f>VLOOKUP($A19,'Data Vlaue (Cr)'!$C:$FB,100)</f>
        <v>3818</v>
      </c>
      <c r="J19" s="49">
        <f>VLOOKUP($A19,'Data Vlaue (Cr)'!$C:$FB,102)*100</f>
        <v>-49.19</v>
      </c>
    </row>
    <row r="20" spans="1:10" x14ac:dyDescent="0.25">
      <c r="A20" s="101" t="str">
        <f>'NIFTY GRP'!C15</f>
        <v>EICHERMOT</v>
      </c>
      <c r="B20" s="140">
        <f>VLOOKUP($A20,'Data shares'!$C:$FA,7)</f>
        <v>5468.5</v>
      </c>
      <c r="C20" s="140">
        <f>VLOOKUP($A20,'Data shares'!$C:$FA,3)</f>
        <v>5424.5</v>
      </c>
      <c r="D20" s="50">
        <f>VLOOKUP($A20,'Data shares'!$C:$FA,6)*100</f>
        <v>-0.27</v>
      </c>
      <c r="E20" s="51">
        <f>VLOOKUP($A20,'Data shares'!$C:$FA,98)</f>
        <v>4248125</v>
      </c>
      <c r="F20" s="51">
        <f>VLOOKUP($A20,'Data shares'!$C:$FA,99)</f>
        <v>6294050</v>
      </c>
      <c r="G20" s="50">
        <f>VLOOKUP($A20,'Data shares'!$C:$FA,101)*100</f>
        <v>-32.51</v>
      </c>
      <c r="H20" s="49">
        <f>VLOOKUP($A20,'Data Vlaue (Cr)'!$C:$FB,99)</f>
        <v>2304</v>
      </c>
      <c r="I20" s="49">
        <f>VLOOKUP($A20,'Data Vlaue (Cr)'!$C:$FB,100)</f>
        <v>3414</v>
      </c>
      <c r="J20" s="49">
        <f>VLOOKUP($A20,'Data Vlaue (Cr)'!$C:$FB,102)*100</f>
        <v>-32.51</v>
      </c>
    </row>
    <row r="21" spans="1:10" x14ac:dyDescent="0.25">
      <c r="A21" s="101" t="str">
        <f>'NIFTY GRP'!C16</f>
        <v>ETERNAL</v>
      </c>
      <c r="B21" s="140">
        <f>VLOOKUP($A21,'Data shares'!$C:$FA,7)</f>
        <v>307.8</v>
      </c>
      <c r="C21" s="140">
        <f>VLOOKUP($A21,'Data shares'!$C:$FA,3)</f>
        <v>309.7</v>
      </c>
      <c r="D21" s="50">
        <f>VLOOKUP($A21,'Data shares'!$C:$FA,6)*100</f>
        <v>1.44</v>
      </c>
      <c r="E21" s="51">
        <f>VLOOKUP($A21,'Data shares'!$C:$FA,98)</f>
        <v>228895750</v>
      </c>
      <c r="F21" s="51">
        <f>VLOOKUP($A21,'Data shares'!$C:$FA,99)</f>
        <v>327826050</v>
      </c>
      <c r="G21" s="50">
        <f>VLOOKUP($A21,'Data shares'!$C:$FA,101)*100</f>
        <v>-30.18</v>
      </c>
      <c r="H21" s="49">
        <f>VLOOKUP($A21,'Data Vlaue (Cr)'!$C:$FB,99)</f>
        <v>7089</v>
      </c>
      <c r="I21" s="49">
        <f>VLOOKUP($A21,'Data Vlaue (Cr)'!$C:$FB,100)</f>
        <v>10153</v>
      </c>
      <c r="J21" s="49">
        <f>VLOOKUP($A21,'Data Vlaue (Cr)'!$C:$FB,102)*100</f>
        <v>-30.18</v>
      </c>
    </row>
    <row r="22" spans="1:10" x14ac:dyDescent="0.25">
      <c r="A22" s="101" t="str">
        <f>'NIFTY GRP'!C17</f>
        <v>GRASIM</v>
      </c>
      <c r="B22" s="140">
        <f>VLOOKUP($A22,'Data shares'!$C:$FA,7)</f>
        <v>2746.4</v>
      </c>
      <c r="C22" s="140">
        <f>VLOOKUP($A22,'Data shares'!$C:$FA,3)</f>
        <v>2752.8</v>
      </c>
      <c r="D22" s="50">
        <f>VLOOKUP($A22,'Data shares'!$C:$FA,6)*100</f>
        <v>-0.49</v>
      </c>
      <c r="E22" s="51">
        <f>VLOOKUP($A22,'Data shares'!$C:$FA,98)</f>
        <v>13841500</v>
      </c>
      <c r="F22" s="51">
        <f>VLOOKUP($A22,'Data shares'!$C:$FA,99)</f>
        <v>15926750</v>
      </c>
      <c r="G22" s="50">
        <f>VLOOKUP($A22,'Data shares'!$C:$FA,101)*100</f>
        <v>-13.089999999999998</v>
      </c>
      <c r="H22" s="49">
        <f>VLOOKUP($A22,'Data Vlaue (Cr)'!$C:$FB,99)</f>
        <v>3810</v>
      </c>
      <c r="I22" s="49">
        <f>VLOOKUP($A22,'Data Vlaue (Cr)'!$C:$FB,100)</f>
        <v>4384</v>
      </c>
      <c r="J22" s="49">
        <f>VLOOKUP($A22,'Data Vlaue (Cr)'!$C:$FB,102)*100</f>
        <v>-13.089999999999998</v>
      </c>
    </row>
    <row r="23" spans="1:10" x14ac:dyDescent="0.25">
      <c r="A23" s="101" t="str">
        <f>'NIFTY GRP'!C18</f>
        <v>HCLTECH</v>
      </c>
      <c r="B23" s="140">
        <f>VLOOKUP($A23,'Data shares'!$C:$FA,7)</f>
        <v>1467.9</v>
      </c>
      <c r="C23" s="140">
        <f>VLOOKUP($A23,'Data shares'!$C:$FA,3)</f>
        <v>1476.2</v>
      </c>
      <c r="D23" s="50">
        <f>VLOOKUP($A23,'Data shares'!$C:$FA,6)*100</f>
        <v>-0.59</v>
      </c>
      <c r="E23" s="51">
        <f>VLOOKUP($A23,'Data shares'!$C:$FA,98)</f>
        <v>26273450</v>
      </c>
      <c r="F23" s="51">
        <f>VLOOKUP($A23,'Data shares'!$C:$FA,99)</f>
        <v>39665850</v>
      </c>
      <c r="G23" s="50">
        <f>VLOOKUP($A23,'Data shares'!$C:$FA,101)*100</f>
        <v>-33.76</v>
      </c>
      <c r="H23" s="49">
        <f>VLOOKUP($A23,'Data Vlaue (Cr)'!$C:$FB,99)</f>
        <v>3878</v>
      </c>
      <c r="I23" s="49">
        <f>VLOOKUP($A23,'Data Vlaue (Cr)'!$C:$FB,100)</f>
        <v>5855</v>
      </c>
      <c r="J23" s="49">
        <f>VLOOKUP($A23,'Data Vlaue (Cr)'!$C:$FB,102)*100</f>
        <v>-33.76</v>
      </c>
    </row>
    <row r="24" spans="1:10" x14ac:dyDescent="0.25">
      <c r="A24" s="101" t="str">
        <f>'NIFTY GRP'!C19</f>
        <v>HDFCBANK</v>
      </c>
      <c r="B24" s="140">
        <f>VLOOKUP($A24,'Data shares'!$C:$FA,7)</f>
        <v>2018.2</v>
      </c>
      <c r="C24" s="140">
        <f>VLOOKUP($A24,'Data shares'!$C:$FA,3)</f>
        <v>2028.7</v>
      </c>
      <c r="D24" s="50">
        <f>VLOOKUP($A24,'Data shares'!$C:$FA,6)*100</f>
        <v>-0.27999999999999997</v>
      </c>
      <c r="E24" s="51">
        <f>VLOOKUP($A24,'Data shares'!$C:$FA,98)</f>
        <v>123107050</v>
      </c>
      <c r="F24" s="51">
        <f>VLOOKUP($A24,'Data shares'!$C:$FA,99)</f>
        <v>159005000</v>
      </c>
      <c r="G24" s="50">
        <f>VLOOKUP($A24,'Data shares'!$C:$FA,101)*100</f>
        <v>-22.58</v>
      </c>
      <c r="H24" s="49">
        <f>VLOOKUP($A24,'Data Vlaue (Cr)'!$C:$FB,99)</f>
        <v>24975</v>
      </c>
      <c r="I24" s="49">
        <f>VLOOKUP($A24,'Data Vlaue (Cr)'!$C:$FB,100)</f>
        <v>32257</v>
      </c>
      <c r="J24" s="49">
        <f>VLOOKUP($A24,'Data Vlaue (Cr)'!$C:$FB,102)*100</f>
        <v>-22.58</v>
      </c>
    </row>
    <row r="25" spans="1:10" x14ac:dyDescent="0.25">
      <c r="A25" s="101" t="str">
        <f>'NIFTY GRP'!C20</f>
        <v>HDFCLIFE</v>
      </c>
      <c r="B25" s="140">
        <f>VLOOKUP($A25,'Data shares'!$C:$FA,7)</f>
        <v>755.5</v>
      </c>
      <c r="C25" s="140">
        <f>VLOOKUP($A25,'Data shares'!$C:$FA,3)</f>
        <v>760</v>
      </c>
      <c r="D25" s="50">
        <f>VLOOKUP($A25,'Data shares'!$C:$FA,6)*100</f>
        <v>-0.22</v>
      </c>
      <c r="E25" s="51">
        <f>VLOOKUP($A25,'Data shares'!$C:$FA,98)</f>
        <v>34531200</v>
      </c>
      <c r="F25" s="51">
        <f>VLOOKUP($A25,'Data shares'!$C:$FA,99)</f>
        <v>55008800</v>
      </c>
      <c r="G25" s="50">
        <f>VLOOKUP($A25,'Data shares'!$C:$FA,101)*100</f>
        <v>-37.230000000000004</v>
      </c>
      <c r="H25" s="49">
        <f>VLOOKUP($A25,'Data Vlaue (Cr)'!$C:$FB,99)</f>
        <v>2624</v>
      </c>
      <c r="I25" s="49">
        <f>VLOOKUP($A25,'Data Vlaue (Cr)'!$C:$FB,100)</f>
        <v>4181</v>
      </c>
      <c r="J25" s="49">
        <f>VLOOKUP($A25,'Data Vlaue (Cr)'!$C:$FB,102)*100</f>
        <v>-37.230000000000004</v>
      </c>
    </row>
    <row r="26" spans="1:10" x14ac:dyDescent="0.25">
      <c r="A26" s="101" t="str">
        <f>'NIFTY GRP'!C21</f>
        <v>HEROMOTOCO</v>
      </c>
      <c r="B26" s="140">
        <f>VLOOKUP($A26,'Data shares'!$C:$FA,7)</f>
        <v>4260.7</v>
      </c>
      <c r="C26" s="140">
        <f>VLOOKUP($A26,'Data shares'!$C:$FA,3)</f>
        <v>4225</v>
      </c>
      <c r="D26" s="50">
        <f>VLOOKUP($A26,'Data shares'!$C:$FA,6)*100</f>
        <v>0.09</v>
      </c>
      <c r="E26" s="51">
        <f>VLOOKUP($A26,'Data shares'!$C:$FA,98)</f>
        <v>8461050</v>
      </c>
      <c r="F26" s="51">
        <f>VLOOKUP($A26,'Data shares'!$C:$FA,99)</f>
        <v>12753000</v>
      </c>
      <c r="G26" s="50">
        <f>VLOOKUP($A26,'Data shares'!$C:$FA,101)*100</f>
        <v>-33.650000000000006</v>
      </c>
      <c r="H26" s="49">
        <f>VLOOKUP($A26,'Data Vlaue (Cr)'!$C:$FB,99)</f>
        <v>3575</v>
      </c>
      <c r="I26" s="49">
        <f>VLOOKUP($A26,'Data Vlaue (Cr)'!$C:$FB,100)</f>
        <v>5388</v>
      </c>
      <c r="J26" s="49">
        <f>VLOOKUP($A26,'Data Vlaue (Cr)'!$C:$FB,102)*100</f>
        <v>-33.650000000000006</v>
      </c>
    </row>
    <row r="27" spans="1:10" x14ac:dyDescent="0.25">
      <c r="A27" s="101" t="str">
        <f>'NIFTY GRP'!C22</f>
        <v>HINDALCO</v>
      </c>
      <c r="B27" s="140">
        <f>VLOOKUP($A27,'Data shares'!$C:$FA,7)</f>
        <v>683.05</v>
      </c>
      <c r="C27" s="140">
        <f>VLOOKUP($A27,'Data shares'!$C:$FA,3)</f>
        <v>680.2</v>
      </c>
      <c r="D27" s="50">
        <f>VLOOKUP($A27,'Data shares'!$C:$FA,6)*100</f>
        <v>-1.05</v>
      </c>
      <c r="E27" s="51">
        <f>VLOOKUP($A27,'Data shares'!$C:$FA,98)</f>
        <v>54098800</v>
      </c>
      <c r="F27" s="51">
        <f>VLOOKUP($A27,'Data shares'!$C:$FA,99)</f>
        <v>73064600</v>
      </c>
      <c r="G27" s="50">
        <f>VLOOKUP($A27,'Data shares'!$C:$FA,101)*100</f>
        <v>-25.96</v>
      </c>
      <c r="H27" s="49">
        <f>VLOOKUP($A27,'Data Vlaue (Cr)'!$C:$FB,99)</f>
        <v>3680</v>
      </c>
      <c r="I27" s="49">
        <f>VLOOKUP($A27,'Data Vlaue (Cr)'!$C:$FB,100)</f>
        <v>4970</v>
      </c>
      <c r="J27" s="49">
        <f>VLOOKUP($A27,'Data Vlaue (Cr)'!$C:$FB,102)*100</f>
        <v>-25.96</v>
      </c>
    </row>
    <row r="28" spans="1:10" x14ac:dyDescent="0.25">
      <c r="A28" s="101" t="str">
        <f>'NIFTY GRP'!C23</f>
        <v>HINDUNILVR</v>
      </c>
      <c r="B28" s="140">
        <f>VLOOKUP($A28,'Data shares'!$C:$FA,7)</f>
        <v>2521.1999999999998</v>
      </c>
      <c r="C28" s="140">
        <f>VLOOKUP($A28,'Data shares'!$C:$FA,3)</f>
        <v>2532.5</v>
      </c>
      <c r="D28" s="50">
        <f>VLOOKUP($A28,'Data shares'!$C:$FA,6)*100</f>
        <v>3.3300000000000005</v>
      </c>
      <c r="E28" s="51">
        <f>VLOOKUP($A28,'Data shares'!$C:$FA,98)</f>
        <v>22008300</v>
      </c>
      <c r="F28" s="51">
        <f>VLOOKUP($A28,'Data shares'!$C:$FA,99)</f>
        <v>33402600</v>
      </c>
      <c r="G28" s="50">
        <f>VLOOKUP($A28,'Data shares'!$C:$FA,101)*100</f>
        <v>-34.11</v>
      </c>
      <c r="H28" s="49">
        <f>VLOOKUP($A28,'Data Vlaue (Cr)'!$C:$FB,99)</f>
        <v>5574</v>
      </c>
      <c r="I28" s="49">
        <f>VLOOKUP($A28,'Data Vlaue (Cr)'!$C:$FB,100)</f>
        <v>8459</v>
      </c>
      <c r="J28" s="49">
        <f>VLOOKUP($A28,'Data Vlaue (Cr)'!$C:$FB,102)*100</f>
        <v>-34.11</v>
      </c>
    </row>
    <row r="29" spans="1:10" x14ac:dyDescent="0.25">
      <c r="A29" s="101" t="str">
        <f>'NIFTY GRP'!C24</f>
        <v>ICICIBANK</v>
      </c>
      <c r="B29" s="140">
        <f>VLOOKUP($A29,'Data shares'!$C:$FA,7)</f>
        <v>1481.4</v>
      </c>
      <c r="C29" s="140">
        <f>VLOOKUP($A29,'Data shares'!$C:$FA,3)</f>
        <v>1477.4</v>
      </c>
      <c r="D29" s="50">
        <f>VLOOKUP($A29,'Data shares'!$C:$FA,6)*100</f>
        <v>-0.01</v>
      </c>
      <c r="E29" s="51">
        <f>VLOOKUP($A29,'Data shares'!$C:$FA,98)</f>
        <v>108199000</v>
      </c>
      <c r="F29" s="51">
        <f>VLOOKUP($A29,'Data shares'!$C:$FA,99)</f>
        <v>137342100</v>
      </c>
      <c r="G29" s="50">
        <f>VLOOKUP($A29,'Data shares'!$C:$FA,101)*100</f>
        <v>-21.22</v>
      </c>
      <c r="H29" s="49">
        <f>VLOOKUP($A29,'Data Vlaue (Cr)'!$C:$FB,99)</f>
        <v>15985</v>
      </c>
      <c r="I29" s="49">
        <f>VLOOKUP($A29,'Data Vlaue (Cr)'!$C:$FB,100)</f>
        <v>20291</v>
      </c>
      <c r="J29" s="49">
        <f>VLOOKUP($A29,'Data Vlaue (Cr)'!$C:$FB,102)*100</f>
        <v>-21.22</v>
      </c>
    </row>
    <row r="30" spans="1:10" x14ac:dyDescent="0.25">
      <c r="A30" s="101" t="str">
        <f>'NIFTY GRP'!C25</f>
        <v>INDUSINDBK</v>
      </c>
      <c r="B30" s="140">
        <f>VLOOKUP($A30,'Data shares'!$C:$FA,7)</f>
        <v>798.9</v>
      </c>
      <c r="C30" s="140">
        <f>VLOOKUP($A30,'Data shares'!$C:$FA,3)</f>
        <v>803.7</v>
      </c>
      <c r="D30" s="50">
        <f>VLOOKUP($A30,'Data shares'!$C:$FA,6)*100</f>
        <v>-0.38</v>
      </c>
      <c r="E30" s="51">
        <f>VLOOKUP($A30,'Data shares'!$C:$FA,98)</f>
        <v>62844600</v>
      </c>
      <c r="F30" s="51">
        <f>VLOOKUP($A30,'Data shares'!$C:$FA,99)</f>
        <v>83861400</v>
      </c>
      <c r="G30" s="50">
        <f>VLOOKUP($A30,'Data shares'!$C:$FA,101)*100</f>
        <v>-25.06</v>
      </c>
      <c r="H30" s="49">
        <f>VLOOKUP($A30,'Data Vlaue (Cr)'!$C:$FB,99)</f>
        <v>5051</v>
      </c>
      <c r="I30" s="49">
        <f>VLOOKUP($A30,'Data Vlaue (Cr)'!$C:$FB,100)</f>
        <v>6740</v>
      </c>
      <c r="J30" s="49">
        <f>VLOOKUP($A30,'Data Vlaue (Cr)'!$C:$FB,102)*100</f>
        <v>-25.06</v>
      </c>
    </row>
    <row r="31" spans="1:10" x14ac:dyDescent="0.25">
      <c r="A31" s="101" t="str">
        <f>'NIFTY GRP'!C26</f>
        <v>INFY</v>
      </c>
      <c r="B31" s="140">
        <f>VLOOKUP($A31,'Data shares'!$C:$FA,7)</f>
        <v>1509</v>
      </c>
      <c r="C31" s="140">
        <f>VLOOKUP($A31,'Data shares'!$C:$FA,3)</f>
        <v>1515</v>
      </c>
      <c r="D31" s="50">
        <f>VLOOKUP($A31,'Data shares'!$C:$FA,6)*100</f>
        <v>-0.66</v>
      </c>
      <c r="E31" s="51">
        <f>VLOOKUP($A31,'Data shares'!$C:$FA,98)</f>
        <v>85814800</v>
      </c>
      <c r="F31" s="51">
        <f>VLOOKUP($A31,'Data shares'!$C:$FA,99)</f>
        <v>117048000</v>
      </c>
      <c r="G31" s="50">
        <f>VLOOKUP($A31,'Data shares'!$C:$FA,101)*100</f>
        <v>-26.68</v>
      </c>
      <c r="H31" s="49">
        <f>VLOOKUP($A31,'Data Vlaue (Cr)'!$C:$FB,99)</f>
        <v>13001</v>
      </c>
      <c r="I31" s="49">
        <f>VLOOKUP($A31,'Data Vlaue (Cr)'!$C:$FB,100)</f>
        <v>17733</v>
      </c>
      <c r="J31" s="49">
        <f>VLOOKUP($A31,'Data Vlaue (Cr)'!$C:$FB,102)*100</f>
        <v>-26.68</v>
      </c>
    </row>
    <row r="32" spans="1:10" x14ac:dyDescent="0.25">
      <c r="A32" s="101" t="str">
        <f>'NIFTY GRP'!C27</f>
        <v>ITC</v>
      </c>
      <c r="B32" s="140">
        <f>VLOOKUP($A32,'Data shares'!$C:$FA,7)</f>
        <v>411.95</v>
      </c>
      <c r="C32" s="140">
        <f>VLOOKUP($A32,'Data shares'!$C:$FA,3)</f>
        <v>413.15</v>
      </c>
      <c r="D32" s="50">
        <f>VLOOKUP($A32,'Data shares'!$C:$FA,6)*100</f>
        <v>0.74</v>
      </c>
      <c r="E32" s="51">
        <f>VLOOKUP($A32,'Data shares'!$C:$FA,98)</f>
        <v>150204800</v>
      </c>
      <c r="F32" s="51">
        <f>VLOOKUP($A32,'Data shares'!$C:$FA,99)</f>
        <v>194017600</v>
      </c>
      <c r="G32" s="50">
        <f>VLOOKUP($A32,'Data shares'!$C:$FA,101)*100</f>
        <v>-22.58</v>
      </c>
      <c r="H32" s="49">
        <f>VLOOKUP($A32,'Data Vlaue (Cr)'!$C:$FB,99)</f>
        <v>6206</v>
      </c>
      <c r="I32" s="49">
        <f>VLOOKUP($A32,'Data Vlaue (Cr)'!$C:$FB,100)</f>
        <v>8016</v>
      </c>
      <c r="J32" s="49">
        <f>VLOOKUP($A32,'Data Vlaue (Cr)'!$C:$FB,102)*100</f>
        <v>-22.58</v>
      </c>
    </row>
    <row r="33" spans="1:10" x14ac:dyDescent="0.25">
      <c r="A33" s="101" t="str">
        <f>'NIFTY GRP'!C28</f>
        <v>JIOFIN</v>
      </c>
      <c r="B33" s="140">
        <f>VLOOKUP($A33,'Data shares'!$C:$FA,7)</f>
        <v>329.25</v>
      </c>
      <c r="C33" s="140">
        <f>VLOOKUP($A33,'Data shares'!$C:$FA,3)</f>
        <v>330.9</v>
      </c>
      <c r="D33" s="50">
        <f>VLOOKUP($A33,'Data shares'!$C:$FA,6)*100</f>
        <v>3.05</v>
      </c>
      <c r="E33" s="51">
        <f>VLOOKUP($A33,'Data shares'!$C:$FA,98)</f>
        <v>182073300</v>
      </c>
      <c r="F33" s="51">
        <f>VLOOKUP($A33,'Data shares'!$C:$FA,99)</f>
        <v>246432750</v>
      </c>
      <c r="G33" s="50">
        <f>VLOOKUP($A33,'Data shares'!$C:$FA,101)*100</f>
        <v>-26.119999999999997</v>
      </c>
      <c r="H33" s="49">
        <f>VLOOKUP($A33,'Data Vlaue (Cr)'!$C:$FB,99)</f>
        <v>6025</v>
      </c>
      <c r="I33" s="49">
        <f>VLOOKUP($A33,'Data Vlaue (Cr)'!$C:$FB,100)</f>
        <v>8154</v>
      </c>
      <c r="J33" s="49">
        <f>VLOOKUP($A33,'Data Vlaue (Cr)'!$C:$FB,102)*100</f>
        <v>-26.119999999999997</v>
      </c>
    </row>
    <row r="34" spans="1:10" x14ac:dyDescent="0.25">
      <c r="A34" s="101" t="str">
        <f>'NIFTY GRP'!C29</f>
        <v>JSWSTEEL</v>
      </c>
      <c r="B34" s="140">
        <f>VLOOKUP($A34,'Data shares'!$C:$FA,7)</f>
        <v>1048.3</v>
      </c>
      <c r="C34" s="140">
        <f>VLOOKUP($A34,'Data shares'!$C:$FA,3)</f>
        <v>1052.8</v>
      </c>
      <c r="D34" s="50">
        <f>VLOOKUP($A34,'Data shares'!$C:$FA,6)*100</f>
        <v>1.03</v>
      </c>
      <c r="E34" s="51">
        <f>VLOOKUP($A34,'Data shares'!$C:$FA,98)</f>
        <v>44253675</v>
      </c>
      <c r="F34" s="51">
        <f>VLOOKUP($A34,'Data shares'!$C:$FA,99)</f>
        <v>53927100</v>
      </c>
      <c r="G34" s="50">
        <f>VLOOKUP($A34,'Data shares'!$C:$FA,101)*100</f>
        <v>-17.940000000000001</v>
      </c>
      <c r="H34" s="49">
        <f>VLOOKUP($A34,'Data Vlaue (Cr)'!$C:$FB,99)</f>
        <v>4659</v>
      </c>
      <c r="I34" s="49">
        <f>VLOOKUP($A34,'Data Vlaue (Cr)'!$C:$FB,100)</f>
        <v>5677</v>
      </c>
      <c r="J34" s="49">
        <f>VLOOKUP($A34,'Data Vlaue (Cr)'!$C:$FB,102)*100</f>
        <v>-17.940000000000001</v>
      </c>
    </row>
    <row r="35" spans="1:10" x14ac:dyDescent="0.25">
      <c r="A35" s="101" t="str">
        <f>'NIFTY GRP'!C30</f>
        <v>KOTAKBANK</v>
      </c>
      <c r="B35" s="140">
        <f>VLOOKUP($A35,'Data shares'!$C:$FA,7)</f>
        <v>1978.6</v>
      </c>
      <c r="C35" s="140">
        <f>VLOOKUP($A35,'Data shares'!$C:$FA,3)</f>
        <v>1990.3</v>
      </c>
      <c r="D35" s="50">
        <f>VLOOKUP($A35,'Data shares'!$C:$FA,6)*100</f>
        <v>0.95</v>
      </c>
      <c r="E35" s="51">
        <f>VLOOKUP($A35,'Data shares'!$C:$FA,98)</f>
        <v>42890400</v>
      </c>
      <c r="F35" s="51">
        <f>VLOOKUP($A35,'Data shares'!$C:$FA,99)</f>
        <v>57997200</v>
      </c>
      <c r="G35" s="50">
        <f>VLOOKUP($A35,'Data shares'!$C:$FA,101)*100</f>
        <v>-26.05</v>
      </c>
      <c r="H35" s="49">
        <f>VLOOKUP($A35,'Data Vlaue (Cr)'!$C:$FB,99)</f>
        <v>8536</v>
      </c>
      <c r="I35" s="49">
        <f>VLOOKUP($A35,'Data Vlaue (Cr)'!$C:$FB,100)</f>
        <v>11543</v>
      </c>
      <c r="J35" s="49">
        <f>VLOOKUP($A35,'Data Vlaue (Cr)'!$C:$FB,102)*100</f>
        <v>-26.05</v>
      </c>
    </row>
    <row r="36" spans="1:10" x14ac:dyDescent="0.25">
      <c r="A36" s="101" t="str">
        <f>'NIFTY GRP'!C31</f>
        <v>LT</v>
      </c>
      <c r="B36" s="140">
        <f>VLOOKUP($A36,'Data shares'!$C:$FA,7)</f>
        <v>3636.5</v>
      </c>
      <c r="C36" s="140">
        <f>VLOOKUP($A36,'Data shares'!$C:$FA,3)</f>
        <v>3650.5</v>
      </c>
      <c r="D36" s="50">
        <f>VLOOKUP($A36,'Data shares'!$C:$FA,6)*100</f>
        <v>-0.77999999999999992</v>
      </c>
      <c r="E36" s="51">
        <f>VLOOKUP($A36,'Data shares'!$C:$FA,98)</f>
        <v>20781950</v>
      </c>
      <c r="F36" s="51">
        <f>VLOOKUP($A36,'Data shares'!$C:$FA,99)</f>
        <v>33516525</v>
      </c>
      <c r="G36" s="50">
        <f>VLOOKUP($A36,'Data shares'!$C:$FA,101)*100</f>
        <v>-37.99</v>
      </c>
      <c r="H36" s="49">
        <f>VLOOKUP($A36,'Data Vlaue (Cr)'!$C:$FB,99)</f>
        <v>7586</v>
      </c>
      <c r="I36" s="49">
        <f>VLOOKUP($A36,'Data Vlaue (Cr)'!$C:$FB,100)</f>
        <v>12235</v>
      </c>
      <c r="J36" s="49">
        <f>VLOOKUP($A36,'Data Vlaue (Cr)'!$C:$FB,102)*100</f>
        <v>-37.99</v>
      </c>
    </row>
    <row r="37" spans="1:10" x14ac:dyDescent="0.25">
      <c r="A37" s="101" t="str">
        <f>'NIFTY GRP'!C32</f>
        <v>M&amp;M</v>
      </c>
      <c r="B37" s="140">
        <f>VLOOKUP($A37,'Data shares'!$C:$FA,7)</f>
        <v>3203.1</v>
      </c>
      <c r="C37" s="140">
        <f>VLOOKUP($A37,'Data shares'!$C:$FA,3)</f>
        <v>3215.6</v>
      </c>
      <c r="D37" s="50">
        <f>VLOOKUP($A37,'Data shares'!$C:$FA,6)*100</f>
        <v>-0.38999999999999996</v>
      </c>
      <c r="E37" s="51">
        <f>VLOOKUP($A37,'Data shares'!$C:$FA,98)</f>
        <v>28761400</v>
      </c>
      <c r="F37" s="51">
        <f>VLOOKUP($A37,'Data shares'!$C:$FA,99)</f>
        <v>32964800</v>
      </c>
      <c r="G37" s="50">
        <f>VLOOKUP($A37,'Data shares'!$C:$FA,101)*100</f>
        <v>-12.75</v>
      </c>
      <c r="H37" s="49">
        <f>VLOOKUP($A37,'Data Vlaue (Cr)'!$C:$FB,99)</f>
        <v>9249</v>
      </c>
      <c r="I37" s="49">
        <f>VLOOKUP($A37,'Data Vlaue (Cr)'!$C:$FB,100)</f>
        <v>10600</v>
      </c>
      <c r="J37" s="49">
        <f>VLOOKUP($A37,'Data Vlaue (Cr)'!$C:$FB,102)*100</f>
        <v>-12.75</v>
      </c>
    </row>
    <row r="38" spans="1:10" x14ac:dyDescent="0.25">
      <c r="A38" s="101" t="str">
        <f>'NIFTY GRP'!C33</f>
        <v>MARUTI</v>
      </c>
      <c r="B38" s="140">
        <f>VLOOKUP($A38,'Data shares'!$C:$FA,7)</f>
        <v>12608</v>
      </c>
      <c r="C38" s="140">
        <f>VLOOKUP($A38,'Data shares'!$C:$FA,3)</f>
        <v>12551</v>
      </c>
      <c r="D38" s="50">
        <f>VLOOKUP($A38,'Data shares'!$C:$FA,6)*100</f>
        <v>6.9999999999999993E-2</v>
      </c>
      <c r="E38" s="51">
        <f>VLOOKUP($A38,'Data shares'!$C:$FA,98)</f>
        <v>4353200</v>
      </c>
      <c r="F38" s="51">
        <f>VLOOKUP($A38,'Data shares'!$C:$FA,99)</f>
        <v>6811050</v>
      </c>
      <c r="G38" s="50">
        <f>VLOOKUP($A38,'Data shares'!$C:$FA,101)*100</f>
        <v>-36.090000000000003</v>
      </c>
      <c r="H38" s="49">
        <f>VLOOKUP($A38,'Data Vlaue (Cr)'!$C:$FB,99)</f>
        <v>5464</v>
      </c>
      <c r="I38" s="49">
        <f>VLOOKUP($A38,'Data Vlaue (Cr)'!$C:$FB,100)</f>
        <v>8549</v>
      </c>
      <c r="J38" s="49">
        <f>VLOOKUP($A38,'Data Vlaue (Cr)'!$C:$FB,102)*100</f>
        <v>-36.090000000000003</v>
      </c>
    </row>
    <row r="39" spans="1:10" x14ac:dyDescent="0.25">
      <c r="A39" s="101" t="str">
        <f>'NIFTY GRP'!C34</f>
        <v>NESTLEIND</v>
      </c>
      <c r="B39" s="140">
        <f>VLOOKUP($A39,'Data shares'!$C:$FA,7)</f>
        <v>2247.6999999999998</v>
      </c>
      <c r="C39" s="140">
        <f>VLOOKUP($A39,'Data shares'!$C:$FA,3)</f>
        <v>2257.8000000000002</v>
      </c>
      <c r="D39" s="50">
        <f>VLOOKUP($A39,'Data shares'!$C:$FA,6)*100</f>
        <v>0.57999999999999996</v>
      </c>
      <c r="E39" s="51">
        <f>VLOOKUP($A39,'Data shares'!$C:$FA,98)</f>
        <v>13100250</v>
      </c>
      <c r="F39" s="51">
        <f>VLOOKUP($A39,'Data shares'!$C:$FA,99)</f>
        <v>17412000</v>
      </c>
      <c r="G39" s="50">
        <f>VLOOKUP($A39,'Data shares'!$C:$FA,101)*100</f>
        <v>-24.759999999999998</v>
      </c>
      <c r="H39" s="49">
        <f>VLOOKUP($A39,'Data Vlaue (Cr)'!$C:$FB,99)</f>
        <v>2958</v>
      </c>
      <c r="I39" s="49">
        <f>VLOOKUP($A39,'Data Vlaue (Cr)'!$C:$FB,100)</f>
        <v>3931</v>
      </c>
      <c r="J39" s="49">
        <f>VLOOKUP($A39,'Data Vlaue (Cr)'!$C:$FB,102)*100</f>
        <v>-24.759999999999998</v>
      </c>
    </row>
    <row r="40" spans="1:10" x14ac:dyDescent="0.25">
      <c r="A40" s="101" t="str">
        <f>'NIFTY GRP'!C35</f>
        <v>NTPC</v>
      </c>
      <c r="B40" s="140">
        <f>VLOOKUP($A40,'Data shares'!$C:$FA,7)</f>
        <v>334.25</v>
      </c>
      <c r="C40" s="140">
        <f>VLOOKUP($A40,'Data shares'!$C:$FA,3)</f>
        <v>335.8</v>
      </c>
      <c r="D40" s="50">
        <f>VLOOKUP($A40,'Data shares'!$C:$FA,6)*100</f>
        <v>-1.47</v>
      </c>
      <c r="E40" s="51">
        <f>VLOOKUP($A40,'Data shares'!$C:$FA,98)</f>
        <v>124138500</v>
      </c>
      <c r="F40" s="51">
        <f>VLOOKUP($A40,'Data shares'!$C:$FA,99)</f>
        <v>210288000</v>
      </c>
      <c r="G40" s="50">
        <f>VLOOKUP($A40,'Data shares'!$C:$FA,101)*100</f>
        <v>-40.97</v>
      </c>
      <c r="H40" s="49">
        <f>VLOOKUP($A40,'Data Vlaue (Cr)'!$C:$FB,99)</f>
        <v>4169</v>
      </c>
      <c r="I40" s="49">
        <f>VLOOKUP($A40,'Data Vlaue (Cr)'!$C:$FB,100)</f>
        <v>7061</v>
      </c>
      <c r="J40" s="49">
        <f>VLOOKUP($A40,'Data Vlaue (Cr)'!$C:$FB,102)*100</f>
        <v>-40.97</v>
      </c>
    </row>
    <row r="41" spans="1:10" x14ac:dyDescent="0.25">
      <c r="A41" s="101" t="str">
        <f>'NIFTY GRP'!C36</f>
        <v>ONGC</v>
      </c>
      <c r="B41" s="140">
        <f>VLOOKUP($A41,'Data shares'!$C:$FA,7)</f>
        <v>241</v>
      </c>
      <c r="C41" s="140">
        <f>VLOOKUP($A41,'Data shares'!$C:$FA,3)</f>
        <v>240.99</v>
      </c>
      <c r="D41" s="50">
        <f>VLOOKUP($A41,'Data shares'!$C:$FA,6)*100</f>
        <v>-0.67999999999999994</v>
      </c>
      <c r="E41" s="51">
        <f>VLOOKUP($A41,'Data shares'!$C:$FA,98)</f>
        <v>110857500</v>
      </c>
      <c r="F41" s="51">
        <f>VLOOKUP($A41,'Data shares'!$C:$FA,99)</f>
        <v>192267000</v>
      </c>
      <c r="G41" s="50">
        <f>VLOOKUP($A41,'Data shares'!$C:$FA,101)*100</f>
        <v>-42.34</v>
      </c>
      <c r="H41" s="49">
        <f>VLOOKUP($A41,'Data Vlaue (Cr)'!$C:$FB,99)</f>
        <v>2672</v>
      </c>
      <c r="I41" s="49">
        <f>VLOOKUP($A41,'Data Vlaue (Cr)'!$C:$FB,100)</f>
        <v>4633</v>
      </c>
      <c r="J41" s="49">
        <f>VLOOKUP($A41,'Data Vlaue (Cr)'!$C:$FB,102)*100</f>
        <v>-42.34</v>
      </c>
    </row>
    <row r="42" spans="1:10" x14ac:dyDescent="0.25">
      <c r="A42" s="101" t="str">
        <f>'NIFTY GRP'!C37</f>
        <v>POWERGRID</v>
      </c>
      <c r="B42" s="140">
        <f>VLOOKUP($A42,'Data shares'!$C:$FA,7)</f>
        <v>291</v>
      </c>
      <c r="C42" s="140">
        <f>VLOOKUP($A42,'Data shares'!$C:$FA,3)</f>
        <v>291.89999999999998</v>
      </c>
      <c r="D42" s="50">
        <f>VLOOKUP($A42,'Data shares'!$C:$FA,6)*100</f>
        <v>0.85000000000000009</v>
      </c>
      <c r="E42" s="51">
        <f>VLOOKUP($A42,'Data shares'!$C:$FA,98)</f>
        <v>88403200</v>
      </c>
      <c r="F42" s="51">
        <f>VLOOKUP($A42,'Data shares'!$C:$FA,99)</f>
        <v>123904700</v>
      </c>
      <c r="G42" s="50">
        <f>VLOOKUP($A42,'Data shares'!$C:$FA,101)*100</f>
        <v>-28.65</v>
      </c>
      <c r="H42" s="49">
        <f>VLOOKUP($A42,'Data Vlaue (Cr)'!$C:$FB,99)</f>
        <v>2580</v>
      </c>
      <c r="I42" s="49">
        <f>VLOOKUP($A42,'Data Vlaue (Cr)'!$C:$FB,100)</f>
        <v>3617</v>
      </c>
      <c r="J42" s="49">
        <f>VLOOKUP($A42,'Data Vlaue (Cr)'!$C:$FB,102)*100</f>
        <v>-28.65</v>
      </c>
    </row>
    <row r="43" spans="1:10" x14ac:dyDescent="0.25">
      <c r="A43" s="101" t="str">
        <f>'NIFTY GRP'!C38</f>
        <v>RELIANCE</v>
      </c>
      <c r="B43" s="140">
        <f>VLOOKUP($A43,'Data shares'!$C:$FA,7)</f>
        <v>1390.2</v>
      </c>
      <c r="C43" s="140">
        <f>VLOOKUP($A43,'Data shares'!$C:$FA,3)</f>
        <v>1393.9</v>
      </c>
      <c r="D43" s="50">
        <f>VLOOKUP($A43,'Data shares'!$C:$FA,6)*100</f>
        <v>-1.34</v>
      </c>
      <c r="E43" s="51">
        <f>VLOOKUP($A43,'Data shares'!$C:$FA,98)</f>
        <v>189255500</v>
      </c>
      <c r="F43" s="51">
        <f>VLOOKUP($A43,'Data shares'!$C:$FA,99)</f>
        <v>250183500</v>
      </c>
      <c r="G43" s="50">
        <f>VLOOKUP($A43,'Data shares'!$C:$FA,101)*100</f>
        <v>-24.349999999999998</v>
      </c>
      <c r="H43" s="49">
        <f>VLOOKUP($A43,'Data Vlaue (Cr)'!$C:$FB,99)</f>
        <v>26380</v>
      </c>
      <c r="I43" s="49">
        <f>VLOOKUP($A43,'Data Vlaue (Cr)'!$C:$FB,100)</f>
        <v>34873</v>
      </c>
      <c r="J43" s="49">
        <f>VLOOKUP($A43,'Data Vlaue (Cr)'!$C:$FB,102)*100</f>
        <v>-24.349999999999998</v>
      </c>
    </row>
    <row r="44" spans="1:10" x14ac:dyDescent="0.25">
      <c r="A44" s="101" t="str">
        <f>'NIFTY GRP'!C39</f>
        <v>SBILIFE</v>
      </c>
      <c r="B44" s="140">
        <f>VLOOKUP($A44,'Data shares'!$C:$FA,7)</f>
        <v>1840.7</v>
      </c>
      <c r="C44" s="140">
        <f>VLOOKUP($A44,'Data shares'!$C:$FA,3)</f>
        <v>1849.6</v>
      </c>
      <c r="D44" s="50">
        <f>VLOOKUP($A44,'Data shares'!$C:$FA,6)*100</f>
        <v>0.08</v>
      </c>
      <c r="E44" s="51">
        <f>VLOOKUP($A44,'Data shares'!$C:$FA,98)</f>
        <v>8151000</v>
      </c>
      <c r="F44" s="51">
        <f>VLOOKUP($A44,'Data shares'!$C:$FA,99)</f>
        <v>13627125</v>
      </c>
      <c r="G44" s="50">
        <f>VLOOKUP($A44,'Data shares'!$C:$FA,101)*100</f>
        <v>-40.19</v>
      </c>
      <c r="H44" s="49">
        <f>VLOOKUP($A44,'Data Vlaue (Cr)'!$C:$FB,99)</f>
        <v>1508</v>
      </c>
      <c r="I44" s="49">
        <f>VLOOKUP($A44,'Data Vlaue (Cr)'!$C:$FB,100)</f>
        <v>2520</v>
      </c>
      <c r="J44" s="49">
        <f>VLOOKUP($A44,'Data Vlaue (Cr)'!$C:$FB,102)*100</f>
        <v>-40.19</v>
      </c>
    </row>
    <row r="45" spans="1:10" x14ac:dyDescent="0.25">
      <c r="A45" s="101" t="str">
        <f>'NIFTY GRP'!C40</f>
        <v>SBIN</v>
      </c>
      <c r="B45" s="140">
        <f>VLOOKUP($A45,'Data shares'!$C:$FA,7)</f>
        <v>796.55</v>
      </c>
      <c r="C45" s="140">
        <f>VLOOKUP($A45,'Data shares'!$C:$FA,3)</f>
        <v>801.1</v>
      </c>
      <c r="D45" s="50">
        <f>VLOOKUP($A45,'Data shares'!$C:$FA,6)*100</f>
        <v>-0.57000000000000006</v>
      </c>
      <c r="E45" s="51">
        <f>VLOOKUP($A45,'Data shares'!$C:$FA,98)</f>
        <v>174086250</v>
      </c>
      <c r="F45" s="51">
        <f>VLOOKUP($A45,'Data shares'!$C:$FA,99)</f>
        <v>248484000</v>
      </c>
      <c r="G45" s="50">
        <f>VLOOKUP($A45,'Data shares'!$C:$FA,101)*100</f>
        <v>-29.94</v>
      </c>
      <c r="H45" s="49">
        <f>VLOOKUP($A45,'Data Vlaue (Cr)'!$C:$FB,99)</f>
        <v>13946</v>
      </c>
      <c r="I45" s="49">
        <f>VLOOKUP($A45,'Data Vlaue (Cr)'!$C:$FB,100)</f>
        <v>19906</v>
      </c>
      <c r="J45" s="49">
        <f>VLOOKUP($A45,'Data Vlaue (Cr)'!$C:$FB,102)*100</f>
        <v>-29.94</v>
      </c>
    </row>
    <row r="46" spans="1:10" x14ac:dyDescent="0.25">
      <c r="A46" s="101" t="str">
        <f>'NIFTY GRP'!C41</f>
        <v>SHRIRAMFIN</v>
      </c>
      <c r="B46" s="140">
        <f>VLOOKUP($A46,'Data shares'!$C:$FA,7)</f>
        <v>630.85</v>
      </c>
      <c r="C46" s="140">
        <f>VLOOKUP($A46,'Data shares'!$C:$FA,3)</f>
        <v>634.25</v>
      </c>
      <c r="D46" s="50">
        <f>VLOOKUP($A46,'Data shares'!$C:$FA,6)*100</f>
        <v>-0.16999999999999998</v>
      </c>
      <c r="E46" s="51">
        <f>VLOOKUP($A46,'Data shares'!$C:$FA,98)</f>
        <v>46774200</v>
      </c>
      <c r="F46" s="51">
        <f>VLOOKUP($A46,'Data shares'!$C:$FA,99)</f>
        <v>60694425</v>
      </c>
      <c r="G46" s="50">
        <f>VLOOKUP($A46,'Data shares'!$C:$FA,101)*100</f>
        <v>-22.93</v>
      </c>
      <c r="H46" s="49">
        <f>VLOOKUP($A46,'Data Vlaue (Cr)'!$C:$FB,99)</f>
        <v>2967</v>
      </c>
      <c r="I46" s="49">
        <f>VLOOKUP($A46,'Data Vlaue (Cr)'!$C:$FB,100)</f>
        <v>3850</v>
      </c>
      <c r="J46" s="49">
        <f>VLOOKUP($A46,'Data Vlaue (Cr)'!$C:$FB,102)*100</f>
        <v>-22.93</v>
      </c>
    </row>
    <row r="47" spans="1:10" x14ac:dyDescent="0.25">
      <c r="A47" s="101" t="str">
        <f>'NIFTY GRP'!C42</f>
        <v>SUNPHARMA</v>
      </c>
      <c r="B47" s="140">
        <f>VLOOKUP($A47,'Data shares'!$C:$FA,7)</f>
        <v>1706.7</v>
      </c>
      <c r="C47" s="140">
        <f>VLOOKUP($A47,'Data shares'!$C:$FA,3)</f>
        <v>1713.9</v>
      </c>
      <c r="D47" s="50">
        <f>VLOOKUP($A47,'Data shares'!$C:$FA,6)*100</f>
        <v>-1.72</v>
      </c>
      <c r="E47" s="51">
        <f>VLOOKUP($A47,'Data shares'!$C:$FA,98)</f>
        <v>24298050</v>
      </c>
      <c r="F47" s="51">
        <f>VLOOKUP($A47,'Data shares'!$C:$FA,99)</f>
        <v>36528100</v>
      </c>
      <c r="G47" s="50">
        <f>VLOOKUP($A47,'Data shares'!$C:$FA,101)*100</f>
        <v>-33.479999999999997</v>
      </c>
      <c r="H47" s="49">
        <f>VLOOKUP($A47,'Data Vlaue (Cr)'!$C:$FB,99)</f>
        <v>4164</v>
      </c>
      <c r="I47" s="49">
        <f>VLOOKUP($A47,'Data Vlaue (Cr)'!$C:$FB,100)</f>
        <v>6261</v>
      </c>
      <c r="J47" s="49">
        <f>VLOOKUP($A47,'Data Vlaue (Cr)'!$C:$FB,102)*100</f>
        <v>-33.479999999999997</v>
      </c>
    </row>
    <row r="48" spans="1:10" x14ac:dyDescent="0.25">
      <c r="A48" s="101" t="str">
        <f>'NIFTY GRP'!C43</f>
        <v>TATACONSUM</v>
      </c>
      <c r="B48" s="140">
        <f>VLOOKUP($A48,'Data shares'!$C:$FA,7)</f>
        <v>1073.2</v>
      </c>
      <c r="C48" s="140">
        <f>VLOOKUP($A48,'Data shares'!$C:$FA,3)</f>
        <v>1076.4000000000001</v>
      </c>
      <c r="D48" s="50">
        <f>VLOOKUP($A48,'Data shares'!$C:$FA,6)*100</f>
        <v>-0.27</v>
      </c>
      <c r="E48" s="51">
        <f>VLOOKUP($A48,'Data shares'!$C:$FA,98)</f>
        <v>17476250</v>
      </c>
      <c r="F48" s="51">
        <f>VLOOKUP($A48,'Data shares'!$C:$FA,99)</f>
        <v>25700400</v>
      </c>
      <c r="G48" s="50">
        <f>VLOOKUP($A48,'Data shares'!$C:$FA,101)*100</f>
        <v>-32</v>
      </c>
      <c r="H48" s="49">
        <f>VLOOKUP($A48,'Data Vlaue (Cr)'!$C:$FB,99)</f>
        <v>1881</v>
      </c>
      <c r="I48" s="49">
        <f>VLOOKUP($A48,'Data Vlaue (Cr)'!$C:$FB,100)</f>
        <v>2766</v>
      </c>
      <c r="J48" s="49">
        <f>VLOOKUP($A48,'Data Vlaue (Cr)'!$C:$FB,102)*100</f>
        <v>-32</v>
      </c>
    </row>
    <row r="49" spans="1:10" x14ac:dyDescent="0.25">
      <c r="A49" s="101" t="str">
        <f>'NIFTY GRP'!C44</f>
        <v>TATAMOTORS</v>
      </c>
      <c r="B49" s="140">
        <f>VLOOKUP($A49,'Data shares'!$C:$FA,7)</f>
        <v>665.95</v>
      </c>
      <c r="C49" s="140">
        <f>VLOOKUP($A49,'Data shares'!$C:$FA,3)</f>
        <v>668.4</v>
      </c>
      <c r="D49" s="50">
        <f>VLOOKUP($A49,'Data shares'!$C:$FA,6)*100</f>
        <v>-0.43</v>
      </c>
      <c r="E49" s="51">
        <f>VLOOKUP($A49,'Data shares'!$C:$FA,98)</f>
        <v>117378400</v>
      </c>
      <c r="F49" s="51">
        <f>VLOOKUP($A49,'Data shares'!$C:$FA,99)</f>
        <v>154627200</v>
      </c>
      <c r="G49" s="50">
        <f>VLOOKUP($A49,'Data shares'!$C:$FA,101)*100</f>
        <v>-24.09</v>
      </c>
      <c r="H49" s="49">
        <f>VLOOKUP($A49,'Data Vlaue (Cr)'!$C:$FB,99)</f>
        <v>7846</v>
      </c>
      <c r="I49" s="49">
        <f>VLOOKUP($A49,'Data Vlaue (Cr)'!$C:$FB,100)</f>
        <v>10335</v>
      </c>
      <c r="J49" s="49">
        <f>VLOOKUP($A49,'Data Vlaue (Cr)'!$C:$FB,102)*100</f>
        <v>-24.09</v>
      </c>
    </row>
    <row r="50" spans="1:10" x14ac:dyDescent="0.25">
      <c r="A50" s="101" t="str">
        <f>'NIFTY GRP'!C45</f>
        <v>TATASTEEL</v>
      </c>
      <c r="B50" s="140">
        <f>VLOOKUP($A50,'Data shares'!$C:$FA,7)</f>
        <v>157.94</v>
      </c>
      <c r="C50" s="140">
        <f>VLOOKUP($A50,'Data shares'!$C:$FA,3)</f>
        <v>158.41999999999999</v>
      </c>
      <c r="D50" s="50">
        <f>VLOOKUP($A50,'Data shares'!$C:$FA,6)*100</f>
        <v>-2.41</v>
      </c>
      <c r="E50" s="51">
        <f>VLOOKUP($A50,'Data shares'!$C:$FA,98)</f>
        <v>311949000</v>
      </c>
      <c r="F50" s="51">
        <f>VLOOKUP($A50,'Data shares'!$C:$FA,99)</f>
        <v>432558500</v>
      </c>
      <c r="G50" s="50">
        <f>VLOOKUP($A50,'Data shares'!$C:$FA,101)*100</f>
        <v>-27.88</v>
      </c>
      <c r="H50" s="49">
        <f>VLOOKUP($A50,'Data Vlaue (Cr)'!$C:$FB,99)</f>
        <v>4942</v>
      </c>
      <c r="I50" s="49">
        <f>VLOOKUP($A50,'Data Vlaue (Cr)'!$C:$FB,100)</f>
        <v>6853</v>
      </c>
      <c r="J50" s="49">
        <f>VLOOKUP($A50,'Data Vlaue (Cr)'!$C:$FB,102)*100</f>
        <v>-27.88</v>
      </c>
    </row>
    <row r="51" spans="1:10" x14ac:dyDescent="0.25">
      <c r="A51" s="101" t="str">
        <f>'NIFTY GRP'!C46</f>
        <v>TCS</v>
      </c>
      <c r="B51" s="140">
        <f>VLOOKUP($A51,'Data shares'!$C:$FA,7)</f>
        <v>3036.8</v>
      </c>
      <c r="C51" s="140">
        <f>VLOOKUP($A51,'Data shares'!$C:$FA,3)</f>
        <v>3051.9</v>
      </c>
      <c r="D51" s="50">
        <f>VLOOKUP($A51,'Data shares'!$C:$FA,6)*100</f>
        <v>-0.63</v>
      </c>
      <c r="E51" s="51">
        <f>VLOOKUP($A51,'Data shares'!$C:$FA,98)</f>
        <v>49753900</v>
      </c>
      <c r="F51" s="51">
        <f>VLOOKUP($A51,'Data shares'!$C:$FA,99)</f>
        <v>67671975</v>
      </c>
      <c r="G51" s="50">
        <f>VLOOKUP($A51,'Data shares'!$C:$FA,101)*100</f>
        <v>-26.479999999999997</v>
      </c>
      <c r="H51" s="49">
        <f>VLOOKUP($A51,'Data Vlaue (Cr)'!$C:$FB,99)</f>
        <v>15184</v>
      </c>
      <c r="I51" s="49">
        <f>VLOOKUP($A51,'Data Vlaue (Cr)'!$C:$FB,100)</f>
        <v>20653</v>
      </c>
      <c r="J51" s="49">
        <f>VLOOKUP($A51,'Data Vlaue (Cr)'!$C:$FB,102)*100</f>
        <v>-26.479999999999997</v>
      </c>
    </row>
    <row r="52" spans="1:10" x14ac:dyDescent="0.25">
      <c r="A52" s="101" t="str">
        <f>'NIFTY GRP'!C47</f>
        <v>TECHM</v>
      </c>
      <c r="B52" s="140">
        <f>VLOOKUP($A52,'Data shares'!$C:$FA,7)</f>
        <v>1463.7</v>
      </c>
      <c r="C52" s="140">
        <f>VLOOKUP($A52,'Data shares'!$C:$FA,3)</f>
        <v>1469.4</v>
      </c>
      <c r="D52" s="50">
        <f>VLOOKUP($A52,'Data shares'!$C:$FA,6)*100</f>
        <v>-6.9999999999999993E-2</v>
      </c>
      <c r="E52" s="51">
        <f>VLOOKUP($A52,'Data shares'!$C:$FA,98)</f>
        <v>23419200</v>
      </c>
      <c r="F52" s="51">
        <f>VLOOKUP($A52,'Data shares'!$C:$FA,99)</f>
        <v>37277400</v>
      </c>
      <c r="G52" s="50">
        <f>VLOOKUP($A52,'Data shares'!$C:$FA,101)*100</f>
        <v>-37.18</v>
      </c>
      <c r="H52" s="49">
        <f>VLOOKUP($A52,'Data Vlaue (Cr)'!$C:$FB,99)</f>
        <v>3441</v>
      </c>
      <c r="I52" s="49">
        <f>VLOOKUP($A52,'Data Vlaue (Cr)'!$C:$FB,100)</f>
        <v>5478</v>
      </c>
      <c r="J52" s="49">
        <f>VLOOKUP($A52,'Data Vlaue (Cr)'!$C:$FB,102)*100</f>
        <v>-37.18</v>
      </c>
    </row>
    <row r="53" spans="1:10" x14ac:dyDescent="0.25">
      <c r="A53" s="101" t="str">
        <f>'NIFTY GRP'!C48</f>
        <v>TITAN</v>
      </c>
      <c r="B53" s="140">
        <f>VLOOKUP($A53,'Data shares'!$C:$FA,7)</f>
        <v>3347.3</v>
      </c>
      <c r="C53" s="140">
        <f>VLOOKUP($A53,'Data shares'!$C:$FA,3)</f>
        <v>3359.1</v>
      </c>
      <c r="D53" s="50">
        <f>VLOOKUP($A53,'Data shares'!$C:$FA,6)*100</f>
        <v>-1.0999999999999999</v>
      </c>
      <c r="E53" s="51">
        <f>VLOOKUP($A53,'Data shares'!$C:$FA,98)</f>
        <v>12275900</v>
      </c>
      <c r="F53" s="51">
        <f>VLOOKUP($A53,'Data shares'!$C:$FA,99)</f>
        <v>17684100</v>
      </c>
      <c r="G53" s="50">
        <f>VLOOKUP($A53,'Data shares'!$C:$FA,101)*100</f>
        <v>-30.580000000000002</v>
      </c>
      <c r="H53" s="49">
        <f>VLOOKUP($A53,'Data Vlaue (Cr)'!$C:$FB,99)</f>
        <v>4124</v>
      </c>
      <c r="I53" s="49">
        <f>VLOOKUP($A53,'Data Vlaue (Cr)'!$C:$FB,100)</f>
        <v>5940</v>
      </c>
      <c r="J53" s="49">
        <f>VLOOKUP($A53,'Data Vlaue (Cr)'!$C:$FB,102)*100</f>
        <v>-30.580000000000002</v>
      </c>
    </row>
    <row r="54" spans="1:10" x14ac:dyDescent="0.25">
      <c r="A54" s="101" t="str">
        <f>'NIFTY GRP'!C49</f>
        <v>TRENT</v>
      </c>
      <c r="B54" s="140">
        <f>VLOOKUP($A54,'Data shares'!$C:$FA,7)</f>
        <v>5018</v>
      </c>
      <c r="C54" s="140">
        <f>VLOOKUP($A54,'Data shares'!$C:$FA,3)</f>
        <v>5040.5</v>
      </c>
      <c r="D54" s="50">
        <f>VLOOKUP($A54,'Data shares'!$C:$FA,6)*100</f>
        <v>-0.49</v>
      </c>
      <c r="E54" s="51">
        <f>VLOOKUP($A54,'Data shares'!$C:$FA,98)</f>
        <v>10079800</v>
      </c>
      <c r="F54" s="51">
        <f>VLOOKUP($A54,'Data shares'!$C:$FA,99)</f>
        <v>17565800</v>
      </c>
      <c r="G54" s="50">
        <f>VLOOKUP($A54,'Data shares'!$C:$FA,101)*100</f>
        <v>-42.620000000000005</v>
      </c>
      <c r="H54" s="49">
        <f>VLOOKUP($A54,'Data Vlaue (Cr)'!$C:$FB,99)</f>
        <v>5081</v>
      </c>
      <c r="I54" s="49">
        <f>VLOOKUP($A54,'Data Vlaue (Cr)'!$C:$FB,100)</f>
        <v>8854</v>
      </c>
      <c r="J54" s="49">
        <f>VLOOKUP($A54,'Data Vlaue (Cr)'!$C:$FB,102)*100</f>
        <v>-42.620000000000005</v>
      </c>
    </row>
    <row r="55" spans="1:10" x14ac:dyDescent="0.25">
      <c r="A55" s="101" t="str">
        <f>'NIFTY GRP'!C50</f>
        <v>ULTRACEMCO</v>
      </c>
      <c r="B55" s="140">
        <f>VLOOKUP($A55,'Data shares'!$C:$FA,7)</f>
        <v>12249</v>
      </c>
      <c r="C55" s="140">
        <f>VLOOKUP($A55,'Data shares'!$C:$FA,3)</f>
        <v>12320</v>
      </c>
      <c r="D55" s="50">
        <f>VLOOKUP($A55,'Data shares'!$C:$FA,6)*100</f>
        <v>-0.1</v>
      </c>
      <c r="E55" s="51">
        <f>VLOOKUP($A55,'Data shares'!$C:$FA,98)</f>
        <v>2905500</v>
      </c>
      <c r="F55" s="51">
        <f>VLOOKUP($A55,'Data shares'!$C:$FA,99)</f>
        <v>4353600</v>
      </c>
      <c r="G55" s="50">
        <f>VLOOKUP($A55,'Data shares'!$C:$FA,101)*100</f>
        <v>-33.26</v>
      </c>
      <c r="H55" s="49">
        <f>VLOOKUP($A55,'Data Vlaue (Cr)'!$C:$FB,99)</f>
        <v>3580</v>
      </c>
      <c r="I55" s="49">
        <f>VLOOKUP($A55,'Data Vlaue (Cr)'!$C:$FB,100)</f>
        <v>5364</v>
      </c>
      <c r="J55" s="49">
        <f>VLOOKUP($A55,'Data Vlaue (Cr)'!$C:$FB,102)*100</f>
        <v>-33.26</v>
      </c>
    </row>
    <row r="56" spans="1:10" x14ac:dyDescent="0.25">
      <c r="A56" s="101" t="str">
        <f>'NIFTY GRP'!C51</f>
        <v>WIPRO</v>
      </c>
      <c r="B56" s="140">
        <f>VLOOKUP($A56,'Data shares'!$C:$FA,7)</f>
        <v>248.3</v>
      </c>
      <c r="C56" s="140">
        <f>VLOOKUP($A56,'Data shares'!$C:$FA,3)</f>
        <v>248.25</v>
      </c>
      <c r="D56" s="50">
        <f>VLOOKUP($A56,'Data shares'!$C:$FA,6)*100</f>
        <v>-0.5</v>
      </c>
      <c r="E56" s="51">
        <f>VLOOKUP($A56,'Data shares'!$C:$FA,98)</f>
        <v>155478000</v>
      </c>
      <c r="F56" s="51">
        <f>VLOOKUP($A56,'Data shares'!$C:$FA,99)</f>
        <v>224385000</v>
      </c>
      <c r="G56" s="50">
        <f>VLOOKUP($A56,'Data shares'!$C:$FA,101)*100</f>
        <v>-30.709999999999997</v>
      </c>
      <c r="H56" s="49">
        <f>VLOOKUP($A56,'Data Vlaue (Cr)'!$C:$FB,99)</f>
        <v>3860</v>
      </c>
      <c r="I56" s="49">
        <f>VLOOKUP($A56,'Data Vlaue (Cr)'!$C:$FB,100)</f>
        <v>5570</v>
      </c>
      <c r="J56" s="49">
        <f>VLOOKUP($A56,'Data Vlaue (Cr)'!$C:$FB,102)*100</f>
        <v>-30.709999999999997</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f>SUM(E7:E93)</f>
        <v>3455502525</v>
      </c>
      <c r="F94" s="127">
        <f>SUM(F7:F93)</f>
        <v>4812721975</v>
      </c>
      <c r="G94" s="128">
        <f>(E94-F94)/F94</f>
        <v>-0.28200661851030778</v>
      </c>
      <c r="H94" s="127">
        <f>SUM(H7:H93)</f>
        <v>324079</v>
      </c>
      <c r="I94" s="127">
        <f>SUM(I7:I93)</f>
        <v>448201</v>
      </c>
      <c r="J94" s="128">
        <f>(H94-I94)/I94</f>
        <v>-0.2769337864038679</v>
      </c>
    </row>
    <row r="95" spans="1:10" s="88" customFormat="1" ht="13.5" customHeight="1" x14ac:dyDescent="0.25">
      <c r="A95" s="126" t="s">
        <v>398</v>
      </c>
      <c r="B95" s="122"/>
      <c r="C95" s="122"/>
      <c r="D95" s="122"/>
      <c r="E95" s="125">
        <f>E94/10000000</f>
        <v>345.5502525</v>
      </c>
      <c r="F95" s="125">
        <f>F94/10000000</f>
        <v>481.2721975</v>
      </c>
      <c r="G95" s="128">
        <f>(E95-F95)/F95</f>
        <v>-0.28200661851030778</v>
      </c>
      <c r="H95" s="129">
        <f>H94/10000000</f>
        <v>3.2407900000000003E-2</v>
      </c>
      <c r="I95" s="129">
        <f>I94/10000000</f>
        <v>4.4820100000000002E-2</v>
      </c>
      <c r="J95" s="128">
        <f>(H95-I95)/I95</f>
        <v>-0.27693378640386784</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f>H94</f>
        <v>324079</v>
      </c>
      <c r="B103" s="38">
        <f>I94</f>
        <v>448201</v>
      </c>
      <c r="C103" s="42">
        <f>J94</f>
        <v>-0.2769337864038679</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148" activePane="bottomLeft" state="frozen"/>
      <selection pane="bottomLeft" activeCell="A49" sqref="A49:K4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45869</v>
      </c>
      <c r="C6" s="76" t="s">
        <v>328</v>
      </c>
      <c r="D6" s="3">
        <f>B6</f>
        <v>45869</v>
      </c>
      <c r="E6" s="76" t="s">
        <v>322</v>
      </c>
      <c r="F6" s="76" t="s">
        <v>328</v>
      </c>
      <c r="G6" s="3">
        <f>D6</f>
        <v>45869</v>
      </c>
      <c r="H6" s="76" t="s">
        <v>322</v>
      </c>
      <c r="I6" s="76" t="s">
        <v>328</v>
      </c>
      <c r="J6" s="3">
        <f>D6</f>
        <v>45869</v>
      </c>
      <c r="K6" s="76" t="s">
        <v>322</v>
      </c>
      <c r="L6" s="76" t="s">
        <v>328</v>
      </c>
      <c r="M6" s="3">
        <f>D6</f>
        <v>45869</v>
      </c>
      <c r="N6" s="76" t="s">
        <v>322</v>
      </c>
      <c r="O6" s="76" t="s">
        <v>328</v>
      </c>
    </row>
    <row r="7" spans="1:15" x14ac:dyDescent="0.25">
      <c r="A7" s="101" t="str">
        <f>'Data Vlaue (Cr)'!C2</f>
        <v>360ONE</v>
      </c>
      <c r="B7" s="50">
        <f>VLOOKUP($A7,'Data Vlaue (Cr)'!$C:$FB,8)</f>
        <v>1052.7</v>
      </c>
      <c r="C7" s="50">
        <f>VLOOKUP($A7,'Data Vlaue (Cr)'!$C:$FB,11)*100</f>
        <v>-0.71000000000000008</v>
      </c>
      <c r="D7" s="50">
        <f>VLOOKUP($A7,'Data Vlaue (Cr)'!$C:$FB,143)</f>
        <v>648.9</v>
      </c>
      <c r="E7" s="50">
        <f>VLOOKUP($A7,'Data Vlaue (Cr)'!$C:$FB,144)</f>
        <v>568</v>
      </c>
      <c r="F7" s="50">
        <f>VLOOKUP($A7,'Data Vlaue (Cr)'!$C:$FB,146)*100</f>
        <v>14.24</v>
      </c>
      <c r="G7" s="49">
        <f>VLOOKUP($A7,'Data Vlaue (Cr)'!$C:$FB,43)</f>
        <v>472</v>
      </c>
      <c r="H7" s="49">
        <f>VLOOKUP($A7,'Data Vlaue (Cr)'!$C:$FB,44)</f>
        <v>232</v>
      </c>
      <c r="I7" s="49">
        <f>VLOOKUP($A7,'Data Vlaue (Cr)'!$C:$FB,46)*100</f>
        <v>103.69999999999999</v>
      </c>
      <c r="J7" s="51">
        <f>VLOOKUP($A7,'Data Vlaue (Cr)'!$C:$FB,59)</f>
        <v>117</v>
      </c>
      <c r="K7" s="51">
        <f>VLOOKUP($A7,'Data Vlaue (Cr)'!$C:$FB,60)</f>
        <v>252</v>
      </c>
      <c r="L7" s="51">
        <f>VLOOKUP($A7,'Data Vlaue (Cr)'!$C:$FB,62)*100</f>
        <v>-53.569999999999993</v>
      </c>
      <c r="M7" s="51">
        <f>VLOOKUP($A7,'Data Vlaue (Cr)'!$C:$FB,63)</f>
        <v>47</v>
      </c>
      <c r="N7" s="51">
        <f>VLOOKUP($A7,'Data Vlaue (Cr)'!$C:$FB,64)</f>
        <v>49</v>
      </c>
      <c r="O7" s="51">
        <f>VLOOKUP($A7,'Data Vlaue (Cr)'!$C:$FB,66)*100</f>
        <v>-4.9399999999999995</v>
      </c>
    </row>
    <row r="8" spans="1:15" x14ac:dyDescent="0.25">
      <c r="A8" s="101" t="str">
        <f>'Data Vlaue (Cr)'!C3</f>
        <v>AARTIIND</v>
      </c>
      <c r="B8" s="50">
        <f>VLOOKUP($A8,'Data Vlaue (Cr)'!$C:$FB,8)</f>
        <v>420.05</v>
      </c>
      <c r="C8" s="50">
        <f>VLOOKUP($A8,'Data Vlaue (Cr)'!$C:$FB,11)*100</f>
        <v>-5.71</v>
      </c>
      <c r="D8" s="50">
        <f>VLOOKUP($A8,'Data Vlaue (Cr)'!$C:$FB,143)</f>
        <v>658.1</v>
      </c>
      <c r="E8" s="50">
        <f>VLOOKUP($A8,'Data Vlaue (Cr)'!$C:$FB,144)</f>
        <v>508.75</v>
      </c>
      <c r="F8" s="50">
        <f>VLOOKUP($A8,'Data Vlaue (Cr)'!$C:$FB,146)*100</f>
        <v>29.360000000000003</v>
      </c>
      <c r="G8" s="49">
        <f>VLOOKUP($A8,'Data Vlaue (Cr)'!$C:$FB,43)</f>
        <v>0</v>
      </c>
      <c r="H8" s="49">
        <f>VLOOKUP($A8,'Data Vlaue (Cr)'!$C:$FB,44)</f>
        <v>0</v>
      </c>
      <c r="I8" s="49">
        <f>VLOOKUP($A8,'Data Vlaue (Cr)'!$C:$FB,46)*100</f>
        <v>87.63</v>
      </c>
      <c r="J8" s="51">
        <f>VLOOKUP($A8,'Data Vlaue (Cr)'!$C:$FB,59)</f>
        <v>0</v>
      </c>
      <c r="K8" s="51">
        <f>VLOOKUP($A8,'Data Vlaue (Cr)'!$C:$FB,60)</f>
        <v>0</v>
      </c>
      <c r="L8" s="51">
        <f>VLOOKUP($A8,'Data Vlaue (Cr)'!$C:$FB,62)*100</f>
        <v>-2.1999999999999997</v>
      </c>
      <c r="M8" s="51">
        <f>VLOOKUP($A8,'Data Vlaue (Cr)'!$C:$FB,63)</f>
        <v>0</v>
      </c>
      <c r="N8" s="51">
        <f>VLOOKUP($A8,'Data Vlaue (Cr)'!$C:$FB,64)</f>
        <v>0</v>
      </c>
      <c r="O8" s="51">
        <f>VLOOKUP($A8,'Data Vlaue (Cr)'!$C:$FB,66)*100</f>
        <v>50.28</v>
      </c>
    </row>
    <row r="9" spans="1:15" x14ac:dyDescent="0.25">
      <c r="A9" s="101" t="str">
        <f>'Data Vlaue (Cr)'!C4</f>
        <v>ABB</v>
      </c>
      <c r="B9" s="50">
        <f>VLOOKUP($A9,'Data Vlaue (Cr)'!$C:$FB,8)</f>
        <v>5510</v>
      </c>
      <c r="C9" s="50">
        <f>VLOOKUP($A9,'Data Vlaue (Cr)'!$C:$FB,11)*100</f>
        <v>-0.79</v>
      </c>
      <c r="D9" s="50">
        <f>VLOOKUP($A9,'Data Vlaue (Cr)'!$C:$FB,143)</f>
        <v>1760.76</v>
      </c>
      <c r="E9" s="50">
        <f>VLOOKUP($A9,'Data Vlaue (Cr)'!$C:$FB,144)</f>
        <v>3495.14</v>
      </c>
      <c r="F9" s="50">
        <f>VLOOKUP($A9,'Data Vlaue (Cr)'!$C:$FB,146)*100</f>
        <v>-49.62</v>
      </c>
      <c r="G9" s="49">
        <f>VLOOKUP($A9,'Data Vlaue (Cr)'!$C:$FB,43)</f>
        <v>838</v>
      </c>
      <c r="H9" s="49">
        <f>VLOOKUP($A9,'Data Vlaue (Cr)'!$C:$FB,44)</f>
        <v>1496</v>
      </c>
      <c r="I9" s="49">
        <f>VLOOKUP($A9,'Data Vlaue (Cr)'!$C:$FB,46)*100</f>
        <v>-44.019999999999996</v>
      </c>
      <c r="J9" s="51">
        <f>VLOOKUP($A9,'Data Vlaue (Cr)'!$C:$FB,59)</f>
        <v>560</v>
      </c>
      <c r="K9" s="51">
        <f>VLOOKUP($A9,'Data Vlaue (Cr)'!$C:$FB,60)</f>
        <v>1135</v>
      </c>
      <c r="L9" s="51">
        <f>VLOOKUP($A9,'Data Vlaue (Cr)'!$C:$FB,62)*100</f>
        <v>-50.62</v>
      </c>
      <c r="M9" s="51">
        <f>VLOOKUP($A9,'Data Vlaue (Cr)'!$C:$FB,63)</f>
        <v>318</v>
      </c>
      <c r="N9" s="51">
        <f>VLOOKUP($A9,'Data Vlaue (Cr)'!$C:$FB,64)</f>
        <v>789</v>
      </c>
      <c r="O9" s="51">
        <f>VLOOKUP($A9,'Data Vlaue (Cr)'!$C:$FB,66)*100</f>
        <v>-59.74</v>
      </c>
    </row>
    <row r="10" spans="1:15" x14ac:dyDescent="0.25">
      <c r="A10" s="101" t="str">
        <f>'Data Vlaue (Cr)'!C5</f>
        <v>ABCAPITAL</v>
      </c>
      <c r="B10" s="50">
        <f>VLOOKUP($A10,'Data Vlaue (Cr)'!$C:$FB,8)</f>
        <v>256.64999999999998</v>
      </c>
      <c r="C10" s="50">
        <f>VLOOKUP($A10,'Data Vlaue (Cr)'!$C:$FB,11)*100</f>
        <v>3.16</v>
      </c>
      <c r="D10" s="50">
        <f>VLOOKUP($A10,'Data Vlaue (Cr)'!$C:$FB,143)</f>
        <v>1879.05</v>
      </c>
      <c r="E10" s="50">
        <f>VLOOKUP($A10,'Data Vlaue (Cr)'!$C:$FB,144)</f>
        <v>1356.11</v>
      </c>
      <c r="F10" s="50">
        <f>VLOOKUP($A10,'Data Vlaue (Cr)'!$C:$FB,146)*100</f>
        <v>38.56</v>
      </c>
      <c r="G10" s="49">
        <f>VLOOKUP($A10,'Data Vlaue (Cr)'!$C:$FB,43)</f>
        <v>787</v>
      </c>
      <c r="H10" s="49">
        <f>VLOOKUP($A10,'Data Vlaue (Cr)'!$C:$FB,44)</f>
        <v>692</v>
      </c>
      <c r="I10" s="49">
        <f>VLOOKUP($A10,'Data Vlaue (Cr)'!$C:$FB,46)*100</f>
        <v>13.71</v>
      </c>
      <c r="J10" s="51">
        <f>VLOOKUP($A10,'Data Vlaue (Cr)'!$C:$FB,59)</f>
        <v>708</v>
      </c>
      <c r="K10" s="51">
        <f>VLOOKUP($A10,'Data Vlaue (Cr)'!$C:$FB,60)</f>
        <v>437</v>
      </c>
      <c r="L10" s="51">
        <f>VLOOKUP($A10,'Data Vlaue (Cr)'!$C:$FB,62)*100</f>
        <v>61.970000000000006</v>
      </c>
      <c r="M10" s="51">
        <f>VLOOKUP($A10,'Data Vlaue (Cr)'!$C:$FB,63)</f>
        <v>356</v>
      </c>
      <c r="N10" s="51">
        <f>VLOOKUP($A10,'Data Vlaue (Cr)'!$C:$FB,64)</f>
        <v>235</v>
      </c>
      <c r="O10" s="51">
        <f>VLOOKUP($A10,'Data Vlaue (Cr)'!$C:$FB,66)*100</f>
        <v>51.239999999999995</v>
      </c>
    </row>
    <row r="11" spans="1:15" x14ac:dyDescent="0.25">
      <c r="A11" s="101" t="str">
        <f>'Data Vlaue (Cr)'!C6</f>
        <v>ABFRL</v>
      </c>
      <c r="B11" s="50">
        <f>VLOOKUP($A11,'Data Vlaue (Cr)'!$C:$FB,8)</f>
        <v>72.87</v>
      </c>
      <c r="C11" s="50">
        <f>VLOOKUP($A11,'Data Vlaue (Cr)'!$C:$FB,11)*100</f>
        <v>-2.3800000000000003</v>
      </c>
      <c r="D11" s="50">
        <f>VLOOKUP($A11,'Data Vlaue (Cr)'!$C:$FB,143)</f>
        <v>414.5</v>
      </c>
      <c r="E11" s="50">
        <f>VLOOKUP($A11,'Data Vlaue (Cr)'!$C:$FB,144)</f>
        <v>317.64</v>
      </c>
      <c r="F11" s="50">
        <f>VLOOKUP($A11,'Data Vlaue (Cr)'!$C:$FB,146)*100</f>
        <v>30.5</v>
      </c>
      <c r="G11" s="49">
        <f>VLOOKUP($A11,'Data Vlaue (Cr)'!$C:$FB,43)</f>
        <v>271</v>
      </c>
      <c r="H11" s="49">
        <f>VLOOKUP($A11,'Data Vlaue (Cr)'!$C:$FB,44)</f>
        <v>192</v>
      </c>
      <c r="I11" s="49">
        <f>VLOOKUP($A11,'Data Vlaue (Cr)'!$C:$FB,46)*100</f>
        <v>41.089999999999996</v>
      </c>
      <c r="J11" s="51">
        <f>VLOOKUP($A11,'Data Vlaue (Cr)'!$C:$FB,59)</f>
        <v>60</v>
      </c>
      <c r="K11" s="51">
        <f>VLOOKUP($A11,'Data Vlaue (Cr)'!$C:$FB,60)</f>
        <v>54</v>
      </c>
      <c r="L11" s="51">
        <f>VLOOKUP($A11,'Data Vlaue (Cr)'!$C:$FB,62)*100</f>
        <v>10.36</v>
      </c>
      <c r="M11" s="51">
        <f>VLOOKUP($A11,'Data Vlaue (Cr)'!$C:$FB,63)</f>
        <v>76</v>
      </c>
      <c r="N11" s="51">
        <f>VLOOKUP($A11,'Data Vlaue (Cr)'!$C:$FB,64)</f>
        <v>61</v>
      </c>
      <c r="O11" s="51">
        <f>VLOOKUP($A11,'Data Vlaue (Cr)'!$C:$FB,66)*100</f>
        <v>24.65</v>
      </c>
    </row>
    <row r="12" spans="1:15" x14ac:dyDescent="0.25">
      <c r="A12" s="101" t="str">
        <f>'Data Vlaue (Cr)'!C7</f>
        <v>ACC</v>
      </c>
      <c r="B12" s="50">
        <f>VLOOKUP($A12,'Data Vlaue (Cr)'!$C:$FB,8)</f>
        <v>1788.4</v>
      </c>
      <c r="C12" s="50">
        <f>VLOOKUP($A12,'Data Vlaue (Cr)'!$C:$FB,11)*100</f>
        <v>-1.26</v>
      </c>
      <c r="D12" s="50">
        <f>VLOOKUP($A12,'Data Vlaue (Cr)'!$C:$FB,143)</f>
        <v>639.33000000000004</v>
      </c>
      <c r="E12" s="50">
        <f>VLOOKUP($A12,'Data Vlaue (Cr)'!$C:$FB,144)</f>
        <v>462.06</v>
      </c>
      <c r="F12" s="50">
        <f>VLOOKUP($A12,'Data Vlaue (Cr)'!$C:$FB,146)*100</f>
        <v>38.36</v>
      </c>
      <c r="G12" s="49">
        <f>VLOOKUP($A12,'Data Vlaue (Cr)'!$C:$FB,43)</f>
        <v>0</v>
      </c>
      <c r="H12" s="49">
        <f>VLOOKUP($A12,'Data Vlaue (Cr)'!$C:$FB,44)</f>
        <v>0</v>
      </c>
      <c r="I12" s="49">
        <f>VLOOKUP($A12,'Data Vlaue (Cr)'!$C:$FB,46)*100</f>
        <v>91.25</v>
      </c>
      <c r="J12" s="51">
        <f>VLOOKUP($A12,'Data Vlaue (Cr)'!$C:$FB,59)</f>
        <v>0</v>
      </c>
      <c r="K12" s="51">
        <f>VLOOKUP($A12,'Data Vlaue (Cr)'!$C:$FB,60)</f>
        <v>0</v>
      </c>
      <c r="L12" s="51">
        <f>VLOOKUP($A12,'Data Vlaue (Cr)'!$C:$FB,62)*100</f>
        <v>-9.31</v>
      </c>
      <c r="M12" s="51">
        <f>VLOOKUP($A12,'Data Vlaue (Cr)'!$C:$FB,63)</f>
        <v>0</v>
      </c>
      <c r="N12" s="51">
        <f>VLOOKUP($A12,'Data Vlaue (Cr)'!$C:$FB,64)</f>
        <v>0</v>
      </c>
      <c r="O12" s="51">
        <f>VLOOKUP($A12,'Data Vlaue (Cr)'!$C:$FB,66)*100</f>
        <v>71.819999999999993</v>
      </c>
    </row>
    <row r="13" spans="1:15" x14ac:dyDescent="0.25">
      <c r="A13" s="101" t="str">
        <f>'Data Vlaue (Cr)'!C8</f>
        <v>ADANIENSOL</v>
      </c>
      <c r="B13" s="50">
        <f>VLOOKUP($A13,'Data Vlaue (Cr)'!$C:$FB,8)</f>
        <v>808.4</v>
      </c>
      <c r="C13" s="50">
        <f>VLOOKUP($A13,'Data Vlaue (Cr)'!$C:$FB,11)*100</f>
        <v>-1.8800000000000001</v>
      </c>
      <c r="D13" s="50">
        <f>VLOOKUP($A13,'Data Vlaue (Cr)'!$C:$FB,143)</f>
        <v>910.4</v>
      </c>
      <c r="E13" s="50">
        <f>VLOOKUP($A13,'Data Vlaue (Cr)'!$C:$FB,144)</f>
        <v>995.1</v>
      </c>
      <c r="F13" s="50">
        <f>VLOOKUP($A13,'Data Vlaue (Cr)'!$C:$FB,146)*100</f>
        <v>-8.51</v>
      </c>
      <c r="G13" s="49">
        <f>VLOOKUP($A13,'Data Vlaue (Cr)'!$C:$FB,43)</f>
        <v>508</v>
      </c>
      <c r="H13" s="49">
        <f>VLOOKUP($A13,'Data Vlaue (Cr)'!$C:$FB,44)</f>
        <v>677</v>
      </c>
      <c r="I13" s="49">
        <f>VLOOKUP($A13,'Data Vlaue (Cr)'!$C:$FB,46)*100</f>
        <v>-24.89</v>
      </c>
      <c r="J13" s="51">
        <f>VLOOKUP($A13,'Data Vlaue (Cr)'!$C:$FB,59)</f>
        <v>219</v>
      </c>
      <c r="K13" s="51">
        <f>VLOOKUP($A13,'Data Vlaue (Cr)'!$C:$FB,60)</f>
        <v>179</v>
      </c>
      <c r="L13" s="51">
        <f>VLOOKUP($A13,'Data Vlaue (Cr)'!$C:$FB,62)*100</f>
        <v>22.07</v>
      </c>
      <c r="M13" s="51">
        <f>VLOOKUP($A13,'Data Vlaue (Cr)'!$C:$FB,63)</f>
        <v>156</v>
      </c>
      <c r="N13" s="51">
        <f>VLOOKUP($A13,'Data Vlaue (Cr)'!$C:$FB,64)</f>
        <v>106</v>
      </c>
      <c r="O13" s="51">
        <f>VLOOKUP($A13,'Data Vlaue (Cr)'!$C:$FB,66)*100</f>
        <v>47.43</v>
      </c>
    </row>
    <row r="14" spans="1:15" x14ac:dyDescent="0.25">
      <c r="A14" s="101" t="str">
        <f>'Data Vlaue (Cr)'!C9</f>
        <v>ADANIENT</v>
      </c>
      <c r="B14" s="50">
        <f>VLOOKUP($A14,'Data Vlaue (Cr)'!$C:$FB,8)</f>
        <v>2430.6999999999998</v>
      </c>
      <c r="C14" s="50">
        <f>VLOOKUP($A14,'Data Vlaue (Cr)'!$C:$FB,11)*100</f>
        <v>-4.03</v>
      </c>
      <c r="D14" s="50">
        <f>VLOOKUP($A14,'Data Vlaue (Cr)'!$C:$FB,143)</f>
        <v>10138.65</v>
      </c>
      <c r="E14" s="50">
        <f>VLOOKUP($A14,'Data Vlaue (Cr)'!$C:$FB,144)</f>
        <v>4432.72</v>
      </c>
      <c r="F14" s="50">
        <f>VLOOKUP($A14,'Data Vlaue (Cr)'!$C:$FB,146)*100</f>
        <v>128.72</v>
      </c>
      <c r="G14" s="49">
        <f>VLOOKUP($A14,'Data Vlaue (Cr)'!$C:$FB,43)</f>
        <v>2511</v>
      </c>
      <c r="H14" s="49">
        <f>VLOOKUP($A14,'Data Vlaue (Cr)'!$C:$FB,44)</f>
        <v>2221</v>
      </c>
      <c r="I14" s="49">
        <f>VLOOKUP($A14,'Data Vlaue (Cr)'!$C:$FB,46)*100</f>
        <v>13.089999999999998</v>
      </c>
      <c r="J14" s="51">
        <f>VLOOKUP($A14,'Data Vlaue (Cr)'!$C:$FB,59)</f>
        <v>4461</v>
      </c>
      <c r="K14" s="51">
        <f>VLOOKUP($A14,'Data Vlaue (Cr)'!$C:$FB,60)</f>
        <v>1412</v>
      </c>
      <c r="L14" s="51">
        <f>VLOOKUP($A14,'Data Vlaue (Cr)'!$C:$FB,62)*100</f>
        <v>215.98000000000002</v>
      </c>
      <c r="M14" s="51">
        <f>VLOOKUP($A14,'Data Vlaue (Cr)'!$C:$FB,63)</f>
        <v>2713</v>
      </c>
      <c r="N14" s="51">
        <f>VLOOKUP($A14,'Data Vlaue (Cr)'!$C:$FB,64)</f>
        <v>559</v>
      </c>
      <c r="O14" s="51">
        <f>VLOOKUP($A14,'Data Vlaue (Cr)'!$C:$FB,66)*100</f>
        <v>384.96999999999997</v>
      </c>
    </row>
    <row r="15" spans="1:15" x14ac:dyDescent="0.25">
      <c r="A15" s="101" t="str">
        <f>'Data Vlaue (Cr)'!C10</f>
        <v>ADANIGREEN</v>
      </c>
      <c r="B15" s="50">
        <f>VLOOKUP($A15,'Data Vlaue (Cr)'!$C:$FB,8)</f>
        <v>984.7</v>
      </c>
      <c r="C15" s="50">
        <f>VLOOKUP($A15,'Data Vlaue (Cr)'!$C:$FB,11)*100</f>
        <v>-2.48</v>
      </c>
      <c r="D15" s="50">
        <f>VLOOKUP($A15,'Data Vlaue (Cr)'!$C:$FB,143)</f>
        <v>2986.08</v>
      </c>
      <c r="E15" s="50">
        <f>VLOOKUP($A15,'Data Vlaue (Cr)'!$C:$FB,144)</f>
        <v>2750.38</v>
      </c>
      <c r="F15" s="50">
        <f>VLOOKUP($A15,'Data Vlaue (Cr)'!$C:$FB,146)*100</f>
        <v>8.57</v>
      </c>
      <c r="G15" s="49">
        <f>VLOOKUP($A15,'Data Vlaue (Cr)'!$C:$FB,43)</f>
        <v>1148</v>
      </c>
      <c r="H15" s="49">
        <f>VLOOKUP($A15,'Data Vlaue (Cr)'!$C:$FB,44)</f>
        <v>955</v>
      </c>
      <c r="I15" s="49">
        <f>VLOOKUP($A15,'Data Vlaue (Cr)'!$C:$FB,46)*100</f>
        <v>20.16</v>
      </c>
      <c r="J15" s="51">
        <f>VLOOKUP($A15,'Data Vlaue (Cr)'!$C:$FB,59)</f>
        <v>1025</v>
      </c>
      <c r="K15" s="51">
        <f>VLOOKUP($A15,'Data Vlaue (Cr)'!$C:$FB,60)</f>
        <v>1079</v>
      </c>
      <c r="L15" s="51">
        <f>VLOOKUP($A15,'Data Vlaue (Cr)'!$C:$FB,62)*100</f>
        <v>-5.04</v>
      </c>
      <c r="M15" s="51">
        <f>VLOOKUP($A15,'Data Vlaue (Cr)'!$C:$FB,63)</f>
        <v>715</v>
      </c>
      <c r="N15" s="51">
        <f>VLOOKUP($A15,'Data Vlaue (Cr)'!$C:$FB,64)</f>
        <v>602</v>
      </c>
      <c r="O15" s="51">
        <f>VLOOKUP($A15,'Data Vlaue (Cr)'!$C:$FB,66)*100</f>
        <v>18.809999999999999</v>
      </c>
    </row>
    <row r="16" spans="1:15" x14ac:dyDescent="0.25">
      <c r="A16" s="101" t="str">
        <f>'Data Vlaue (Cr)'!C11</f>
        <v>ADANIPORTS</v>
      </c>
      <c r="B16" s="50">
        <f>VLOOKUP($A16,'Data Vlaue (Cr)'!$C:$FB,8)</f>
        <v>1373.1</v>
      </c>
      <c r="C16" s="50">
        <f>VLOOKUP($A16,'Data Vlaue (Cr)'!$C:$FB,11)*100</f>
        <v>-1.5</v>
      </c>
      <c r="D16" s="50">
        <f>VLOOKUP($A16,'Data Vlaue (Cr)'!$C:$FB,143)</f>
        <v>3361.89</v>
      </c>
      <c r="E16" s="50">
        <f>VLOOKUP($A16,'Data Vlaue (Cr)'!$C:$FB,144)</f>
        <v>3174.66</v>
      </c>
      <c r="F16" s="50">
        <f>VLOOKUP($A16,'Data Vlaue (Cr)'!$C:$FB,146)*100</f>
        <v>5.8999999999999995</v>
      </c>
      <c r="G16" s="49">
        <f>VLOOKUP($A16,'Data Vlaue (Cr)'!$C:$FB,43)</f>
        <v>1246</v>
      </c>
      <c r="H16" s="49">
        <f>VLOOKUP($A16,'Data Vlaue (Cr)'!$C:$FB,44)</f>
        <v>1749</v>
      </c>
      <c r="I16" s="49">
        <f>VLOOKUP($A16,'Data Vlaue (Cr)'!$C:$FB,46)*100</f>
        <v>-28.749999999999996</v>
      </c>
      <c r="J16" s="51">
        <f>VLOOKUP($A16,'Data Vlaue (Cr)'!$C:$FB,59)</f>
        <v>1103</v>
      </c>
      <c r="K16" s="51">
        <f>VLOOKUP($A16,'Data Vlaue (Cr)'!$C:$FB,60)</f>
        <v>863</v>
      </c>
      <c r="L16" s="51">
        <f>VLOOKUP($A16,'Data Vlaue (Cr)'!$C:$FB,62)*100</f>
        <v>27.800000000000004</v>
      </c>
      <c r="M16" s="51">
        <f>VLOOKUP($A16,'Data Vlaue (Cr)'!$C:$FB,63)</f>
        <v>952</v>
      </c>
      <c r="N16" s="51">
        <f>VLOOKUP($A16,'Data Vlaue (Cr)'!$C:$FB,64)</f>
        <v>503</v>
      </c>
      <c r="O16" s="51">
        <f>VLOOKUP($A16,'Data Vlaue (Cr)'!$C:$FB,66)*100</f>
        <v>89.12</v>
      </c>
    </row>
    <row r="17" spans="1:15" x14ac:dyDescent="0.25">
      <c r="A17" s="101" t="str">
        <f>'Data Vlaue (Cr)'!C12</f>
        <v>ALKEM</v>
      </c>
      <c r="B17" s="50">
        <f>VLOOKUP($A17,'Data Vlaue (Cr)'!$C:$FB,8)</f>
        <v>5031.1000000000004</v>
      </c>
      <c r="C17" s="50">
        <f>VLOOKUP($A17,'Data Vlaue (Cr)'!$C:$FB,11)*100</f>
        <v>-1.34</v>
      </c>
      <c r="D17" s="50">
        <f>VLOOKUP($A17,'Data Vlaue (Cr)'!$C:$FB,143)</f>
        <v>528.41</v>
      </c>
      <c r="E17" s="50">
        <f>VLOOKUP($A17,'Data Vlaue (Cr)'!$C:$FB,144)</f>
        <v>747.61</v>
      </c>
      <c r="F17" s="50">
        <f>VLOOKUP($A17,'Data Vlaue (Cr)'!$C:$FB,146)*100</f>
        <v>-29.32</v>
      </c>
      <c r="G17" s="49">
        <f>VLOOKUP($A17,'Data Vlaue (Cr)'!$C:$FB,43)</f>
        <v>279</v>
      </c>
      <c r="H17" s="49">
        <f>VLOOKUP($A17,'Data Vlaue (Cr)'!$C:$FB,44)</f>
        <v>480</v>
      </c>
      <c r="I17" s="49">
        <f>VLOOKUP($A17,'Data Vlaue (Cr)'!$C:$FB,46)*100</f>
        <v>-41.9</v>
      </c>
      <c r="J17" s="51">
        <f>VLOOKUP($A17,'Data Vlaue (Cr)'!$C:$FB,59)</f>
        <v>155</v>
      </c>
      <c r="K17" s="51">
        <f>VLOOKUP($A17,'Data Vlaue (Cr)'!$C:$FB,60)</f>
        <v>165</v>
      </c>
      <c r="L17" s="51">
        <f>VLOOKUP($A17,'Data Vlaue (Cr)'!$C:$FB,62)*100</f>
        <v>-6.25</v>
      </c>
      <c r="M17" s="51">
        <f>VLOOKUP($A17,'Data Vlaue (Cr)'!$C:$FB,63)</f>
        <v>90</v>
      </c>
      <c r="N17" s="51">
        <f>VLOOKUP($A17,'Data Vlaue (Cr)'!$C:$FB,64)</f>
        <v>94</v>
      </c>
      <c r="O17" s="51">
        <f>VLOOKUP($A17,'Data Vlaue (Cr)'!$C:$FB,66)*100</f>
        <v>-4.04</v>
      </c>
    </row>
    <row r="18" spans="1:15" x14ac:dyDescent="0.25">
      <c r="A18" s="101" t="str">
        <f>'Data Vlaue (Cr)'!C13</f>
        <v>AMBER</v>
      </c>
      <c r="B18" s="50">
        <f>VLOOKUP($A18,'Data Vlaue (Cr)'!$C:$FB,8)</f>
        <v>7963.5</v>
      </c>
      <c r="C18" s="50">
        <f>VLOOKUP($A18,'Data Vlaue (Cr)'!$C:$FB,11)*100</f>
        <v>-0.96</v>
      </c>
      <c r="D18" s="50">
        <f>VLOOKUP($A18,'Data Vlaue (Cr)'!$C:$FB,143)</f>
        <v>1685.7</v>
      </c>
      <c r="E18" s="50">
        <f>VLOOKUP($A18,'Data Vlaue (Cr)'!$C:$FB,144)</f>
        <v>5204.22</v>
      </c>
      <c r="F18" s="50">
        <f>VLOOKUP($A18,'Data Vlaue (Cr)'!$C:$FB,146)*100</f>
        <v>-67.61</v>
      </c>
      <c r="G18" s="49">
        <f>VLOOKUP($A18,'Data Vlaue (Cr)'!$C:$FB,43)</f>
        <v>404</v>
      </c>
      <c r="H18" s="49">
        <f>VLOOKUP($A18,'Data Vlaue (Cr)'!$C:$FB,44)</f>
        <v>607</v>
      </c>
      <c r="I18" s="49">
        <f>VLOOKUP($A18,'Data Vlaue (Cr)'!$C:$FB,46)*100</f>
        <v>-33.32</v>
      </c>
      <c r="J18" s="51">
        <f>VLOOKUP($A18,'Data Vlaue (Cr)'!$C:$FB,59)</f>
        <v>781</v>
      </c>
      <c r="K18" s="51">
        <f>VLOOKUP($A18,'Data Vlaue (Cr)'!$C:$FB,60)</f>
        <v>3455</v>
      </c>
      <c r="L18" s="51">
        <f>VLOOKUP($A18,'Data Vlaue (Cr)'!$C:$FB,62)*100</f>
        <v>-77.400000000000006</v>
      </c>
      <c r="M18" s="51">
        <f>VLOOKUP($A18,'Data Vlaue (Cr)'!$C:$FB,63)</f>
        <v>494</v>
      </c>
      <c r="N18" s="51">
        <f>VLOOKUP($A18,'Data Vlaue (Cr)'!$C:$FB,64)</f>
        <v>1075</v>
      </c>
      <c r="O18" s="51">
        <f>VLOOKUP($A18,'Data Vlaue (Cr)'!$C:$FB,66)*100</f>
        <v>-54.059999999999995</v>
      </c>
    </row>
    <row r="19" spans="1:15" x14ac:dyDescent="0.25">
      <c r="A19" s="101" t="str">
        <f>'Data Vlaue (Cr)'!C14</f>
        <v>AMBUJACEM</v>
      </c>
      <c r="B19" s="50">
        <f>VLOOKUP($A19,'Data Vlaue (Cr)'!$C:$FB,8)</f>
        <v>592.70000000000005</v>
      </c>
      <c r="C19" s="50">
        <f>VLOOKUP($A19,'Data Vlaue (Cr)'!$C:$FB,11)*100</f>
        <v>-4.07</v>
      </c>
      <c r="D19" s="50">
        <f>VLOOKUP($A19,'Data Vlaue (Cr)'!$C:$FB,143)</f>
        <v>5222.26</v>
      </c>
      <c r="E19" s="50">
        <f>VLOOKUP($A19,'Data Vlaue (Cr)'!$C:$FB,144)</f>
        <v>1929.39</v>
      </c>
      <c r="F19" s="50">
        <f>VLOOKUP($A19,'Data Vlaue (Cr)'!$C:$FB,146)*100</f>
        <v>170.67000000000002</v>
      </c>
      <c r="G19" s="49">
        <f>VLOOKUP($A19,'Data Vlaue (Cr)'!$C:$FB,43)</f>
        <v>1611</v>
      </c>
      <c r="H19" s="49">
        <f>VLOOKUP($A19,'Data Vlaue (Cr)'!$C:$FB,44)</f>
        <v>1118</v>
      </c>
      <c r="I19" s="49">
        <f>VLOOKUP($A19,'Data Vlaue (Cr)'!$C:$FB,46)*100</f>
        <v>44.11</v>
      </c>
      <c r="J19" s="51">
        <f>VLOOKUP($A19,'Data Vlaue (Cr)'!$C:$FB,59)</f>
        <v>2389</v>
      </c>
      <c r="K19" s="51">
        <f>VLOOKUP($A19,'Data Vlaue (Cr)'!$C:$FB,60)</f>
        <v>511</v>
      </c>
      <c r="L19" s="51">
        <f>VLOOKUP($A19,'Data Vlaue (Cr)'!$C:$FB,62)*100</f>
        <v>367.86</v>
      </c>
      <c r="M19" s="51">
        <f>VLOOKUP($A19,'Data Vlaue (Cr)'!$C:$FB,63)</f>
        <v>972</v>
      </c>
      <c r="N19" s="51">
        <f>VLOOKUP($A19,'Data Vlaue (Cr)'!$C:$FB,64)</f>
        <v>216</v>
      </c>
      <c r="O19" s="51">
        <f>VLOOKUP($A19,'Data Vlaue (Cr)'!$C:$FB,66)*100</f>
        <v>349.12</v>
      </c>
    </row>
    <row r="20" spans="1:15" x14ac:dyDescent="0.25">
      <c r="A20" s="101" t="str">
        <f>'Data Vlaue (Cr)'!C15</f>
        <v>ANGELONE</v>
      </c>
      <c r="B20" s="50">
        <f>VLOOKUP($A20,'Data Vlaue (Cr)'!$C:$FB,8)</f>
        <v>2600.9</v>
      </c>
      <c r="C20" s="50">
        <f>VLOOKUP($A20,'Data Vlaue (Cr)'!$C:$FB,11)*100</f>
        <v>-1.53</v>
      </c>
      <c r="D20" s="50">
        <f>VLOOKUP($A20,'Data Vlaue (Cr)'!$C:$FB,143)</f>
        <v>1386.09</v>
      </c>
      <c r="E20" s="50">
        <f>VLOOKUP($A20,'Data Vlaue (Cr)'!$C:$FB,144)</f>
        <v>1798.52</v>
      </c>
      <c r="F20" s="50">
        <f>VLOOKUP($A20,'Data Vlaue (Cr)'!$C:$FB,146)*100</f>
        <v>-22.93</v>
      </c>
      <c r="G20" s="49">
        <f>VLOOKUP($A20,'Data Vlaue (Cr)'!$C:$FB,43)</f>
        <v>419</v>
      </c>
      <c r="H20" s="49">
        <f>VLOOKUP($A20,'Data Vlaue (Cr)'!$C:$FB,44)</f>
        <v>498</v>
      </c>
      <c r="I20" s="49">
        <f>VLOOKUP($A20,'Data Vlaue (Cr)'!$C:$FB,46)*100</f>
        <v>-15.9</v>
      </c>
      <c r="J20" s="51">
        <f>VLOOKUP($A20,'Data Vlaue (Cr)'!$C:$FB,59)</f>
        <v>558</v>
      </c>
      <c r="K20" s="51">
        <f>VLOOKUP($A20,'Data Vlaue (Cr)'!$C:$FB,60)</f>
        <v>789</v>
      </c>
      <c r="L20" s="51">
        <f>VLOOKUP($A20,'Data Vlaue (Cr)'!$C:$FB,62)*100</f>
        <v>-29.28</v>
      </c>
      <c r="M20" s="51">
        <f>VLOOKUP($A20,'Data Vlaue (Cr)'!$C:$FB,63)</f>
        <v>357</v>
      </c>
      <c r="N20" s="51">
        <f>VLOOKUP($A20,'Data Vlaue (Cr)'!$C:$FB,64)</f>
        <v>447</v>
      </c>
      <c r="O20" s="51">
        <f>VLOOKUP($A20,'Data Vlaue (Cr)'!$C:$FB,66)*100</f>
        <v>-20.11</v>
      </c>
    </row>
    <row r="21" spans="1:15" x14ac:dyDescent="0.25">
      <c r="A21" s="101" t="str">
        <f>'Data Vlaue (Cr)'!C16</f>
        <v>APLAPOLLO</v>
      </c>
      <c r="B21" s="50">
        <f>VLOOKUP($A21,'Data Vlaue (Cr)'!$C:$FB,8)</f>
        <v>1601.2</v>
      </c>
      <c r="C21" s="50">
        <f>VLOOKUP($A21,'Data Vlaue (Cr)'!$C:$FB,11)*100</f>
        <v>2.23</v>
      </c>
      <c r="D21" s="50">
        <f>VLOOKUP($A21,'Data Vlaue (Cr)'!$C:$FB,143)</f>
        <v>1568.66</v>
      </c>
      <c r="E21" s="50">
        <f>VLOOKUP($A21,'Data Vlaue (Cr)'!$C:$FB,144)</f>
        <v>3516.1</v>
      </c>
      <c r="F21" s="50">
        <f>VLOOKUP($A21,'Data Vlaue (Cr)'!$C:$FB,146)*100</f>
        <v>-55.389999999999993</v>
      </c>
      <c r="G21" s="49">
        <f>VLOOKUP($A21,'Data Vlaue (Cr)'!$C:$FB,43)</f>
        <v>534</v>
      </c>
      <c r="H21" s="49">
        <f>VLOOKUP($A21,'Data Vlaue (Cr)'!$C:$FB,44)</f>
        <v>1016</v>
      </c>
      <c r="I21" s="49">
        <f>VLOOKUP($A21,'Data Vlaue (Cr)'!$C:$FB,46)*100</f>
        <v>-47.43</v>
      </c>
      <c r="J21" s="51">
        <f>VLOOKUP($A21,'Data Vlaue (Cr)'!$C:$FB,59)</f>
        <v>796</v>
      </c>
      <c r="K21" s="51">
        <f>VLOOKUP($A21,'Data Vlaue (Cr)'!$C:$FB,60)</f>
        <v>1960</v>
      </c>
      <c r="L21" s="51">
        <f>VLOOKUP($A21,'Data Vlaue (Cr)'!$C:$FB,62)*100</f>
        <v>-59.39</v>
      </c>
      <c r="M21" s="51">
        <f>VLOOKUP($A21,'Data Vlaue (Cr)'!$C:$FB,63)</f>
        <v>219</v>
      </c>
      <c r="N21" s="51">
        <f>VLOOKUP($A21,'Data Vlaue (Cr)'!$C:$FB,64)</f>
        <v>535</v>
      </c>
      <c r="O21" s="51">
        <f>VLOOKUP($A21,'Data Vlaue (Cr)'!$C:$FB,66)*100</f>
        <v>-59.07</v>
      </c>
    </row>
    <row r="22" spans="1:15" x14ac:dyDescent="0.25">
      <c r="A22" s="101" t="str">
        <f>'Data Vlaue (Cr)'!C17</f>
        <v>APOLLOHOSP</v>
      </c>
      <c r="B22" s="50">
        <f>VLOOKUP($A22,'Data Vlaue (Cr)'!$C:$FB,8)</f>
        <v>7498</v>
      </c>
      <c r="C22" s="50">
        <f>VLOOKUP($A22,'Data Vlaue (Cr)'!$C:$FB,11)*100</f>
        <v>0.64</v>
      </c>
      <c r="D22" s="50">
        <f>VLOOKUP($A22,'Data Vlaue (Cr)'!$C:$FB,143)</f>
        <v>2166.8200000000002</v>
      </c>
      <c r="E22" s="50">
        <f>VLOOKUP($A22,'Data Vlaue (Cr)'!$C:$FB,144)</f>
        <v>2420.0700000000002</v>
      </c>
      <c r="F22" s="50">
        <f>VLOOKUP($A22,'Data Vlaue (Cr)'!$C:$FB,146)*100</f>
        <v>-10.459999999999999</v>
      </c>
      <c r="G22" s="49">
        <f>VLOOKUP($A22,'Data Vlaue (Cr)'!$C:$FB,43)</f>
        <v>854</v>
      </c>
      <c r="H22" s="49">
        <f>VLOOKUP($A22,'Data Vlaue (Cr)'!$C:$FB,44)</f>
        <v>999</v>
      </c>
      <c r="I22" s="49">
        <f>VLOOKUP($A22,'Data Vlaue (Cr)'!$C:$FB,46)*100</f>
        <v>-14.49</v>
      </c>
      <c r="J22" s="51">
        <f>VLOOKUP($A22,'Data Vlaue (Cr)'!$C:$FB,59)</f>
        <v>956</v>
      </c>
      <c r="K22" s="51">
        <f>VLOOKUP($A22,'Data Vlaue (Cr)'!$C:$FB,60)</f>
        <v>953</v>
      </c>
      <c r="L22" s="51">
        <f>VLOOKUP($A22,'Data Vlaue (Cr)'!$C:$FB,62)*100</f>
        <v>0.33999999999999997</v>
      </c>
      <c r="M22" s="51">
        <f>VLOOKUP($A22,'Data Vlaue (Cr)'!$C:$FB,63)</f>
        <v>350</v>
      </c>
      <c r="N22" s="51">
        <f>VLOOKUP($A22,'Data Vlaue (Cr)'!$C:$FB,64)</f>
        <v>475</v>
      </c>
      <c r="O22" s="51">
        <f>VLOOKUP($A22,'Data Vlaue (Cr)'!$C:$FB,66)*100</f>
        <v>-26.290000000000003</v>
      </c>
    </row>
    <row r="23" spans="1:15" x14ac:dyDescent="0.25">
      <c r="A23" s="101" t="str">
        <f>'Data Vlaue (Cr)'!C18</f>
        <v>ASHOKLEY</v>
      </c>
      <c r="B23" s="50">
        <f>VLOOKUP($A23,'Data Vlaue (Cr)'!$C:$FB,8)</f>
        <v>121.05</v>
      </c>
      <c r="C23" s="50">
        <f>VLOOKUP($A23,'Data Vlaue (Cr)'!$C:$FB,11)*100</f>
        <v>-0.70000000000000007</v>
      </c>
      <c r="D23" s="50">
        <f>VLOOKUP($A23,'Data Vlaue (Cr)'!$C:$FB,143)</f>
        <v>1106.22</v>
      </c>
      <c r="E23" s="50">
        <f>VLOOKUP($A23,'Data Vlaue (Cr)'!$C:$FB,144)</f>
        <v>1023.83</v>
      </c>
      <c r="F23" s="50">
        <f>VLOOKUP($A23,'Data Vlaue (Cr)'!$C:$FB,146)*100</f>
        <v>8.0500000000000007</v>
      </c>
      <c r="G23" s="49">
        <f>VLOOKUP($A23,'Data Vlaue (Cr)'!$C:$FB,43)</f>
        <v>583</v>
      </c>
      <c r="H23" s="49">
        <f>VLOOKUP($A23,'Data Vlaue (Cr)'!$C:$FB,44)</f>
        <v>623</v>
      </c>
      <c r="I23" s="49">
        <f>VLOOKUP($A23,'Data Vlaue (Cr)'!$C:$FB,46)*100</f>
        <v>-6.3</v>
      </c>
      <c r="J23" s="51">
        <f>VLOOKUP($A23,'Data Vlaue (Cr)'!$C:$FB,59)</f>
        <v>256</v>
      </c>
      <c r="K23" s="51">
        <f>VLOOKUP($A23,'Data Vlaue (Cr)'!$C:$FB,60)</f>
        <v>222</v>
      </c>
      <c r="L23" s="51">
        <f>VLOOKUP($A23,'Data Vlaue (Cr)'!$C:$FB,62)*100</f>
        <v>15.53</v>
      </c>
      <c r="M23" s="51">
        <f>VLOOKUP($A23,'Data Vlaue (Cr)'!$C:$FB,63)</f>
        <v>254</v>
      </c>
      <c r="N23" s="51">
        <f>VLOOKUP($A23,'Data Vlaue (Cr)'!$C:$FB,64)</f>
        <v>166</v>
      </c>
      <c r="O23" s="51">
        <f>VLOOKUP($A23,'Data Vlaue (Cr)'!$C:$FB,66)*100</f>
        <v>53.26</v>
      </c>
    </row>
    <row r="24" spans="1:15" x14ac:dyDescent="0.25">
      <c r="A24" s="101" t="str">
        <f>'Data Vlaue (Cr)'!C19</f>
        <v>ASIANPAINT</v>
      </c>
      <c r="B24" s="50">
        <f>VLOOKUP($A24,'Data Vlaue (Cr)'!$C:$FB,8)</f>
        <v>2396.1</v>
      </c>
      <c r="C24" s="50">
        <f>VLOOKUP($A24,'Data Vlaue (Cr)'!$C:$FB,11)*100</f>
        <v>-0.82000000000000006</v>
      </c>
      <c r="D24" s="50">
        <f>VLOOKUP($A24,'Data Vlaue (Cr)'!$C:$FB,143)</f>
        <v>3618.25</v>
      </c>
      <c r="E24" s="50">
        <f>VLOOKUP($A24,'Data Vlaue (Cr)'!$C:$FB,144)</f>
        <v>11081.72</v>
      </c>
      <c r="F24" s="50">
        <f>VLOOKUP($A24,'Data Vlaue (Cr)'!$C:$FB,146)*100</f>
        <v>-67.349999999999994</v>
      </c>
      <c r="G24" s="49">
        <f>VLOOKUP($A24,'Data Vlaue (Cr)'!$C:$FB,43)</f>
        <v>1043</v>
      </c>
      <c r="H24" s="49">
        <f>VLOOKUP($A24,'Data Vlaue (Cr)'!$C:$FB,44)</f>
        <v>2470</v>
      </c>
      <c r="I24" s="49">
        <f>VLOOKUP($A24,'Data Vlaue (Cr)'!$C:$FB,46)*100</f>
        <v>-57.75</v>
      </c>
      <c r="J24" s="51">
        <f>VLOOKUP($A24,'Data Vlaue (Cr)'!$C:$FB,59)</f>
        <v>1446</v>
      </c>
      <c r="K24" s="51">
        <f>VLOOKUP($A24,'Data Vlaue (Cr)'!$C:$FB,60)</f>
        <v>5673</v>
      </c>
      <c r="L24" s="51">
        <f>VLOOKUP($A24,'Data Vlaue (Cr)'!$C:$FB,62)*100</f>
        <v>-74.510000000000005</v>
      </c>
      <c r="M24" s="51">
        <f>VLOOKUP($A24,'Data Vlaue (Cr)'!$C:$FB,63)</f>
        <v>1086</v>
      </c>
      <c r="N24" s="51">
        <f>VLOOKUP($A24,'Data Vlaue (Cr)'!$C:$FB,64)</f>
        <v>2778</v>
      </c>
      <c r="O24" s="51">
        <f>VLOOKUP($A24,'Data Vlaue (Cr)'!$C:$FB,66)*100</f>
        <v>-60.919999999999995</v>
      </c>
    </row>
    <row r="25" spans="1:15" x14ac:dyDescent="0.25">
      <c r="A25" s="101" t="str">
        <f>'Data Vlaue (Cr)'!C20</f>
        <v>ASTRAL</v>
      </c>
      <c r="B25" s="50">
        <f>VLOOKUP($A25,'Data Vlaue (Cr)'!$C:$FB,8)</f>
        <v>1401.2</v>
      </c>
      <c r="C25" s="50">
        <f>VLOOKUP($A25,'Data Vlaue (Cr)'!$C:$FB,11)*100</f>
        <v>-2.06</v>
      </c>
      <c r="D25" s="50">
        <f>VLOOKUP($A25,'Data Vlaue (Cr)'!$C:$FB,143)</f>
        <v>710.61</v>
      </c>
      <c r="E25" s="50">
        <f>VLOOKUP($A25,'Data Vlaue (Cr)'!$C:$FB,144)</f>
        <v>864.62</v>
      </c>
      <c r="F25" s="50">
        <f>VLOOKUP($A25,'Data Vlaue (Cr)'!$C:$FB,146)*100</f>
        <v>-17.810000000000002</v>
      </c>
      <c r="G25" s="49">
        <f>VLOOKUP($A25,'Data Vlaue (Cr)'!$C:$FB,43)</f>
        <v>417</v>
      </c>
      <c r="H25" s="49">
        <f>VLOOKUP($A25,'Data Vlaue (Cr)'!$C:$FB,44)</f>
        <v>549</v>
      </c>
      <c r="I25" s="49">
        <f>VLOOKUP($A25,'Data Vlaue (Cr)'!$C:$FB,46)*100</f>
        <v>-23.91</v>
      </c>
      <c r="J25" s="51">
        <f>VLOOKUP($A25,'Data Vlaue (Cr)'!$C:$FB,59)</f>
        <v>174</v>
      </c>
      <c r="K25" s="51">
        <f>VLOOKUP($A25,'Data Vlaue (Cr)'!$C:$FB,60)</f>
        <v>178</v>
      </c>
      <c r="L25" s="51">
        <f>VLOOKUP($A25,'Data Vlaue (Cr)'!$C:$FB,62)*100</f>
        <v>-2.3800000000000003</v>
      </c>
      <c r="M25" s="51">
        <f>VLOOKUP($A25,'Data Vlaue (Cr)'!$C:$FB,63)</f>
        <v>107</v>
      </c>
      <c r="N25" s="51">
        <f>VLOOKUP($A25,'Data Vlaue (Cr)'!$C:$FB,64)</f>
        <v>117</v>
      </c>
      <c r="O25" s="51">
        <f>VLOOKUP($A25,'Data Vlaue (Cr)'!$C:$FB,66)*100</f>
        <v>-8.8800000000000008</v>
      </c>
    </row>
    <row r="26" spans="1:15" x14ac:dyDescent="0.25">
      <c r="A26" s="101" t="str">
        <f>'Data Vlaue (Cr)'!C21</f>
        <v>ATGL</v>
      </c>
      <c r="B26" s="50">
        <f>VLOOKUP($A26,'Data Vlaue (Cr)'!$C:$FB,8)</f>
        <v>604.1</v>
      </c>
      <c r="C26" s="50">
        <f>VLOOKUP($A26,'Data Vlaue (Cr)'!$C:$FB,11)*100</f>
        <v>-3.37</v>
      </c>
      <c r="D26" s="50">
        <f>VLOOKUP($A26,'Data Vlaue (Cr)'!$C:$FB,143)</f>
        <v>384.28</v>
      </c>
      <c r="E26" s="50">
        <f>VLOOKUP($A26,'Data Vlaue (Cr)'!$C:$FB,144)</f>
        <v>389.16</v>
      </c>
      <c r="F26" s="50">
        <f>VLOOKUP($A26,'Data Vlaue (Cr)'!$C:$FB,146)*100</f>
        <v>-1.25</v>
      </c>
      <c r="G26" s="49">
        <f>VLOOKUP($A26,'Data Vlaue (Cr)'!$C:$FB,43)</f>
        <v>224</v>
      </c>
      <c r="H26" s="49">
        <f>VLOOKUP($A26,'Data Vlaue (Cr)'!$C:$FB,44)</f>
        <v>224</v>
      </c>
      <c r="I26" s="49">
        <f>VLOOKUP($A26,'Data Vlaue (Cr)'!$C:$FB,46)*100</f>
        <v>0.05</v>
      </c>
      <c r="J26" s="51">
        <f>VLOOKUP($A26,'Data Vlaue (Cr)'!$C:$FB,59)</f>
        <v>77</v>
      </c>
      <c r="K26" s="51">
        <f>VLOOKUP($A26,'Data Vlaue (Cr)'!$C:$FB,60)</f>
        <v>110</v>
      </c>
      <c r="L26" s="51">
        <f>VLOOKUP($A26,'Data Vlaue (Cr)'!$C:$FB,62)*100</f>
        <v>-30.14</v>
      </c>
      <c r="M26" s="51">
        <f>VLOOKUP($A26,'Data Vlaue (Cr)'!$C:$FB,63)</f>
        <v>69</v>
      </c>
      <c r="N26" s="51">
        <f>VLOOKUP($A26,'Data Vlaue (Cr)'!$C:$FB,64)</f>
        <v>35</v>
      </c>
      <c r="O26" s="51">
        <f>VLOOKUP($A26,'Data Vlaue (Cr)'!$C:$FB,66)*100</f>
        <v>97.13000000000001</v>
      </c>
    </row>
    <row r="27" spans="1:15" x14ac:dyDescent="0.25">
      <c r="A27" s="101" t="str">
        <f>'Data Vlaue (Cr)'!C22</f>
        <v>AUBANK</v>
      </c>
      <c r="B27" s="50">
        <f>VLOOKUP($A27,'Data Vlaue (Cr)'!$C:$FB,8)</f>
        <v>741.5</v>
      </c>
      <c r="C27" s="50">
        <f>VLOOKUP($A27,'Data Vlaue (Cr)'!$C:$FB,11)*100</f>
        <v>-0.64</v>
      </c>
      <c r="D27" s="50">
        <f>VLOOKUP($A27,'Data Vlaue (Cr)'!$C:$FB,143)</f>
        <v>2175.1</v>
      </c>
      <c r="E27" s="50">
        <f>VLOOKUP($A27,'Data Vlaue (Cr)'!$C:$FB,144)</f>
        <v>3118.68</v>
      </c>
      <c r="F27" s="50">
        <f>VLOOKUP($A27,'Data Vlaue (Cr)'!$C:$FB,146)*100</f>
        <v>-30.259999999999998</v>
      </c>
      <c r="G27" s="49">
        <f>VLOOKUP($A27,'Data Vlaue (Cr)'!$C:$FB,43)</f>
        <v>1108</v>
      </c>
      <c r="H27" s="49">
        <f>VLOOKUP($A27,'Data Vlaue (Cr)'!$C:$FB,44)</f>
        <v>1286</v>
      </c>
      <c r="I27" s="49">
        <f>VLOOKUP($A27,'Data Vlaue (Cr)'!$C:$FB,46)*100</f>
        <v>-13.87</v>
      </c>
      <c r="J27" s="51">
        <f>VLOOKUP($A27,'Data Vlaue (Cr)'!$C:$FB,59)</f>
        <v>695</v>
      </c>
      <c r="K27" s="51">
        <f>VLOOKUP($A27,'Data Vlaue (Cr)'!$C:$FB,60)</f>
        <v>1199</v>
      </c>
      <c r="L27" s="51">
        <f>VLOOKUP($A27,'Data Vlaue (Cr)'!$C:$FB,62)*100</f>
        <v>-41.99</v>
      </c>
      <c r="M27" s="51">
        <f>VLOOKUP($A27,'Data Vlaue (Cr)'!$C:$FB,63)</f>
        <v>346</v>
      </c>
      <c r="N27" s="51">
        <f>VLOOKUP($A27,'Data Vlaue (Cr)'!$C:$FB,64)</f>
        <v>579</v>
      </c>
      <c r="O27" s="51">
        <f>VLOOKUP($A27,'Data Vlaue (Cr)'!$C:$FB,66)*100</f>
        <v>-40.339999999999996</v>
      </c>
    </row>
    <row r="28" spans="1:15" x14ac:dyDescent="0.25">
      <c r="A28" s="101" t="str">
        <f>'Data Vlaue (Cr)'!C23</f>
        <v>AUROPHARMA</v>
      </c>
      <c r="B28" s="50">
        <f>VLOOKUP($A28,'Data Vlaue (Cr)'!$C:$FB,8)</f>
        <v>1139.8</v>
      </c>
      <c r="C28" s="50">
        <f>VLOOKUP($A28,'Data Vlaue (Cr)'!$C:$FB,11)*100</f>
        <v>-1.5699999999999998</v>
      </c>
      <c r="D28" s="50">
        <f>VLOOKUP($A28,'Data Vlaue (Cr)'!$C:$FB,143)</f>
        <v>2561.39</v>
      </c>
      <c r="E28" s="50">
        <f>VLOOKUP($A28,'Data Vlaue (Cr)'!$C:$FB,144)</f>
        <v>1302.75</v>
      </c>
      <c r="F28" s="50">
        <f>VLOOKUP($A28,'Data Vlaue (Cr)'!$C:$FB,146)*100</f>
        <v>96.61</v>
      </c>
      <c r="G28" s="49">
        <f>VLOOKUP($A28,'Data Vlaue (Cr)'!$C:$FB,43)</f>
        <v>1155</v>
      </c>
      <c r="H28" s="49">
        <f>VLOOKUP($A28,'Data Vlaue (Cr)'!$C:$FB,44)</f>
        <v>764</v>
      </c>
      <c r="I28" s="49">
        <f>VLOOKUP($A28,'Data Vlaue (Cr)'!$C:$FB,46)*100</f>
        <v>51.12</v>
      </c>
      <c r="J28" s="51">
        <f>VLOOKUP($A28,'Data Vlaue (Cr)'!$C:$FB,59)</f>
        <v>862</v>
      </c>
      <c r="K28" s="51">
        <f>VLOOKUP($A28,'Data Vlaue (Cr)'!$C:$FB,60)</f>
        <v>286</v>
      </c>
      <c r="L28" s="51">
        <f>VLOOKUP($A28,'Data Vlaue (Cr)'!$C:$FB,62)*100</f>
        <v>201.03</v>
      </c>
      <c r="M28" s="51">
        <f>VLOOKUP($A28,'Data Vlaue (Cr)'!$C:$FB,63)</f>
        <v>495</v>
      </c>
      <c r="N28" s="51">
        <f>VLOOKUP($A28,'Data Vlaue (Cr)'!$C:$FB,64)</f>
        <v>243</v>
      </c>
      <c r="O28" s="51">
        <f>VLOOKUP($A28,'Data Vlaue (Cr)'!$C:$FB,66)*100</f>
        <v>104.13</v>
      </c>
    </row>
    <row r="29" spans="1:15" x14ac:dyDescent="0.25">
      <c r="A29" s="101" t="str">
        <f>'Data Vlaue (Cr)'!C24</f>
        <v>AXISBANK</v>
      </c>
      <c r="B29" s="50">
        <f>VLOOKUP($A29,'Data Vlaue (Cr)'!$C:$FB,8)</f>
        <v>1068.4000000000001</v>
      </c>
      <c r="C29" s="50">
        <f>VLOOKUP($A29,'Data Vlaue (Cr)'!$C:$FB,11)*100</f>
        <v>-0.45999999999999996</v>
      </c>
      <c r="D29" s="50">
        <f>VLOOKUP($A29,'Data Vlaue (Cr)'!$C:$FB,143)</f>
        <v>7411.36</v>
      </c>
      <c r="E29" s="50">
        <f>VLOOKUP($A29,'Data Vlaue (Cr)'!$C:$FB,144)</f>
        <v>9651.51</v>
      </c>
      <c r="F29" s="50">
        <f>VLOOKUP($A29,'Data Vlaue (Cr)'!$C:$FB,146)*100</f>
        <v>-23.21</v>
      </c>
      <c r="G29" s="49">
        <f>VLOOKUP($A29,'Data Vlaue (Cr)'!$C:$FB,43)</f>
        <v>3159</v>
      </c>
      <c r="H29" s="49">
        <f>VLOOKUP($A29,'Data Vlaue (Cr)'!$C:$FB,44)</f>
        <v>4084</v>
      </c>
      <c r="I29" s="49">
        <f>VLOOKUP($A29,'Data Vlaue (Cr)'!$C:$FB,46)*100</f>
        <v>-22.650000000000002</v>
      </c>
      <c r="J29" s="51">
        <f>VLOOKUP($A29,'Data Vlaue (Cr)'!$C:$FB,59)</f>
        <v>2510</v>
      </c>
      <c r="K29" s="51">
        <f>VLOOKUP($A29,'Data Vlaue (Cr)'!$C:$FB,60)</f>
        <v>3578</v>
      </c>
      <c r="L29" s="51">
        <f>VLOOKUP($A29,'Data Vlaue (Cr)'!$C:$FB,62)*100</f>
        <v>-29.849999999999998</v>
      </c>
      <c r="M29" s="51">
        <f>VLOOKUP($A29,'Data Vlaue (Cr)'!$C:$FB,63)</f>
        <v>1592</v>
      </c>
      <c r="N29" s="51">
        <f>VLOOKUP($A29,'Data Vlaue (Cr)'!$C:$FB,64)</f>
        <v>1811</v>
      </c>
      <c r="O29" s="51">
        <f>VLOOKUP($A29,'Data Vlaue (Cr)'!$C:$FB,66)*100</f>
        <v>-12.139999999999999</v>
      </c>
    </row>
    <row r="30" spans="1:15" x14ac:dyDescent="0.25">
      <c r="A30" s="101" t="str">
        <f>'Data Vlaue (Cr)'!C25</f>
        <v>BAJAJ-AUTO</v>
      </c>
      <c r="B30" s="50">
        <f>VLOOKUP($A30,'Data Vlaue (Cr)'!$C:$FB,8)</f>
        <v>8008</v>
      </c>
      <c r="C30" s="50">
        <f>VLOOKUP($A30,'Data Vlaue (Cr)'!$C:$FB,11)*100</f>
        <v>-0.44</v>
      </c>
      <c r="D30" s="50">
        <f>VLOOKUP($A30,'Data Vlaue (Cr)'!$C:$FB,143)</f>
        <v>3592.6</v>
      </c>
      <c r="E30" s="50">
        <f>VLOOKUP($A30,'Data Vlaue (Cr)'!$C:$FB,144)</f>
        <v>3395.43</v>
      </c>
      <c r="F30" s="50">
        <f>VLOOKUP($A30,'Data Vlaue (Cr)'!$C:$FB,146)*100</f>
        <v>5.81</v>
      </c>
      <c r="G30" s="49">
        <f>VLOOKUP($A30,'Data Vlaue (Cr)'!$C:$FB,43)</f>
        <v>1123</v>
      </c>
      <c r="H30" s="49">
        <f>VLOOKUP($A30,'Data Vlaue (Cr)'!$C:$FB,44)</f>
        <v>1432</v>
      </c>
      <c r="I30" s="49">
        <f>VLOOKUP($A30,'Data Vlaue (Cr)'!$C:$FB,46)*100</f>
        <v>-21.52</v>
      </c>
      <c r="J30" s="51">
        <f>VLOOKUP($A30,'Data Vlaue (Cr)'!$C:$FB,59)</f>
        <v>1339</v>
      </c>
      <c r="K30" s="51">
        <f>VLOOKUP($A30,'Data Vlaue (Cr)'!$C:$FB,60)</f>
        <v>1226</v>
      </c>
      <c r="L30" s="51">
        <f>VLOOKUP($A30,'Data Vlaue (Cr)'!$C:$FB,62)*100</f>
        <v>9.2100000000000009</v>
      </c>
      <c r="M30" s="51">
        <f>VLOOKUP($A30,'Data Vlaue (Cr)'!$C:$FB,63)</f>
        <v>1065</v>
      </c>
      <c r="N30" s="51">
        <f>VLOOKUP($A30,'Data Vlaue (Cr)'!$C:$FB,64)</f>
        <v>674</v>
      </c>
      <c r="O30" s="51">
        <f>VLOOKUP($A30,'Data Vlaue (Cr)'!$C:$FB,66)*100</f>
        <v>58.099999999999994</v>
      </c>
    </row>
    <row r="31" spans="1:15" x14ac:dyDescent="0.25">
      <c r="A31" s="101" t="str">
        <f>'Data Vlaue (Cr)'!C26</f>
        <v>BAJAJFINSV</v>
      </c>
      <c r="B31" s="50">
        <f>VLOOKUP($A31,'Data Vlaue (Cr)'!$C:$FB,8)</f>
        <v>1948</v>
      </c>
      <c r="C31" s="50">
        <f>VLOOKUP($A31,'Data Vlaue (Cr)'!$C:$FB,11)*100</f>
        <v>-0.6</v>
      </c>
      <c r="D31" s="50">
        <f>VLOOKUP($A31,'Data Vlaue (Cr)'!$C:$FB,143)</f>
        <v>3899.68</v>
      </c>
      <c r="E31" s="50">
        <f>VLOOKUP($A31,'Data Vlaue (Cr)'!$C:$FB,144)</f>
        <v>4437.66</v>
      </c>
      <c r="F31" s="50">
        <f>VLOOKUP($A31,'Data Vlaue (Cr)'!$C:$FB,146)*100</f>
        <v>-12.120000000000001</v>
      </c>
      <c r="G31" s="49">
        <f>VLOOKUP($A31,'Data Vlaue (Cr)'!$C:$FB,43)</f>
        <v>1689</v>
      </c>
      <c r="H31" s="49">
        <f>VLOOKUP($A31,'Data Vlaue (Cr)'!$C:$FB,44)</f>
        <v>1720</v>
      </c>
      <c r="I31" s="49">
        <f>VLOOKUP($A31,'Data Vlaue (Cr)'!$C:$FB,46)*100</f>
        <v>-1.78</v>
      </c>
      <c r="J31" s="51">
        <f>VLOOKUP($A31,'Data Vlaue (Cr)'!$C:$FB,59)</f>
        <v>1417</v>
      </c>
      <c r="K31" s="51">
        <f>VLOOKUP($A31,'Data Vlaue (Cr)'!$C:$FB,60)</f>
        <v>1713</v>
      </c>
      <c r="L31" s="51">
        <f>VLOOKUP($A31,'Data Vlaue (Cr)'!$C:$FB,62)*100</f>
        <v>-17.29</v>
      </c>
      <c r="M31" s="51">
        <f>VLOOKUP($A31,'Data Vlaue (Cr)'!$C:$FB,63)</f>
        <v>721</v>
      </c>
      <c r="N31" s="51">
        <f>VLOOKUP($A31,'Data Vlaue (Cr)'!$C:$FB,64)</f>
        <v>915</v>
      </c>
      <c r="O31" s="51">
        <f>VLOOKUP($A31,'Data Vlaue (Cr)'!$C:$FB,66)*100</f>
        <v>-21.2</v>
      </c>
    </row>
    <row r="32" spans="1:15" x14ac:dyDescent="0.25">
      <c r="A32" s="101" t="str">
        <f>'Data Vlaue (Cr)'!C27</f>
        <v>BAJFINANCE</v>
      </c>
      <c r="B32" s="50">
        <f>VLOOKUP($A32,'Data Vlaue (Cr)'!$C:$FB,8)</f>
        <v>881.2</v>
      </c>
      <c r="C32" s="50">
        <f>VLOOKUP($A32,'Data Vlaue (Cr)'!$C:$FB,11)*100</f>
        <v>-0.41000000000000003</v>
      </c>
      <c r="D32" s="50">
        <f>VLOOKUP($A32,'Data Vlaue (Cr)'!$C:$FB,143)</f>
        <v>7384.11</v>
      </c>
      <c r="E32" s="50">
        <f>VLOOKUP($A32,'Data Vlaue (Cr)'!$C:$FB,144)</f>
        <v>7693.7</v>
      </c>
      <c r="F32" s="50">
        <f>VLOOKUP($A32,'Data Vlaue (Cr)'!$C:$FB,146)*100</f>
        <v>-4.0199999999999996</v>
      </c>
      <c r="G32" s="49">
        <f>VLOOKUP($A32,'Data Vlaue (Cr)'!$C:$FB,43)</f>
        <v>3821</v>
      </c>
      <c r="H32" s="49">
        <f>VLOOKUP($A32,'Data Vlaue (Cr)'!$C:$FB,44)</f>
        <v>3633</v>
      </c>
      <c r="I32" s="49">
        <f>VLOOKUP($A32,'Data Vlaue (Cr)'!$C:$FB,46)*100</f>
        <v>5.17</v>
      </c>
      <c r="J32" s="51">
        <f>VLOOKUP($A32,'Data Vlaue (Cr)'!$C:$FB,59)</f>
        <v>2155</v>
      </c>
      <c r="K32" s="51">
        <f>VLOOKUP($A32,'Data Vlaue (Cr)'!$C:$FB,60)</f>
        <v>2490</v>
      </c>
      <c r="L32" s="51">
        <f>VLOOKUP($A32,'Data Vlaue (Cr)'!$C:$FB,62)*100</f>
        <v>-13.44</v>
      </c>
      <c r="M32" s="51">
        <f>VLOOKUP($A32,'Data Vlaue (Cr)'!$C:$FB,63)</f>
        <v>1251</v>
      </c>
      <c r="N32" s="51">
        <f>VLOOKUP($A32,'Data Vlaue (Cr)'!$C:$FB,64)</f>
        <v>1404</v>
      </c>
      <c r="O32" s="51">
        <f>VLOOKUP($A32,'Data Vlaue (Cr)'!$C:$FB,66)*100</f>
        <v>-10.92</v>
      </c>
    </row>
    <row r="33" spans="1:15" x14ac:dyDescent="0.25">
      <c r="A33" s="101" t="str">
        <f>'Data Vlaue (Cr)'!C28</f>
        <v>BALKRISIND</v>
      </c>
      <c r="B33" s="50">
        <f>VLOOKUP($A33,'Data Vlaue (Cr)'!$C:$FB,8)</f>
        <v>2676.2</v>
      </c>
      <c r="C33" s="50">
        <f>VLOOKUP($A33,'Data Vlaue (Cr)'!$C:$FB,11)*100</f>
        <v>-3</v>
      </c>
      <c r="D33" s="50">
        <f>VLOOKUP($A33,'Data Vlaue (Cr)'!$C:$FB,143)</f>
        <v>710</v>
      </c>
      <c r="E33" s="50">
        <f>VLOOKUP($A33,'Data Vlaue (Cr)'!$C:$FB,144)</f>
        <v>699.02</v>
      </c>
      <c r="F33" s="50">
        <f>VLOOKUP($A33,'Data Vlaue (Cr)'!$C:$FB,146)*100</f>
        <v>1.5699999999999998</v>
      </c>
      <c r="G33" s="49">
        <f>VLOOKUP($A33,'Data Vlaue (Cr)'!$C:$FB,43)</f>
        <v>0</v>
      </c>
      <c r="H33" s="49">
        <f>VLOOKUP($A33,'Data Vlaue (Cr)'!$C:$FB,44)</f>
        <v>0</v>
      </c>
      <c r="I33" s="49">
        <f>VLOOKUP($A33,'Data Vlaue (Cr)'!$C:$FB,46)*100</f>
        <v>50.18</v>
      </c>
      <c r="J33" s="51">
        <f>VLOOKUP($A33,'Data Vlaue (Cr)'!$C:$FB,59)</f>
        <v>0</v>
      </c>
      <c r="K33" s="51">
        <f>VLOOKUP($A33,'Data Vlaue (Cr)'!$C:$FB,60)</f>
        <v>0</v>
      </c>
      <c r="L33" s="51">
        <f>VLOOKUP($A33,'Data Vlaue (Cr)'!$C:$FB,62)*100</f>
        <v>-10.35</v>
      </c>
      <c r="M33" s="51">
        <f>VLOOKUP($A33,'Data Vlaue (Cr)'!$C:$FB,63)</f>
        <v>0</v>
      </c>
      <c r="N33" s="51">
        <f>VLOOKUP($A33,'Data Vlaue (Cr)'!$C:$FB,64)</f>
        <v>0</v>
      </c>
      <c r="O33" s="51">
        <f>VLOOKUP($A33,'Data Vlaue (Cr)'!$C:$FB,66)*100</f>
        <v>-6.34</v>
      </c>
    </row>
    <row r="34" spans="1:15" x14ac:dyDescent="0.25">
      <c r="A34" s="101" t="str">
        <f>'Data Vlaue (Cr)'!C29</f>
        <v>BANDHANBNK</v>
      </c>
      <c r="B34" s="50">
        <f>VLOOKUP($A34,'Data Vlaue (Cr)'!$C:$FB,8)</f>
        <v>168.08</v>
      </c>
      <c r="C34" s="50">
        <f>VLOOKUP($A34,'Data Vlaue (Cr)'!$C:$FB,11)*100</f>
        <v>-0.11</v>
      </c>
      <c r="D34" s="50">
        <f>VLOOKUP($A34,'Data Vlaue (Cr)'!$C:$FB,143)</f>
        <v>1358.81</v>
      </c>
      <c r="E34" s="50">
        <f>VLOOKUP($A34,'Data Vlaue (Cr)'!$C:$FB,144)</f>
        <v>1484.32</v>
      </c>
      <c r="F34" s="50">
        <f>VLOOKUP($A34,'Data Vlaue (Cr)'!$C:$FB,146)*100</f>
        <v>-8.4599999999999991</v>
      </c>
      <c r="G34" s="49">
        <f>VLOOKUP($A34,'Data Vlaue (Cr)'!$C:$FB,43)</f>
        <v>790</v>
      </c>
      <c r="H34" s="49">
        <f>VLOOKUP($A34,'Data Vlaue (Cr)'!$C:$FB,44)</f>
        <v>721</v>
      </c>
      <c r="I34" s="49">
        <f>VLOOKUP($A34,'Data Vlaue (Cr)'!$C:$FB,46)*100</f>
        <v>9.49</v>
      </c>
      <c r="J34" s="51">
        <f>VLOOKUP($A34,'Data Vlaue (Cr)'!$C:$FB,59)</f>
        <v>305</v>
      </c>
      <c r="K34" s="51">
        <f>VLOOKUP($A34,'Data Vlaue (Cr)'!$C:$FB,60)</f>
        <v>426</v>
      </c>
      <c r="L34" s="51">
        <f>VLOOKUP($A34,'Data Vlaue (Cr)'!$C:$FB,62)*100</f>
        <v>-28.46</v>
      </c>
      <c r="M34" s="51">
        <f>VLOOKUP($A34,'Data Vlaue (Cr)'!$C:$FB,63)</f>
        <v>230</v>
      </c>
      <c r="N34" s="51">
        <f>VLOOKUP($A34,'Data Vlaue (Cr)'!$C:$FB,64)</f>
        <v>272</v>
      </c>
      <c r="O34" s="51">
        <f>VLOOKUP($A34,'Data Vlaue (Cr)'!$C:$FB,66)*100</f>
        <v>-15.61</v>
      </c>
    </row>
    <row r="35" spans="1:15" x14ac:dyDescent="0.25">
      <c r="A35" s="101" t="str">
        <f>'Data Vlaue (Cr)'!C30</f>
        <v>BANKBARODA</v>
      </c>
      <c r="B35" s="50">
        <f>VLOOKUP($A35,'Data Vlaue (Cr)'!$C:$FB,8)</f>
        <v>237.87</v>
      </c>
      <c r="C35" s="50">
        <f>VLOOKUP($A35,'Data Vlaue (Cr)'!$C:$FB,11)*100</f>
        <v>-0.75</v>
      </c>
      <c r="D35" s="50">
        <f>VLOOKUP($A35,'Data Vlaue (Cr)'!$C:$FB,143)</f>
        <v>2633.92</v>
      </c>
      <c r="E35" s="50">
        <f>VLOOKUP($A35,'Data Vlaue (Cr)'!$C:$FB,144)</f>
        <v>2878.02</v>
      </c>
      <c r="F35" s="50">
        <f>VLOOKUP($A35,'Data Vlaue (Cr)'!$C:$FB,146)*100</f>
        <v>-8.48</v>
      </c>
      <c r="G35" s="49">
        <f>VLOOKUP($A35,'Data Vlaue (Cr)'!$C:$FB,43)</f>
        <v>1220</v>
      </c>
      <c r="H35" s="49">
        <f>VLOOKUP($A35,'Data Vlaue (Cr)'!$C:$FB,44)</f>
        <v>1291</v>
      </c>
      <c r="I35" s="49">
        <f>VLOOKUP($A35,'Data Vlaue (Cr)'!$C:$FB,46)*100</f>
        <v>-5.4899999999999993</v>
      </c>
      <c r="J35" s="51">
        <f>VLOOKUP($A35,'Data Vlaue (Cr)'!$C:$FB,59)</f>
        <v>763</v>
      </c>
      <c r="K35" s="51">
        <f>VLOOKUP($A35,'Data Vlaue (Cr)'!$C:$FB,60)</f>
        <v>915</v>
      </c>
      <c r="L35" s="51">
        <f>VLOOKUP($A35,'Data Vlaue (Cr)'!$C:$FB,62)*100</f>
        <v>-16.59</v>
      </c>
      <c r="M35" s="51">
        <f>VLOOKUP($A35,'Data Vlaue (Cr)'!$C:$FB,63)</f>
        <v>609</v>
      </c>
      <c r="N35" s="51">
        <f>VLOOKUP($A35,'Data Vlaue (Cr)'!$C:$FB,64)</f>
        <v>607</v>
      </c>
      <c r="O35" s="51">
        <f>VLOOKUP($A35,'Data Vlaue (Cr)'!$C:$FB,66)*100</f>
        <v>0.32</v>
      </c>
    </row>
    <row r="36" spans="1:15" x14ac:dyDescent="0.25">
      <c r="A36" s="101" t="str">
        <f>'Data Vlaue (Cr)'!C31</f>
        <v>BANKINDIA</v>
      </c>
      <c r="B36" s="50">
        <f>VLOOKUP($A36,'Data Vlaue (Cr)'!$C:$FB,8)</f>
        <v>111.38</v>
      </c>
      <c r="C36" s="50">
        <f>VLOOKUP($A36,'Data Vlaue (Cr)'!$C:$FB,11)*100</f>
        <v>-2.42</v>
      </c>
      <c r="D36" s="50">
        <f>VLOOKUP($A36,'Data Vlaue (Cr)'!$C:$FB,143)</f>
        <v>1047.3399999999999</v>
      </c>
      <c r="E36" s="50">
        <f>VLOOKUP($A36,'Data Vlaue (Cr)'!$C:$FB,144)</f>
        <v>1965.88</v>
      </c>
      <c r="F36" s="50">
        <f>VLOOKUP($A36,'Data Vlaue (Cr)'!$C:$FB,146)*100</f>
        <v>-46.72</v>
      </c>
      <c r="G36" s="49">
        <f>VLOOKUP($A36,'Data Vlaue (Cr)'!$C:$FB,43)</f>
        <v>631</v>
      </c>
      <c r="H36" s="49">
        <f>VLOOKUP($A36,'Data Vlaue (Cr)'!$C:$FB,44)</f>
        <v>843</v>
      </c>
      <c r="I36" s="49">
        <f>VLOOKUP($A36,'Data Vlaue (Cr)'!$C:$FB,46)*100</f>
        <v>-25.1</v>
      </c>
      <c r="J36" s="51">
        <f>VLOOKUP($A36,'Data Vlaue (Cr)'!$C:$FB,59)</f>
        <v>245</v>
      </c>
      <c r="K36" s="51">
        <f>VLOOKUP($A36,'Data Vlaue (Cr)'!$C:$FB,60)</f>
        <v>666</v>
      </c>
      <c r="L36" s="51">
        <f>VLOOKUP($A36,'Data Vlaue (Cr)'!$C:$FB,62)*100</f>
        <v>-63.190000000000005</v>
      </c>
      <c r="M36" s="51">
        <f>VLOOKUP($A36,'Data Vlaue (Cr)'!$C:$FB,63)</f>
        <v>150</v>
      </c>
      <c r="N36" s="51">
        <f>VLOOKUP($A36,'Data Vlaue (Cr)'!$C:$FB,64)</f>
        <v>379</v>
      </c>
      <c r="O36" s="51">
        <f>VLOOKUP($A36,'Data Vlaue (Cr)'!$C:$FB,66)*100</f>
        <v>-60.34</v>
      </c>
    </row>
    <row r="37" spans="1:15" x14ac:dyDescent="0.25">
      <c r="A37" s="101" t="str">
        <f>'Data Vlaue (Cr)'!C32</f>
        <v>BANKNIFTY</v>
      </c>
      <c r="B37" s="50">
        <f>VLOOKUP($A37,'Data Vlaue (Cr)'!$C:$FB,8)</f>
        <v>55961.95</v>
      </c>
      <c r="C37" s="50">
        <f>VLOOKUP($A37,'Data Vlaue (Cr)'!$C:$FB,11)*100</f>
        <v>-0.33999999999999997</v>
      </c>
      <c r="D37" s="50">
        <f>VLOOKUP($A37,'Data Vlaue (Cr)'!$C:$FB,143)</f>
        <v>17416386.309999999</v>
      </c>
      <c r="E37" s="50">
        <f>VLOOKUP($A37,'Data Vlaue (Cr)'!$C:$FB,144)</f>
        <v>3226279.1</v>
      </c>
      <c r="F37" s="50">
        <f>VLOOKUP($A37,'Data Vlaue (Cr)'!$C:$FB,146)*100</f>
        <v>439.83</v>
      </c>
      <c r="G37" s="49">
        <f>VLOOKUP($A37,'Data Vlaue (Cr)'!$C:$FB,43)</f>
        <v>20200</v>
      </c>
      <c r="H37" s="49">
        <f>VLOOKUP($A37,'Data Vlaue (Cr)'!$C:$FB,44)</f>
        <v>8412</v>
      </c>
      <c r="I37" s="49">
        <f>VLOOKUP($A37,'Data Vlaue (Cr)'!$C:$FB,46)*100</f>
        <v>140.13999999999999</v>
      </c>
      <c r="J37" s="51">
        <f>VLOOKUP($A37,'Data Vlaue (Cr)'!$C:$FB,59)</f>
        <v>9337926</v>
      </c>
      <c r="K37" s="51">
        <f>VLOOKUP($A37,'Data Vlaue (Cr)'!$C:$FB,60)</f>
        <v>1739823</v>
      </c>
      <c r="L37" s="51">
        <f>VLOOKUP($A37,'Data Vlaue (Cr)'!$C:$FB,62)*100</f>
        <v>436.72</v>
      </c>
      <c r="M37" s="51">
        <f>VLOOKUP($A37,'Data Vlaue (Cr)'!$C:$FB,63)</f>
        <v>8064528</v>
      </c>
      <c r="N37" s="51">
        <f>VLOOKUP($A37,'Data Vlaue (Cr)'!$C:$FB,64)</f>
        <v>1462162</v>
      </c>
      <c r="O37" s="51">
        <f>VLOOKUP($A37,'Data Vlaue (Cr)'!$C:$FB,66)*100</f>
        <v>451.55</v>
      </c>
    </row>
    <row r="38" spans="1:15" x14ac:dyDescent="0.25">
      <c r="A38" s="101" t="str">
        <f>'Data Vlaue (Cr)'!C33</f>
        <v>BDL</v>
      </c>
      <c r="B38" s="50">
        <f>VLOOKUP($A38,'Data Vlaue (Cr)'!$C:$FB,8)</f>
        <v>1619</v>
      </c>
      <c r="C38" s="50">
        <f>VLOOKUP($A38,'Data Vlaue (Cr)'!$C:$FB,11)*100</f>
        <v>-0.08</v>
      </c>
      <c r="D38" s="50">
        <f>VLOOKUP($A38,'Data Vlaue (Cr)'!$C:$FB,143)</f>
        <v>1226.03</v>
      </c>
      <c r="E38" s="50">
        <f>VLOOKUP($A38,'Data Vlaue (Cr)'!$C:$FB,144)</f>
        <v>1033.51</v>
      </c>
      <c r="F38" s="50">
        <f>VLOOKUP($A38,'Data Vlaue (Cr)'!$C:$FB,146)*100</f>
        <v>18.63</v>
      </c>
      <c r="G38" s="49">
        <f>VLOOKUP($A38,'Data Vlaue (Cr)'!$C:$FB,43)</f>
        <v>529</v>
      </c>
      <c r="H38" s="49">
        <f>VLOOKUP($A38,'Data Vlaue (Cr)'!$C:$FB,44)</f>
        <v>341</v>
      </c>
      <c r="I38" s="49">
        <f>VLOOKUP($A38,'Data Vlaue (Cr)'!$C:$FB,46)*100</f>
        <v>55.21</v>
      </c>
      <c r="J38" s="51">
        <f>VLOOKUP($A38,'Data Vlaue (Cr)'!$C:$FB,59)</f>
        <v>460</v>
      </c>
      <c r="K38" s="51">
        <f>VLOOKUP($A38,'Data Vlaue (Cr)'!$C:$FB,60)</f>
        <v>477</v>
      </c>
      <c r="L38" s="51">
        <f>VLOOKUP($A38,'Data Vlaue (Cr)'!$C:$FB,62)*100</f>
        <v>-3.65</v>
      </c>
      <c r="M38" s="51">
        <f>VLOOKUP($A38,'Data Vlaue (Cr)'!$C:$FB,63)</f>
        <v>179</v>
      </c>
      <c r="N38" s="51">
        <f>VLOOKUP($A38,'Data Vlaue (Cr)'!$C:$FB,64)</f>
        <v>163</v>
      </c>
      <c r="O38" s="51">
        <f>VLOOKUP($A38,'Data Vlaue (Cr)'!$C:$FB,66)*100</f>
        <v>9.77</v>
      </c>
    </row>
    <row r="39" spans="1:15" x14ac:dyDescent="0.25">
      <c r="A39" s="101" t="str">
        <f>'Data Vlaue (Cr)'!C34</f>
        <v>BEL</v>
      </c>
      <c r="B39" s="50">
        <f>VLOOKUP($A39,'Data Vlaue (Cr)'!$C:$FB,8)</f>
        <v>383.1</v>
      </c>
      <c r="C39" s="50">
        <f>VLOOKUP($A39,'Data Vlaue (Cr)'!$C:$FB,11)*100</f>
        <v>-0.88</v>
      </c>
      <c r="D39" s="50">
        <f>VLOOKUP($A39,'Data Vlaue (Cr)'!$C:$FB,143)</f>
        <v>8581.4500000000007</v>
      </c>
      <c r="E39" s="50">
        <f>VLOOKUP($A39,'Data Vlaue (Cr)'!$C:$FB,144)</f>
        <v>9252.06</v>
      </c>
      <c r="F39" s="50">
        <f>VLOOKUP($A39,'Data Vlaue (Cr)'!$C:$FB,146)*100</f>
        <v>-7.2499999999999991</v>
      </c>
      <c r="G39" s="49">
        <f>VLOOKUP($A39,'Data Vlaue (Cr)'!$C:$FB,43)</f>
        <v>2563</v>
      </c>
      <c r="H39" s="49">
        <f>VLOOKUP($A39,'Data Vlaue (Cr)'!$C:$FB,44)</f>
        <v>2139</v>
      </c>
      <c r="I39" s="49">
        <f>VLOOKUP($A39,'Data Vlaue (Cr)'!$C:$FB,46)*100</f>
        <v>19.8</v>
      </c>
      <c r="J39" s="51">
        <f>VLOOKUP($A39,'Data Vlaue (Cr)'!$C:$FB,59)</f>
        <v>3523</v>
      </c>
      <c r="K39" s="51">
        <f>VLOOKUP($A39,'Data Vlaue (Cr)'!$C:$FB,60)</f>
        <v>4956</v>
      </c>
      <c r="L39" s="51">
        <f>VLOOKUP($A39,'Data Vlaue (Cr)'!$C:$FB,62)*100</f>
        <v>-28.9</v>
      </c>
      <c r="M39" s="51">
        <f>VLOOKUP($A39,'Data Vlaue (Cr)'!$C:$FB,63)</f>
        <v>2264</v>
      </c>
      <c r="N39" s="51">
        <f>VLOOKUP($A39,'Data Vlaue (Cr)'!$C:$FB,64)</f>
        <v>1823</v>
      </c>
      <c r="O39" s="51">
        <f>VLOOKUP($A39,'Data Vlaue (Cr)'!$C:$FB,66)*100</f>
        <v>24.23</v>
      </c>
    </row>
    <row r="40" spans="1:15" x14ac:dyDescent="0.25">
      <c r="A40" s="101" t="str">
        <f>'Data Vlaue (Cr)'!C35</f>
        <v>BHARATFORG</v>
      </c>
      <c r="B40" s="50">
        <f>VLOOKUP($A40,'Data Vlaue (Cr)'!$C:$FB,8)</f>
        <v>1169.0999999999999</v>
      </c>
      <c r="C40" s="50">
        <f>VLOOKUP($A40,'Data Vlaue (Cr)'!$C:$FB,11)*100</f>
        <v>-1.6400000000000001</v>
      </c>
      <c r="D40" s="50">
        <f>VLOOKUP($A40,'Data Vlaue (Cr)'!$C:$FB,143)</f>
        <v>1870.6</v>
      </c>
      <c r="E40" s="50">
        <f>VLOOKUP($A40,'Data Vlaue (Cr)'!$C:$FB,144)</f>
        <v>2313.4299999999998</v>
      </c>
      <c r="F40" s="50">
        <f>VLOOKUP($A40,'Data Vlaue (Cr)'!$C:$FB,146)*100</f>
        <v>-19.139999999999997</v>
      </c>
      <c r="G40" s="49">
        <f>VLOOKUP($A40,'Data Vlaue (Cr)'!$C:$FB,43)</f>
        <v>888</v>
      </c>
      <c r="H40" s="49">
        <f>VLOOKUP($A40,'Data Vlaue (Cr)'!$C:$FB,44)</f>
        <v>1075</v>
      </c>
      <c r="I40" s="49">
        <f>VLOOKUP($A40,'Data Vlaue (Cr)'!$C:$FB,46)*100</f>
        <v>-17.45</v>
      </c>
      <c r="J40" s="51">
        <f>VLOOKUP($A40,'Data Vlaue (Cr)'!$C:$FB,59)</f>
        <v>486</v>
      </c>
      <c r="K40" s="51">
        <f>VLOOKUP($A40,'Data Vlaue (Cr)'!$C:$FB,60)</f>
        <v>548</v>
      </c>
      <c r="L40" s="51">
        <f>VLOOKUP($A40,'Data Vlaue (Cr)'!$C:$FB,62)*100</f>
        <v>-11.17</v>
      </c>
      <c r="M40" s="51">
        <f>VLOOKUP($A40,'Data Vlaue (Cr)'!$C:$FB,63)</f>
        <v>473</v>
      </c>
      <c r="N40" s="51">
        <f>VLOOKUP($A40,'Data Vlaue (Cr)'!$C:$FB,64)</f>
        <v>617</v>
      </c>
      <c r="O40" s="51">
        <f>VLOOKUP($A40,'Data Vlaue (Cr)'!$C:$FB,66)*100</f>
        <v>-23.330000000000002</v>
      </c>
    </row>
    <row r="41" spans="1:15" x14ac:dyDescent="0.25">
      <c r="A41" s="101" t="str">
        <f>'Data Vlaue (Cr)'!C36</f>
        <v>BHARTIARTL</v>
      </c>
      <c r="B41" s="50">
        <f>VLOOKUP($A41,'Data Vlaue (Cr)'!$C:$FB,8)</f>
        <v>1914.3</v>
      </c>
      <c r="C41" s="50">
        <f>VLOOKUP($A41,'Data Vlaue (Cr)'!$C:$FB,11)*100</f>
        <v>-0.95</v>
      </c>
      <c r="D41" s="50">
        <f>VLOOKUP($A41,'Data Vlaue (Cr)'!$C:$FB,143)</f>
        <v>7216.25</v>
      </c>
      <c r="E41" s="50">
        <f>VLOOKUP($A41,'Data Vlaue (Cr)'!$C:$FB,144)</f>
        <v>9933.7800000000007</v>
      </c>
      <c r="F41" s="50">
        <f>VLOOKUP($A41,'Data Vlaue (Cr)'!$C:$FB,146)*100</f>
        <v>-27.36</v>
      </c>
      <c r="G41" s="49">
        <f>VLOOKUP($A41,'Data Vlaue (Cr)'!$C:$FB,43)</f>
        <v>3162</v>
      </c>
      <c r="H41" s="49">
        <f>VLOOKUP($A41,'Data Vlaue (Cr)'!$C:$FB,44)</f>
        <v>3852</v>
      </c>
      <c r="I41" s="49">
        <f>VLOOKUP($A41,'Data Vlaue (Cr)'!$C:$FB,46)*100</f>
        <v>-17.919999999999998</v>
      </c>
      <c r="J41" s="51">
        <f>VLOOKUP($A41,'Data Vlaue (Cr)'!$C:$FB,59)</f>
        <v>2605</v>
      </c>
      <c r="K41" s="51">
        <f>VLOOKUP($A41,'Data Vlaue (Cr)'!$C:$FB,60)</f>
        <v>4200</v>
      </c>
      <c r="L41" s="51">
        <f>VLOOKUP($A41,'Data Vlaue (Cr)'!$C:$FB,62)*100</f>
        <v>-37.99</v>
      </c>
      <c r="M41" s="51">
        <f>VLOOKUP($A41,'Data Vlaue (Cr)'!$C:$FB,63)</f>
        <v>1369</v>
      </c>
      <c r="N41" s="51">
        <f>VLOOKUP($A41,'Data Vlaue (Cr)'!$C:$FB,64)</f>
        <v>1737</v>
      </c>
      <c r="O41" s="51">
        <f>VLOOKUP($A41,'Data Vlaue (Cr)'!$C:$FB,66)*100</f>
        <v>-21.2</v>
      </c>
    </row>
    <row r="42" spans="1:15" x14ac:dyDescent="0.25">
      <c r="A42" s="101" t="str">
        <f>'Data Vlaue (Cr)'!C37</f>
        <v>BHEL</v>
      </c>
      <c r="B42" s="50">
        <f>VLOOKUP($A42,'Data Vlaue (Cr)'!$C:$FB,8)</f>
        <v>238.45</v>
      </c>
      <c r="C42" s="50">
        <f>VLOOKUP($A42,'Data Vlaue (Cr)'!$C:$FB,11)*100</f>
        <v>-1.32</v>
      </c>
      <c r="D42" s="50">
        <f>VLOOKUP($A42,'Data Vlaue (Cr)'!$C:$FB,143)</f>
        <v>1939.78</v>
      </c>
      <c r="E42" s="50">
        <f>VLOOKUP($A42,'Data Vlaue (Cr)'!$C:$FB,144)</f>
        <v>1570.85</v>
      </c>
      <c r="F42" s="50">
        <f>VLOOKUP($A42,'Data Vlaue (Cr)'!$C:$FB,146)*100</f>
        <v>23.49</v>
      </c>
      <c r="G42" s="49">
        <f>VLOOKUP($A42,'Data Vlaue (Cr)'!$C:$FB,43)</f>
        <v>927</v>
      </c>
      <c r="H42" s="49">
        <f>VLOOKUP($A42,'Data Vlaue (Cr)'!$C:$FB,44)</f>
        <v>819</v>
      </c>
      <c r="I42" s="49">
        <f>VLOOKUP($A42,'Data Vlaue (Cr)'!$C:$FB,46)*100</f>
        <v>13.07</v>
      </c>
      <c r="J42" s="51">
        <f>VLOOKUP($A42,'Data Vlaue (Cr)'!$C:$FB,59)</f>
        <v>581</v>
      </c>
      <c r="K42" s="51">
        <f>VLOOKUP($A42,'Data Vlaue (Cr)'!$C:$FB,60)</f>
        <v>449</v>
      </c>
      <c r="L42" s="51">
        <f>VLOOKUP($A42,'Data Vlaue (Cr)'!$C:$FB,62)*100</f>
        <v>29.29</v>
      </c>
      <c r="M42" s="51">
        <f>VLOOKUP($A42,'Data Vlaue (Cr)'!$C:$FB,63)</f>
        <v>378</v>
      </c>
      <c r="N42" s="51">
        <f>VLOOKUP($A42,'Data Vlaue (Cr)'!$C:$FB,64)</f>
        <v>250</v>
      </c>
      <c r="O42" s="51">
        <f>VLOOKUP($A42,'Data Vlaue (Cr)'!$C:$FB,66)*100</f>
        <v>51.31</v>
      </c>
    </row>
    <row r="43" spans="1:15" x14ac:dyDescent="0.25">
      <c r="A43" s="101" t="str">
        <f>'Data Vlaue (Cr)'!C38</f>
        <v>BIOCON</v>
      </c>
      <c r="B43" s="50">
        <f>VLOOKUP($A43,'Data Vlaue (Cr)'!$C:$FB,8)</f>
        <v>391.4</v>
      </c>
      <c r="C43" s="50">
        <f>VLOOKUP($A43,'Data Vlaue (Cr)'!$C:$FB,11)*100</f>
        <v>-1.49</v>
      </c>
      <c r="D43" s="50">
        <f>VLOOKUP($A43,'Data Vlaue (Cr)'!$C:$FB,143)</f>
        <v>2276.3000000000002</v>
      </c>
      <c r="E43" s="50">
        <f>VLOOKUP($A43,'Data Vlaue (Cr)'!$C:$FB,144)</f>
        <v>2590.69</v>
      </c>
      <c r="F43" s="50">
        <f>VLOOKUP($A43,'Data Vlaue (Cr)'!$C:$FB,146)*100</f>
        <v>-12.139999999999999</v>
      </c>
      <c r="G43" s="49">
        <f>VLOOKUP($A43,'Data Vlaue (Cr)'!$C:$FB,43)</f>
        <v>1133</v>
      </c>
      <c r="H43" s="49">
        <f>VLOOKUP($A43,'Data Vlaue (Cr)'!$C:$FB,44)</f>
        <v>1044</v>
      </c>
      <c r="I43" s="49">
        <f>VLOOKUP($A43,'Data Vlaue (Cr)'!$C:$FB,46)*100</f>
        <v>8.5299999999999994</v>
      </c>
      <c r="J43" s="51">
        <f>VLOOKUP($A43,'Data Vlaue (Cr)'!$C:$FB,59)</f>
        <v>675</v>
      </c>
      <c r="K43" s="51">
        <f>VLOOKUP($A43,'Data Vlaue (Cr)'!$C:$FB,60)</f>
        <v>1030</v>
      </c>
      <c r="L43" s="51">
        <f>VLOOKUP($A43,'Data Vlaue (Cr)'!$C:$FB,62)*100</f>
        <v>-34.43</v>
      </c>
      <c r="M43" s="51">
        <f>VLOOKUP($A43,'Data Vlaue (Cr)'!$C:$FB,63)</f>
        <v>444</v>
      </c>
      <c r="N43" s="51">
        <f>VLOOKUP($A43,'Data Vlaue (Cr)'!$C:$FB,64)</f>
        <v>454</v>
      </c>
      <c r="O43" s="51">
        <f>VLOOKUP($A43,'Data Vlaue (Cr)'!$C:$FB,66)*100</f>
        <v>-2.27</v>
      </c>
    </row>
    <row r="44" spans="1:15" x14ac:dyDescent="0.25">
      <c r="A44" s="101" t="str">
        <f>'Data Vlaue (Cr)'!C39</f>
        <v>BLUESTARCO</v>
      </c>
      <c r="B44" s="50">
        <f>VLOOKUP($A44,'Data Vlaue (Cr)'!$C:$FB,8)</f>
        <v>1738.1</v>
      </c>
      <c r="C44" s="50">
        <f>VLOOKUP($A44,'Data Vlaue (Cr)'!$C:$FB,11)*100</f>
        <v>-0.95</v>
      </c>
      <c r="D44" s="50">
        <f>VLOOKUP($A44,'Data Vlaue (Cr)'!$C:$FB,143)</f>
        <v>350.88</v>
      </c>
      <c r="E44" s="50">
        <f>VLOOKUP($A44,'Data Vlaue (Cr)'!$C:$FB,144)</f>
        <v>465.49</v>
      </c>
      <c r="F44" s="50">
        <f>VLOOKUP($A44,'Data Vlaue (Cr)'!$C:$FB,146)*100</f>
        <v>-24.62</v>
      </c>
      <c r="G44" s="49">
        <f>VLOOKUP($A44,'Data Vlaue (Cr)'!$C:$FB,43)</f>
        <v>117</v>
      </c>
      <c r="H44" s="49">
        <f>VLOOKUP($A44,'Data Vlaue (Cr)'!$C:$FB,44)</f>
        <v>234</v>
      </c>
      <c r="I44" s="49">
        <f>VLOOKUP($A44,'Data Vlaue (Cr)'!$C:$FB,46)*100</f>
        <v>-49.71</v>
      </c>
      <c r="J44" s="51">
        <f>VLOOKUP($A44,'Data Vlaue (Cr)'!$C:$FB,59)</f>
        <v>117</v>
      </c>
      <c r="K44" s="51">
        <f>VLOOKUP($A44,'Data Vlaue (Cr)'!$C:$FB,60)</f>
        <v>151</v>
      </c>
      <c r="L44" s="51">
        <f>VLOOKUP($A44,'Data Vlaue (Cr)'!$C:$FB,62)*100</f>
        <v>-22.74</v>
      </c>
      <c r="M44" s="51">
        <f>VLOOKUP($A44,'Data Vlaue (Cr)'!$C:$FB,63)</f>
        <v>110</v>
      </c>
      <c r="N44" s="51">
        <f>VLOOKUP($A44,'Data Vlaue (Cr)'!$C:$FB,64)</f>
        <v>72</v>
      </c>
      <c r="O44" s="51">
        <f>VLOOKUP($A44,'Data Vlaue (Cr)'!$C:$FB,66)*100</f>
        <v>53.15</v>
      </c>
    </row>
    <row r="45" spans="1:15" x14ac:dyDescent="0.25">
      <c r="A45" s="101" t="str">
        <f>'Data Vlaue (Cr)'!C40</f>
        <v>BOSCHLTD</v>
      </c>
      <c r="B45" s="50">
        <f>VLOOKUP($A45,'Data Vlaue (Cr)'!$C:$FB,8)</f>
        <v>40385</v>
      </c>
      <c r="C45" s="50">
        <f>VLOOKUP($A45,'Data Vlaue (Cr)'!$C:$FB,11)*100</f>
        <v>0.80999999999999994</v>
      </c>
      <c r="D45" s="50">
        <f>VLOOKUP($A45,'Data Vlaue (Cr)'!$C:$FB,143)</f>
        <v>7833.68</v>
      </c>
      <c r="E45" s="50">
        <f>VLOOKUP($A45,'Data Vlaue (Cr)'!$C:$FB,144)</f>
        <v>21567.17</v>
      </c>
      <c r="F45" s="50">
        <f>VLOOKUP($A45,'Data Vlaue (Cr)'!$C:$FB,146)*100</f>
        <v>-63.680000000000007</v>
      </c>
      <c r="G45" s="49">
        <f>VLOOKUP($A45,'Data Vlaue (Cr)'!$C:$FB,43)</f>
        <v>768</v>
      </c>
      <c r="H45" s="49">
        <f>VLOOKUP($A45,'Data Vlaue (Cr)'!$C:$FB,44)</f>
        <v>1249</v>
      </c>
      <c r="I45" s="49">
        <f>VLOOKUP($A45,'Data Vlaue (Cr)'!$C:$FB,46)*100</f>
        <v>-38.47</v>
      </c>
      <c r="J45" s="51">
        <f>VLOOKUP($A45,'Data Vlaue (Cr)'!$C:$FB,59)</f>
        <v>4534</v>
      </c>
      <c r="K45" s="51">
        <f>VLOOKUP($A45,'Data Vlaue (Cr)'!$C:$FB,60)</f>
        <v>13644</v>
      </c>
      <c r="L45" s="51">
        <f>VLOOKUP($A45,'Data Vlaue (Cr)'!$C:$FB,62)*100</f>
        <v>-66.77</v>
      </c>
      <c r="M45" s="51">
        <f>VLOOKUP($A45,'Data Vlaue (Cr)'!$C:$FB,63)</f>
        <v>2567</v>
      </c>
      <c r="N45" s="51">
        <f>VLOOKUP($A45,'Data Vlaue (Cr)'!$C:$FB,64)</f>
        <v>6654</v>
      </c>
      <c r="O45" s="51">
        <f>VLOOKUP($A45,'Data Vlaue (Cr)'!$C:$FB,66)*100</f>
        <v>-61.429999999999993</v>
      </c>
    </row>
    <row r="46" spans="1:15" x14ac:dyDescent="0.25">
      <c r="A46" s="101" t="str">
        <f>'Data Vlaue (Cr)'!C41</f>
        <v>BPCL</v>
      </c>
      <c r="B46" s="50">
        <f>VLOOKUP($A46,'Data Vlaue (Cr)'!$C:$FB,8)</f>
        <v>329.3</v>
      </c>
      <c r="C46" s="50">
        <f>VLOOKUP($A46,'Data Vlaue (Cr)'!$C:$FB,11)*100</f>
        <v>-2.2999999999999998</v>
      </c>
      <c r="D46" s="50">
        <f>VLOOKUP($A46,'Data Vlaue (Cr)'!$C:$FB,143)</f>
        <v>2485.77</v>
      </c>
      <c r="E46" s="50">
        <f>VLOOKUP($A46,'Data Vlaue (Cr)'!$C:$FB,144)</f>
        <v>6790.62</v>
      </c>
      <c r="F46" s="50">
        <f>VLOOKUP($A46,'Data Vlaue (Cr)'!$C:$FB,146)*100</f>
        <v>-63.39</v>
      </c>
      <c r="G46" s="49">
        <f>VLOOKUP($A46,'Data Vlaue (Cr)'!$C:$FB,43)</f>
        <v>696</v>
      </c>
      <c r="H46" s="49">
        <f>VLOOKUP($A46,'Data Vlaue (Cr)'!$C:$FB,44)</f>
        <v>1141</v>
      </c>
      <c r="I46" s="49">
        <f>VLOOKUP($A46,'Data Vlaue (Cr)'!$C:$FB,46)*100</f>
        <v>-38.97</v>
      </c>
      <c r="J46" s="51">
        <f>VLOOKUP($A46,'Data Vlaue (Cr)'!$C:$FB,59)</f>
        <v>1122</v>
      </c>
      <c r="K46" s="51">
        <f>VLOOKUP($A46,'Data Vlaue (Cr)'!$C:$FB,60)</f>
        <v>4428</v>
      </c>
      <c r="L46" s="51">
        <f>VLOOKUP($A46,'Data Vlaue (Cr)'!$C:$FB,62)*100</f>
        <v>-74.660000000000011</v>
      </c>
      <c r="M46" s="51">
        <f>VLOOKUP($A46,'Data Vlaue (Cr)'!$C:$FB,63)</f>
        <v>614</v>
      </c>
      <c r="N46" s="51">
        <f>VLOOKUP($A46,'Data Vlaue (Cr)'!$C:$FB,64)</f>
        <v>955</v>
      </c>
      <c r="O46" s="51">
        <f>VLOOKUP($A46,'Data Vlaue (Cr)'!$C:$FB,66)*100</f>
        <v>-35.699999999999996</v>
      </c>
    </row>
    <row r="47" spans="1:15" x14ac:dyDescent="0.25">
      <c r="A47" s="101" t="str">
        <f>'Data Vlaue (Cr)'!C42</f>
        <v>BRITANNIA</v>
      </c>
      <c r="B47" s="50">
        <f>VLOOKUP($A47,'Data Vlaue (Cr)'!$C:$FB,8)</f>
        <v>5771</v>
      </c>
      <c r="C47" s="50">
        <f>VLOOKUP($A47,'Data Vlaue (Cr)'!$C:$FB,11)*100</f>
        <v>0.42</v>
      </c>
      <c r="D47" s="50">
        <f>VLOOKUP($A47,'Data Vlaue (Cr)'!$C:$FB,143)</f>
        <v>2087.09</v>
      </c>
      <c r="E47" s="50">
        <f>VLOOKUP($A47,'Data Vlaue (Cr)'!$C:$FB,144)</f>
        <v>1966.23</v>
      </c>
      <c r="F47" s="50">
        <f>VLOOKUP($A47,'Data Vlaue (Cr)'!$C:$FB,146)*100</f>
        <v>6.15</v>
      </c>
      <c r="G47" s="49">
        <f>VLOOKUP($A47,'Data Vlaue (Cr)'!$C:$FB,43)</f>
        <v>1057</v>
      </c>
      <c r="H47" s="49">
        <f>VLOOKUP($A47,'Data Vlaue (Cr)'!$C:$FB,44)</f>
        <v>896</v>
      </c>
      <c r="I47" s="49">
        <f>VLOOKUP($A47,'Data Vlaue (Cr)'!$C:$FB,46)*100</f>
        <v>18.010000000000002</v>
      </c>
      <c r="J47" s="51">
        <f>VLOOKUP($A47,'Data Vlaue (Cr)'!$C:$FB,59)</f>
        <v>780</v>
      </c>
      <c r="K47" s="51">
        <f>VLOOKUP($A47,'Data Vlaue (Cr)'!$C:$FB,60)</f>
        <v>767</v>
      </c>
      <c r="L47" s="51">
        <f>VLOOKUP($A47,'Data Vlaue (Cr)'!$C:$FB,62)*100</f>
        <v>1.76</v>
      </c>
      <c r="M47" s="51">
        <f>VLOOKUP($A47,'Data Vlaue (Cr)'!$C:$FB,63)</f>
        <v>217</v>
      </c>
      <c r="N47" s="51">
        <f>VLOOKUP($A47,'Data Vlaue (Cr)'!$C:$FB,64)</f>
        <v>299</v>
      </c>
      <c r="O47" s="51">
        <f>VLOOKUP($A47,'Data Vlaue (Cr)'!$C:$FB,66)*100</f>
        <v>-27.43</v>
      </c>
    </row>
    <row r="48" spans="1:15" x14ac:dyDescent="0.25">
      <c r="A48" s="101" t="str">
        <f>'Data Vlaue (Cr)'!C43</f>
        <v>BSE</v>
      </c>
      <c r="B48" s="50">
        <f>VLOOKUP($A48,'Data Vlaue (Cr)'!$C:$FB,8)</f>
        <v>2427.4</v>
      </c>
      <c r="C48" s="50">
        <f>VLOOKUP($A48,'Data Vlaue (Cr)'!$C:$FB,11)*100</f>
        <v>-1.22</v>
      </c>
      <c r="D48" s="50">
        <f>VLOOKUP($A48,'Data Vlaue (Cr)'!$C:$FB,143)</f>
        <v>8007.82</v>
      </c>
      <c r="E48" s="50">
        <f>VLOOKUP($A48,'Data Vlaue (Cr)'!$C:$FB,144)</f>
        <v>8490.92</v>
      </c>
      <c r="F48" s="50">
        <f>VLOOKUP($A48,'Data Vlaue (Cr)'!$C:$FB,146)*100</f>
        <v>-5.6899999999999995</v>
      </c>
      <c r="G48" s="49">
        <f>VLOOKUP($A48,'Data Vlaue (Cr)'!$C:$FB,43)</f>
        <v>2578</v>
      </c>
      <c r="H48" s="49">
        <f>VLOOKUP($A48,'Data Vlaue (Cr)'!$C:$FB,44)</f>
        <v>1830</v>
      </c>
      <c r="I48" s="49">
        <f>VLOOKUP($A48,'Data Vlaue (Cr)'!$C:$FB,46)*100</f>
        <v>40.92</v>
      </c>
      <c r="J48" s="51">
        <f>VLOOKUP($A48,'Data Vlaue (Cr)'!$C:$FB,59)</f>
        <v>3065</v>
      </c>
      <c r="K48" s="51">
        <f>VLOOKUP($A48,'Data Vlaue (Cr)'!$C:$FB,60)</f>
        <v>4135</v>
      </c>
      <c r="L48" s="51">
        <f>VLOOKUP($A48,'Data Vlaue (Cr)'!$C:$FB,62)*100</f>
        <v>-25.869999999999997</v>
      </c>
      <c r="M48" s="51">
        <f>VLOOKUP($A48,'Data Vlaue (Cr)'!$C:$FB,63)</f>
        <v>2108</v>
      </c>
      <c r="N48" s="51">
        <f>VLOOKUP($A48,'Data Vlaue (Cr)'!$C:$FB,64)</f>
        <v>2176</v>
      </c>
      <c r="O48" s="51">
        <f>VLOOKUP($A48,'Data Vlaue (Cr)'!$C:$FB,66)*100</f>
        <v>-3.11</v>
      </c>
    </row>
    <row r="49" spans="1:15" x14ac:dyDescent="0.25">
      <c r="A49" s="101" t="str">
        <f>'Data Vlaue (Cr)'!C44</f>
        <v>BSOFT</v>
      </c>
      <c r="B49" s="50">
        <f>VLOOKUP($A49,'Data Vlaue (Cr)'!$C:$FB,8)</f>
        <v>391.5</v>
      </c>
      <c r="C49" s="50">
        <f>VLOOKUP($A49,'Data Vlaue (Cr)'!$C:$FB,11)*100</f>
        <v>-5.6099999999999994</v>
      </c>
      <c r="D49" s="50">
        <f>VLOOKUP($A49,'Data Vlaue (Cr)'!$C:$FB,143)</f>
        <v>437.36</v>
      </c>
      <c r="E49" s="50">
        <f>VLOOKUP($A49,'Data Vlaue (Cr)'!$C:$FB,144)</f>
        <v>737.18</v>
      </c>
      <c r="F49" s="50">
        <f>VLOOKUP($A49,'Data Vlaue (Cr)'!$C:$FB,146)*100</f>
        <v>-40.67</v>
      </c>
      <c r="G49" s="49">
        <f>VLOOKUP($A49,'Data Vlaue (Cr)'!$C:$FB,43)</f>
        <v>0</v>
      </c>
      <c r="H49" s="49">
        <f>VLOOKUP($A49,'Data Vlaue (Cr)'!$C:$FB,44)</f>
        <v>0</v>
      </c>
      <c r="I49" s="49">
        <f>VLOOKUP($A49,'Data Vlaue (Cr)'!$C:$FB,46)*100</f>
        <v>8.81</v>
      </c>
      <c r="J49" s="51">
        <f>VLOOKUP($A49,'Data Vlaue (Cr)'!$C:$FB,59)</f>
        <v>0</v>
      </c>
      <c r="K49" s="51">
        <f>VLOOKUP($A49,'Data Vlaue (Cr)'!$C:$FB,60)</f>
        <v>0</v>
      </c>
      <c r="L49" s="51">
        <f>VLOOKUP($A49,'Data Vlaue (Cr)'!$C:$FB,62)*100</f>
        <v>-66.36999999999999</v>
      </c>
      <c r="M49" s="51">
        <f>VLOOKUP($A49,'Data Vlaue (Cr)'!$C:$FB,63)</f>
        <v>0</v>
      </c>
      <c r="N49" s="51">
        <f>VLOOKUP($A49,'Data Vlaue (Cr)'!$C:$FB,64)</f>
        <v>0</v>
      </c>
      <c r="O49" s="51">
        <f>VLOOKUP($A49,'Data Vlaue (Cr)'!$C:$FB,66)*100</f>
        <v>-4.92</v>
      </c>
    </row>
    <row r="50" spans="1:15" x14ac:dyDescent="0.25">
      <c r="A50" s="101" t="str">
        <f>'Data Vlaue (Cr)'!C45</f>
        <v>CAMS</v>
      </c>
      <c r="B50" s="50">
        <f>VLOOKUP($A50,'Data Vlaue (Cr)'!$C:$FB,8)</f>
        <v>3736.8</v>
      </c>
      <c r="C50" s="50">
        <f>VLOOKUP($A50,'Data Vlaue (Cr)'!$C:$FB,11)*100</f>
        <v>-3.94</v>
      </c>
      <c r="D50" s="50">
        <f>VLOOKUP($A50,'Data Vlaue (Cr)'!$C:$FB,143)</f>
        <v>3237</v>
      </c>
      <c r="E50" s="50">
        <f>VLOOKUP($A50,'Data Vlaue (Cr)'!$C:$FB,144)</f>
        <v>1458.68</v>
      </c>
      <c r="F50" s="50">
        <f>VLOOKUP($A50,'Data Vlaue (Cr)'!$C:$FB,146)*100</f>
        <v>121.91000000000001</v>
      </c>
      <c r="G50" s="49">
        <f>VLOOKUP($A50,'Data Vlaue (Cr)'!$C:$FB,43)</f>
        <v>1073</v>
      </c>
      <c r="H50" s="49">
        <f>VLOOKUP($A50,'Data Vlaue (Cr)'!$C:$FB,44)</f>
        <v>380</v>
      </c>
      <c r="I50" s="49">
        <f>VLOOKUP($A50,'Data Vlaue (Cr)'!$C:$FB,46)*100</f>
        <v>182.04</v>
      </c>
      <c r="J50" s="51">
        <f>VLOOKUP($A50,'Data Vlaue (Cr)'!$C:$FB,59)</f>
        <v>1132</v>
      </c>
      <c r="K50" s="51">
        <f>VLOOKUP($A50,'Data Vlaue (Cr)'!$C:$FB,60)</f>
        <v>643</v>
      </c>
      <c r="L50" s="51">
        <f>VLOOKUP($A50,'Data Vlaue (Cr)'!$C:$FB,62)*100</f>
        <v>76.11</v>
      </c>
      <c r="M50" s="51">
        <f>VLOOKUP($A50,'Data Vlaue (Cr)'!$C:$FB,63)</f>
        <v>920</v>
      </c>
      <c r="N50" s="51">
        <f>VLOOKUP($A50,'Data Vlaue (Cr)'!$C:$FB,64)</f>
        <v>333</v>
      </c>
      <c r="O50" s="51">
        <f>VLOOKUP($A50,'Data Vlaue (Cr)'!$C:$FB,66)*100</f>
        <v>175.97</v>
      </c>
    </row>
    <row r="51" spans="1:15" x14ac:dyDescent="0.25">
      <c r="A51" s="101" t="str">
        <f>'Data Vlaue (Cr)'!C46</f>
        <v>CANBK</v>
      </c>
      <c r="B51" s="50">
        <f>VLOOKUP($A51,'Data Vlaue (Cr)'!$C:$FB,8)</f>
        <v>107.25</v>
      </c>
      <c r="C51" s="50">
        <f>VLOOKUP($A51,'Data Vlaue (Cr)'!$C:$FB,11)*100</f>
        <v>-0.88</v>
      </c>
      <c r="D51" s="50">
        <f>VLOOKUP($A51,'Data Vlaue (Cr)'!$C:$FB,143)</f>
        <v>3779.16</v>
      </c>
      <c r="E51" s="50">
        <f>VLOOKUP($A51,'Data Vlaue (Cr)'!$C:$FB,144)</f>
        <v>3014.31</v>
      </c>
      <c r="F51" s="50">
        <f>VLOOKUP($A51,'Data Vlaue (Cr)'!$C:$FB,146)*100</f>
        <v>25.369999999999997</v>
      </c>
      <c r="G51" s="49">
        <f>VLOOKUP($A51,'Data Vlaue (Cr)'!$C:$FB,43)</f>
        <v>1622</v>
      </c>
      <c r="H51" s="49">
        <f>VLOOKUP($A51,'Data Vlaue (Cr)'!$C:$FB,44)</f>
        <v>1160</v>
      </c>
      <c r="I51" s="49">
        <f>VLOOKUP($A51,'Data Vlaue (Cr)'!$C:$FB,46)*100</f>
        <v>39.82</v>
      </c>
      <c r="J51" s="51">
        <f>VLOOKUP($A51,'Data Vlaue (Cr)'!$C:$FB,59)</f>
        <v>1237</v>
      </c>
      <c r="K51" s="51">
        <f>VLOOKUP($A51,'Data Vlaue (Cr)'!$C:$FB,60)</f>
        <v>1246</v>
      </c>
      <c r="L51" s="51">
        <f>VLOOKUP($A51,'Data Vlaue (Cr)'!$C:$FB,62)*100</f>
        <v>-0.77</v>
      </c>
      <c r="M51" s="51">
        <f>VLOOKUP($A51,'Data Vlaue (Cr)'!$C:$FB,63)</f>
        <v>843</v>
      </c>
      <c r="N51" s="51">
        <f>VLOOKUP($A51,'Data Vlaue (Cr)'!$C:$FB,64)</f>
        <v>510</v>
      </c>
      <c r="O51" s="51">
        <f>VLOOKUP($A51,'Data Vlaue (Cr)'!$C:$FB,66)*100</f>
        <v>65.169999999999987</v>
      </c>
    </row>
    <row r="52" spans="1:15" x14ac:dyDescent="0.25">
      <c r="A52" s="101" t="str">
        <f>'Data Vlaue (Cr)'!C47</f>
        <v>CDSL</v>
      </c>
      <c r="B52" s="50">
        <f>VLOOKUP($A52,'Data Vlaue (Cr)'!$C:$FB,8)</f>
        <v>1480.8</v>
      </c>
      <c r="C52" s="50">
        <f>VLOOKUP($A52,'Data Vlaue (Cr)'!$C:$FB,11)*100</f>
        <v>-2.12</v>
      </c>
      <c r="D52" s="50">
        <f>VLOOKUP($A52,'Data Vlaue (Cr)'!$C:$FB,143)</f>
        <v>3123.7</v>
      </c>
      <c r="E52" s="50">
        <f>VLOOKUP($A52,'Data Vlaue (Cr)'!$C:$FB,144)</f>
        <v>3775.42</v>
      </c>
      <c r="F52" s="50">
        <f>VLOOKUP($A52,'Data Vlaue (Cr)'!$C:$FB,146)*100</f>
        <v>-17.260000000000002</v>
      </c>
      <c r="G52" s="49">
        <f>VLOOKUP($A52,'Data Vlaue (Cr)'!$C:$FB,43)</f>
        <v>1127</v>
      </c>
      <c r="H52" s="49">
        <f>VLOOKUP($A52,'Data Vlaue (Cr)'!$C:$FB,44)</f>
        <v>1035</v>
      </c>
      <c r="I52" s="49">
        <f>VLOOKUP($A52,'Data Vlaue (Cr)'!$C:$FB,46)*100</f>
        <v>8.91</v>
      </c>
      <c r="J52" s="51">
        <f>VLOOKUP($A52,'Data Vlaue (Cr)'!$C:$FB,59)</f>
        <v>1086</v>
      </c>
      <c r="K52" s="51">
        <f>VLOOKUP($A52,'Data Vlaue (Cr)'!$C:$FB,60)</f>
        <v>1530</v>
      </c>
      <c r="L52" s="51">
        <f>VLOOKUP($A52,'Data Vlaue (Cr)'!$C:$FB,62)*100</f>
        <v>-29.04</v>
      </c>
      <c r="M52" s="51">
        <f>VLOOKUP($A52,'Data Vlaue (Cr)'!$C:$FB,63)</f>
        <v>744</v>
      </c>
      <c r="N52" s="51">
        <f>VLOOKUP($A52,'Data Vlaue (Cr)'!$C:$FB,64)</f>
        <v>961</v>
      </c>
      <c r="O52" s="51">
        <f>VLOOKUP($A52,'Data Vlaue (Cr)'!$C:$FB,66)*100</f>
        <v>-22.63</v>
      </c>
    </row>
    <row r="53" spans="1:15" x14ac:dyDescent="0.25">
      <c r="A53" s="101" t="str">
        <f>'Data Vlaue (Cr)'!C48</f>
        <v>CESC</v>
      </c>
      <c r="B53" s="50">
        <f>VLOOKUP($A53,'Data Vlaue (Cr)'!$C:$FB,8)</f>
        <v>169.51</v>
      </c>
      <c r="C53" s="50">
        <f>VLOOKUP($A53,'Data Vlaue (Cr)'!$C:$FB,11)*100</f>
        <v>-4.0199999999999996</v>
      </c>
      <c r="D53" s="50">
        <f>VLOOKUP($A53,'Data Vlaue (Cr)'!$C:$FB,143)</f>
        <v>740.97</v>
      </c>
      <c r="E53" s="50">
        <f>VLOOKUP($A53,'Data Vlaue (Cr)'!$C:$FB,144)</f>
        <v>945.18</v>
      </c>
      <c r="F53" s="50">
        <f>VLOOKUP($A53,'Data Vlaue (Cr)'!$C:$FB,146)*100</f>
        <v>-21.61</v>
      </c>
      <c r="G53" s="49">
        <f>VLOOKUP($A53,'Data Vlaue (Cr)'!$C:$FB,43)</f>
        <v>322</v>
      </c>
      <c r="H53" s="49">
        <f>VLOOKUP($A53,'Data Vlaue (Cr)'!$C:$FB,44)</f>
        <v>403</v>
      </c>
      <c r="I53" s="49">
        <f>VLOOKUP($A53,'Data Vlaue (Cr)'!$C:$FB,46)*100</f>
        <v>-20.09</v>
      </c>
      <c r="J53" s="51">
        <f>VLOOKUP($A53,'Data Vlaue (Cr)'!$C:$FB,59)</f>
        <v>253</v>
      </c>
      <c r="K53" s="51">
        <f>VLOOKUP($A53,'Data Vlaue (Cr)'!$C:$FB,60)</f>
        <v>338</v>
      </c>
      <c r="L53" s="51">
        <f>VLOOKUP($A53,'Data Vlaue (Cr)'!$C:$FB,62)*100</f>
        <v>-25.169999999999998</v>
      </c>
      <c r="M53" s="51">
        <f>VLOOKUP($A53,'Data Vlaue (Cr)'!$C:$FB,63)</f>
        <v>135</v>
      </c>
      <c r="N53" s="51">
        <f>VLOOKUP($A53,'Data Vlaue (Cr)'!$C:$FB,64)</f>
        <v>142</v>
      </c>
      <c r="O53" s="51">
        <f>VLOOKUP($A53,'Data Vlaue (Cr)'!$C:$FB,66)*100</f>
        <v>-5.0299999999999994</v>
      </c>
    </row>
    <row r="54" spans="1:15" x14ac:dyDescent="0.25">
      <c r="A54" s="101" t="str">
        <f>'Data Vlaue (Cr)'!C49</f>
        <v>CGPOWER</v>
      </c>
      <c r="B54" s="50">
        <f>VLOOKUP($A54,'Data Vlaue (Cr)'!$C:$FB,8)</f>
        <v>661.7</v>
      </c>
      <c r="C54" s="50">
        <f>VLOOKUP($A54,'Data Vlaue (Cr)'!$C:$FB,11)*100</f>
        <v>0.2</v>
      </c>
      <c r="D54" s="50">
        <f>VLOOKUP($A54,'Data Vlaue (Cr)'!$C:$FB,143)</f>
        <v>866.12</v>
      </c>
      <c r="E54" s="50">
        <f>VLOOKUP($A54,'Data Vlaue (Cr)'!$C:$FB,144)</f>
        <v>1131.75</v>
      </c>
      <c r="F54" s="50">
        <f>VLOOKUP($A54,'Data Vlaue (Cr)'!$C:$FB,146)*100</f>
        <v>-23.47</v>
      </c>
      <c r="G54" s="49">
        <f>VLOOKUP($A54,'Data Vlaue (Cr)'!$C:$FB,43)</f>
        <v>530</v>
      </c>
      <c r="H54" s="49">
        <f>VLOOKUP($A54,'Data Vlaue (Cr)'!$C:$FB,44)</f>
        <v>664</v>
      </c>
      <c r="I54" s="49">
        <f>VLOOKUP($A54,'Data Vlaue (Cr)'!$C:$FB,46)*100</f>
        <v>-20.23</v>
      </c>
      <c r="J54" s="51">
        <f>VLOOKUP($A54,'Data Vlaue (Cr)'!$C:$FB,59)</f>
        <v>234</v>
      </c>
      <c r="K54" s="51">
        <f>VLOOKUP($A54,'Data Vlaue (Cr)'!$C:$FB,60)</f>
        <v>319</v>
      </c>
      <c r="L54" s="51">
        <f>VLOOKUP($A54,'Data Vlaue (Cr)'!$C:$FB,62)*100</f>
        <v>-26.729999999999997</v>
      </c>
      <c r="M54" s="51">
        <f>VLOOKUP($A54,'Data Vlaue (Cr)'!$C:$FB,63)</f>
        <v>94</v>
      </c>
      <c r="N54" s="51">
        <f>VLOOKUP($A54,'Data Vlaue (Cr)'!$C:$FB,64)</f>
        <v>134</v>
      </c>
      <c r="O54" s="51">
        <f>VLOOKUP($A54,'Data Vlaue (Cr)'!$C:$FB,66)*100</f>
        <v>-29.830000000000002</v>
      </c>
    </row>
    <row r="55" spans="1:15" x14ac:dyDescent="0.25">
      <c r="A55" s="101" t="str">
        <f>'Data Vlaue (Cr)'!C50</f>
        <v>CHAMBLFERT</v>
      </c>
      <c r="B55" s="50">
        <f>VLOOKUP($A55,'Data Vlaue (Cr)'!$C:$FB,8)</f>
        <v>514.9</v>
      </c>
      <c r="C55" s="50">
        <f>VLOOKUP($A55,'Data Vlaue (Cr)'!$C:$FB,11)*100</f>
        <v>-4.33</v>
      </c>
      <c r="D55" s="50">
        <f>VLOOKUP($A55,'Data Vlaue (Cr)'!$C:$FB,143)</f>
        <v>624.97</v>
      </c>
      <c r="E55" s="50">
        <f>VLOOKUP($A55,'Data Vlaue (Cr)'!$C:$FB,144)</f>
        <v>931.94</v>
      </c>
      <c r="F55" s="50">
        <f>VLOOKUP($A55,'Data Vlaue (Cr)'!$C:$FB,146)*100</f>
        <v>-32.940000000000005</v>
      </c>
      <c r="G55" s="49">
        <f>VLOOKUP($A55,'Data Vlaue (Cr)'!$C:$FB,43)</f>
        <v>0</v>
      </c>
      <c r="H55" s="49">
        <f>VLOOKUP($A55,'Data Vlaue (Cr)'!$C:$FB,44)</f>
        <v>0</v>
      </c>
      <c r="I55" s="49">
        <f>VLOOKUP($A55,'Data Vlaue (Cr)'!$C:$FB,46)*100</f>
        <v>137.72</v>
      </c>
      <c r="J55" s="51">
        <f>VLOOKUP($A55,'Data Vlaue (Cr)'!$C:$FB,59)</f>
        <v>0</v>
      </c>
      <c r="K55" s="51">
        <f>VLOOKUP($A55,'Data Vlaue (Cr)'!$C:$FB,60)</f>
        <v>0</v>
      </c>
      <c r="L55" s="51">
        <f>VLOOKUP($A55,'Data Vlaue (Cr)'!$C:$FB,62)*100</f>
        <v>-75.27000000000001</v>
      </c>
      <c r="M55" s="51">
        <f>VLOOKUP($A55,'Data Vlaue (Cr)'!$C:$FB,63)</f>
        <v>0</v>
      </c>
      <c r="N55" s="51">
        <f>VLOOKUP($A55,'Data Vlaue (Cr)'!$C:$FB,64)</f>
        <v>0</v>
      </c>
      <c r="O55" s="51">
        <f>VLOOKUP($A55,'Data Vlaue (Cr)'!$C:$FB,66)*100</f>
        <v>3.16</v>
      </c>
    </row>
    <row r="56" spans="1:15" x14ac:dyDescent="0.25">
      <c r="A56" s="101" t="str">
        <f>'Data Vlaue (Cr)'!C51</f>
        <v>CHOLAFIN</v>
      </c>
      <c r="B56" s="50">
        <f>VLOOKUP($A56,'Data Vlaue (Cr)'!$C:$FB,8)</f>
        <v>1443.2</v>
      </c>
      <c r="C56" s="50">
        <f>VLOOKUP($A56,'Data Vlaue (Cr)'!$C:$FB,11)*100</f>
        <v>-2.36</v>
      </c>
      <c r="D56" s="50">
        <f>VLOOKUP($A56,'Data Vlaue (Cr)'!$C:$FB,143)</f>
        <v>4495.1099999999997</v>
      </c>
      <c r="E56" s="50">
        <f>VLOOKUP($A56,'Data Vlaue (Cr)'!$C:$FB,144)</f>
        <v>2140.41</v>
      </c>
      <c r="F56" s="50">
        <f>VLOOKUP($A56,'Data Vlaue (Cr)'!$C:$FB,146)*100</f>
        <v>110.01</v>
      </c>
      <c r="G56" s="49">
        <f>VLOOKUP($A56,'Data Vlaue (Cr)'!$C:$FB,43)</f>
        <v>1938</v>
      </c>
      <c r="H56" s="49">
        <f>VLOOKUP($A56,'Data Vlaue (Cr)'!$C:$FB,44)</f>
        <v>1059</v>
      </c>
      <c r="I56" s="49">
        <f>VLOOKUP($A56,'Data Vlaue (Cr)'!$C:$FB,46)*100</f>
        <v>83.13000000000001</v>
      </c>
      <c r="J56" s="51">
        <f>VLOOKUP($A56,'Data Vlaue (Cr)'!$C:$FB,59)</f>
        <v>1431</v>
      </c>
      <c r="K56" s="51">
        <f>VLOOKUP($A56,'Data Vlaue (Cr)'!$C:$FB,60)</f>
        <v>690</v>
      </c>
      <c r="L56" s="51">
        <f>VLOOKUP($A56,'Data Vlaue (Cr)'!$C:$FB,62)*100</f>
        <v>107.23</v>
      </c>
      <c r="M56" s="51">
        <f>VLOOKUP($A56,'Data Vlaue (Cr)'!$C:$FB,63)</f>
        <v>947</v>
      </c>
      <c r="N56" s="51">
        <f>VLOOKUP($A56,'Data Vlaue (Cr)'!$C:$FB,64)</f>
        <v>269</v>
      </c>
      <c r="O56" s="51">
        <f>VLOOKUP($A56,'Data Vlaue (Cr)'!$C:$FB,66)*100</f>
        <v>252.49</v>
      </c>
    </row>
    <row r="57" spans="1:15" x14ac:dyDescent="0.25">
      <c r="A57" s="101" t="str">
        <f>'Data Vlaue (Cr)'!C52</f>
        <v>CIPLA</v>
      </c>
      <c r="B57" s="50">
        <f>VLOOKUP($A57,'Data Vlaue (Cr)'!$C:$FB,8)</f>
        <v>1554.6</v>
      </c>
      <c r="C57" s="50">
        <f>VLOOKUP($A57,'Data Vlaue (Cr)'!$C:$FB,11)*100</f>
        <v>-0.31</v>
      </c>
      <c r="D57" s="50">
        <f>VLOOKUP($A57,'Data Vlaue (Cr)'!$C:$FB,143)</f>
        <v>1869.46</v>
      </c>
      <c r="E57" s="50">
        <f>VLOOKUP($A57,'Data Vlaue (Cr)'!$C:$FB,144)</f>
        <v>2865.3</v>
      </c>
      <c r="F57" s="50">
        <f>VLOOKUP($A57,'Data Vlaue (Cr)'!$C:$FB,146)*100</f>
        <v>-34.760000000000005</v>
      </c>
      <c r="G57" s="49">
        <f>VLOOKUP($A57,'Data Vlaue (Cr)'!$C:$FB,43)</f>
        <v>711</v>
      </c>
      <c r="H57" s="49">
        <f>VLOOKUP($A57,'Data Vlaue (Cr)'!$C:$FB,44)</f>
        <v>1201</v>
      </c>
      <c r="I57" s="49">
        <f>VLOOKUP($A57,'Data Vlaue (Cr)'!$C:$FB,46)*100</f>
        <v>-40.79</v>
      </c>
      <c r="J57" s="51">
        <f>VLOOKUP($A57,'Data Vlaue (Cr)'!$C:$FB,59)</f>
        <v>576</v>
      </c>
      <c r="K57" s="51">
        <f>VLOOKUP($A57,'Data Vlaue (Cr)'!$C:$FB,60)</f>
        <v>1029</v>
      </c>
      <c r="L57" s="51">
        <f>VLOOKUP($A57,'Data Vlaue (Cr)'!$C:$FB,62)*100</f>
        <v>-44.01</v>
      </c>
      <c r="M57" s="51">
        <f>VLOOKUP($A57,'Data Vlaue (Cr)'!$C:$FB,63)</f>
        <v>584</v>
      </c>
      <c r="N57" s="51">
        <f>VLOOKUP($A57,'Data Vlaue (Cr)'!$C:$FB,64)</f>
        <v>613</v>
      </c>
      <c r="O57" s="51">
        <f>VLOOKUP($A57,'Data Vlaue (Cr)'!$C:$FB,66)*100</f>
        <v>-4.71</v>
      </c>
    </row>
    <row r="58" spans="1:15" x14ac:dyDescent="0.25">
      <c r="A58" s="101" t="str">
        <f>'Data Vlaue (Cr)'!C53</f>
        <v>COALINDIA</v>
      </c>
      <c r="B58" s="50">
        <f>VLOOKUP($A58,'Data Vlaue (Cr)'!$C:$FB,8)</f>
        <v>376.35</v>
      </c>
      <c r="C58" s="50">
        <f>VLOOKUP($A58,'Data Vlaue (Cr)'!$C:$FB,11)*100</f>
        <v>-0.92999999999999994</v>
      </c>
      <c r="D58" s="50">
        <f>VLOOKUP($A58,'Data Vlaue (Cr)'!$C:$FB,143)</f>
        <v>3239.72</v>
      </c>
      <c r="E58" s="50">
        <f>VLOOKUP($A58,'Data Vlaue (Cr)'!$C:$FB,144)</f>
        <v>3278.65</v>
      </c>
      <c r="F58" s="50">
        <f>VLOOKUP($A58,'Data Vlaue (Cr)'!$C:$FB,146)*100</f>
        <v>-1.1900000000000002</v>
      </c>
      <c r="G58" s="49">
        <f>VLOOKUP($A58,'Data Vlaue (Cr)'!$C:$FB,43)</f>
        <v>1386</v>
      </c>
      <c r="H58" s="49">
        <f>VLOOKUP($A58,'Data Vlaue (Cr)'!$C:$FB,44)</f>
        <v>1703</v>
      </c>
      <c r="I58" s="49">
        <f>VLOOKUP($A58,'Data Vlaue (Cr)'!$C:$FB,46)*100</f>
        <v>-18.59</v>
      </c>
      <c r="J58" s="51">
        <f>VLOOKUP($A58,'Data Vlaue (Cr)'!$C:$FB,59)</f>
        <v>1042</v>
      </c>
      <c r="K58" s="51">
        <f>VLOOKUP($A58,'Data Vlaue (Cr)'!$C:$FB,60)</f>
        <v>835</v>
      </c>
      <c r="L58" s="51">
        <f>VLOOKUP($A58,'Data Vlaue (Cr)'!$C:$FB,62)*100</f>
        <v>24.75</v>
      </c>
      <c r="M58" s="51">
        <f>VLOOKUP($A58,'Data Vlaue (Cr)'!$C:$FB,63)</f>
        <v>724</v>
      </c>
      <c r="N58" s="51">
        <f>VLOOKUP($A58,'Data Vlaue (Cr)'!$C:$FB,64)</f>
        <v>622</v>
      </c>
      <c r="O58" s="51">
        <f>VLOOKUP($A58,'Data Vlaue (Cr)'!$C:$FB,66)*100</f>
        <v>16.329999999999998</v>
      </c>
    </row>
    <row r="59" spans="1:15" x14ac:dyDescent="0.25">
      <c r="A59" s="101" t="str">
        <f>'Data Vlaue (Cr)'!C54</f>
        <v>COFORGE</v>
      </c>
      <c r="B59" s="50">
        <f>VLOOKUP($A59,'Data Vlaue (Cr)'!$C:$FB,8)</f>
        <v>1748.2</v>
      </c>
      <c r="C59" s="50">
        <f>VLOOKUP($A59,'Data Vlaue (Cr)'!$C:$FB,11)*100</f>
        <v>-6.9999999999999993E-2</v>
      </c>
      <c r="D59" s="50">
        <f>VLOOKUP($A59,'Data Vlaue (Cr)'!$C:$FB,143)</f>
        <v>4003.75</v>
      </c>
      <c r="E59" s="50">
        <f>VLOOKUP($A59,'Data Vlaue (Cr)'!$C:$FB,144)</f>
        <v>5183.32</v>
      </c>
      <c r="F59" s="50">
        <f>VLOOKUP($A59,'Data Vlaue (Cr)'!$C:$FB,146)*100</f>
        <v>-22.759999999999998</v>
      </c>
      <c r="G59" s="49">
        <f>VLOOKUP($A59,'Data Vlaue (Cr)'!$C:$FB,43)</f>
        <v>1690</v>
      </c>
      <c r="H59" s="49">
        <f>VLOOKUP($A59,'Data Vlaue (Cr)'!$C:$FB,44)</f>
        <v>1845</v>
      </c>
      <c r="I59" s="49">
        <f>VLOOKUP($A59,'Data Vlaue (Cr)'!$C:$FB,46)*100</f>
        <v>-8.3800000000000008</v>
      </c>
      <c r="J59" s="51">
        <f>VLOOKUP($A59,'Data Vlaue (Cr)'!$C:$FB,59)</f>
        <v>1572</v>
      </c>
      <c r="K59" s="51">
        <f>VLOOKUP($A59,'Data Vlaue (Cr)'!$C:$FB,60)</f>
        <v>2541</v>
      </c>
      <c r="L59" s="51">
        <f>VLOOKUP($A59,'Data Vlaue (Cr)'!$C:$FB,62)*100</f>
        <v>-38.129999999999995</v>
      </c>
      <c r="M59" s="51">
        <f>VLOOKUP($A59,'Data Vlaue (Cr)'!$C:$FB,63)</f>
        <v>685</v>
      </c>
      <c r="N59" s="51">
        <f>VLOOKUP($A59,'Data Vlaue (Cr)'!$C:$FB,64)</f>
        <v>743</v>
      </c>
      <c r="O59" s="51">
        <f>VLOOKUP($A59,'Data Vlaue (Cr)'!$C:$FB,66)*100</f>
        <v>-7.8299999999999992</v>
      </c>
    </row>
    <row r="60" spans="1:15" x14ac:dyDescent="0.25">
      <c r="A60" s="101" t="str">
        <f>'Data Vlaue (Cr)'!C55</f>
        <v>COLPAL</v>
      </c>
      <c r="B60" s="50">
        <f>VLOOKUP($A60,'Data Vlaue (Cr)'!$C:$FB,8)</f>
        <v>2245.3000000000002</v>
      </c>
      <c r="C60" s="50">
        <f>VLOOKUP($A60,'Data Vlaue (Cr)'!$C:$FB,11)*100</f>
        <v>0.37</v>
      </c>
      <c r="D60" s="50">
        <f>VLOOKUP($A60,'Data Vlaue (Cr)'!$C:$FB,143)</f>
        <v>1502.17</v>
      </c>
      <c r="E60" s="50">
        <f>VLOOKUP($A60,'Data Vlaue (Cr)'!$C:$FB,144)</f>
        <v>1466.93</v>
      </c>
      <c r="F60" s="50">
        <f>VLOOKUP($A60,'Data Vlaue (Cr)'!$C:$FB,146)*100</f>
        <v>2.4</v>
      </c>
      <c r="G60" s="49">
        <f>VLOOKUP($A60,'Data Vlaue (Cr)'!$C:$FB,43)</f>
        <v>626</v>
      </c>
      <c r="H60" s="49">
        <f>VLOOKUP($A60,'Data Vlaue (Cr)'!$C:$FB,44)</f>
        <v>703</v>
      </c>
      <c r="I60" s="49">
        <f>VLOOKUP($A60,'Data Vlaue (Cr)'!$C:$FB,46)*100</f>
        <v>-10.89</v>
      </c>
      <c r="J60" s="51">
        <f>VLOOKUP($A60,'Data Vlaue (Cr)'!$C:$FB,59)</f>
        <v>565</v>
      </c>
      <c r="K60" s="51">
        <f>VLOOKUP($A60,'Data Vlaue (Cr)'!$C:$FB,60)</f>
        <v>556</v>
      </c>
      <c r="L60" s="51">
        <f>VLOOKUP($A60,'Data Vlaue (Cr)'!$C:$FB,62)*100</f>
        <v>1.66</v>
      </c>
      <c r="M60" s="51">
        <f>VLOOKUP($A60,'Data Vlaue (Cr)'!$C:$FB,63)</f>
        <v>288</v>
      </c>
      <c r="N60" s="51">
        <f>VLOOKUP($A60,'Data Vlaue (Cr)'!$C:$FB,64)</f>
        <v>195</v>
      </c>
      <c r="O60" s="51">
        <f>VLOOKUP($A60,'Data Vlaue (Cr)'!$C:$FB,66)*100</f>
        <v>47.839999999999996</v>
      </c>
    </row>
    <row r="61" spans="1:15" x14ac:dyDescent="0.25">
      <c r="A61" s="101" t="str">
        <f>'Data Vlaue (Cr)'!C56</f>
        <v>CONCOR</v>
      </c>
      <c r="B61" s="50">
        <f>VLOOKUP($A61,'Data Vlaue (Cr)'!$C:$FB,8)</f>
        <v>578.20000000000005</v>
      </c>
      <c r="C61" s="50">
        <f>VLOOKUP($A61,'Data Vlaue (Cr)'!$C:$FB,11)*100</f>
        <v>-1.1900000000000002</v>
      </c>
      <c r="D61" s="50">
        <f>VLOOKUP($A61,'Data Vlaue (Cr)'!$C:$FB,143)</f>
        <v>1032.92</v>
      </c>
      <c r="E61" s="50">
        <f>VLOOKUP($A61,'Data Vlaue (Cr)'!$C:$FB,144)</f>
        <v>1462.35</v>
      </c>
      <c r="F61" s="50">
        <f>VLOOKUP($A61,'Data Vlaue (Cr)'!$C:$FB,146)*100</f>
        <v>-29.37</v>
      </c>
      <c r="G61" s="49">
        <f>VLOOKUP($A61,'Data Vlaue (Cr)'!$C:$FB,43)</f>
        <v>635</v>
      </c>
      <c r="H61" s="49">
        <f>VLOOKUP($A61,'Data Vlaue (Cr)'!$C:$FB,44)</f>
        <v>900</v>
      </c>
      <c r="I61" s="49">
        <f>VLOOKUP($A61,'Data Vlaue (Cr)'!$C:$FB,46)*100</f>
        <v>-29.439999999999998</v>
      </c>
      <c r="J61" s="51">
        <f>VLOOKUP($A61,'Data Vlaue (Cr)'!$C:$FB,59)</f>
        <v>200</v>
      </c>
      <c r="K61" s="51">
        <f>VLOOKUP($A61,'Data Vlaue (Cr)'!$C:$FB,60)</f>
        <v>311</v>
      </c>
      <c r="L61" s="51">
        <f>VLOOKUP($A61,'Data Vlaue (Cr)'!$C:$FB,62)*100</f>
        <v>-35.770000000000003</v>
      </c>
      <c r="M61" s="51">
        <f>VLOOKUP($A61,'Data Vlaue (Cr)'!$C:$FB,63)</f>
        <v>174</v>
      </c>
      <c r="N61" s="51">
        <f>VLOOKUP($A61,'Data Vlaue (Cr)'!$C:$FB,64)</f>
        <v>192</v>
      </c>
      <c r="O61" s="51">
        <f>VLOOKUP($A61,'Data Vlaue (Cr)'!$C:$FB,66)*100</f>
        <v>-9.379999999999999</v>
      </c>
    </row>
    <row r="62" spans="1:15" x14ac:dyDescent="0.25">
      <c r="A62" s="101" t="str">
        <f>'Data Vlaue (Cr)'!C57</f>
        <v>CROMPTON</v>
      </c>
      <c r="B62" s="50">
        <f>VLOOKUP($A62,'Data Vlaue (Cr)'!$C:$FB,8)</f>
        <v>323</v>
      </c>
      <c r="C62" s="50">
        <f>VLOOKUP($A62,'Data Vlaue (Cr)'!$C:$FB,11)*100</f>
        <v>-0.35000000000000003</v>
      </c>
      <c r="D62" s="50">
        <f>VLOOKUP($A62,'Data Vlaue (Cr)'!$C:$FB,143)</f>
        <v>649.79999999999995</v>
      </c>
      <c r="E62" s="50">
        <f>VLOOKUP($A62,'Data Vlaue (Cr)'!$C:$FB,144)</f>
        <v>1184.18</v>
      </c>
      <c r="F62" s="50">
        <f>VLOOKUP($A62,'Data Vlaue (Cr)'!$C:$FB,146)*100</f>
        <v>-45.129999999999995</v>
      </c>
      <c r="G62" s="49">
        <f>VLOOKUP($A62,'Data Vlaue (Cr)'!$C:$FB,43)</f>
        <v>389</v>
      </c>
      <c r="H62" s="49">
        <f>VLOOKUP($A62,'Data Vlaue (Cr)'!$C:$FB,44)</f>
        <v>801</v>
      </c>
      <c r="I62" s="49">
        <f>VLOOKUP($A62,'Data Vlaue (Cr)'!$C:$FB,46)*100</f>
        <v>-51.39</v>
      </c>
      <c r="J62" s="51">
        <f>VLOOKUP($A62,'Data Vlaue (Cr)'!$C:$FB,59)</f>
        <v>124</v>
      </c>
      <c r="K62" s="51">
        <f>VLOOKUP($A62,'Data Vlaue (Cr)'!$C:$FB,60)</f>
        <v>208</v>
      </c>
      <c r="L62" s="51">
        <f>VLOOKUP($A62,'Data Vlaue (Cr)'!$C:$FB,62)*100</f>
        <v>-40.089999999999996</v>
      </c>
      <c r="M62" s="51">
        <f>VLOOKUP($A62,'Data Vlaue (Cr)'!$C:$FB,63)</f>
        <v>125</v>
      </c>
      <c r="N62" s="51">
        <f>VLOOKUP($A62,'Data Vlaue (Cr)'!$C:$FB,64)</f>
        <v>161</v>
      </c>
      <c r="O62" s="51">
        <f>VLOOKUP($A62,'Data Vlaue (Cr)'!$C:$FB,66)*100</f>
        <v>-22.42</v>
      </c>
    </row>
    <row r="63" spans="1:15" x14ac:dyDescent="0.25">
      <c r="A63" s="101" t="str">
        <f>'Data Vlaue (Cr)'!C58</f>
        <v>CUMMINSIND</v>
      </c>
      <c r="B63" s="50">
        <f>VLOOKUP($A63,'Data Vlaue (Cr)'!$C:$FB,8)</f>
        <v>3555.5</v>
      </c>
      <c r="C63" s="50">
        <f>VLOOKUP($A63,'Data Vlaue (Cr)'!$C:$FB,11)*100</f>
        <v>-0.74</v>
      </c>
      <c r="D63" s="50">
        <f>VLOOKUP($A63,'Data Vlaue (Cr)'!$C:$FB,143)</f>
        <v>1172.73</v>
      </c>
      <c r="E63" s="50">
        <f>VLOOKUP($A63,'Data Vlaue (Cr)'!$C:$FB,144)</f>
        <v>1273.81</v>
      </c>
      <c r="F63" s="50">
        <f>VLOOKUP($A63,'Data Vlaue (Cr)'!$C:$FB,146)*100</f>
        <v>-7.9399999999999995</v>
      </c>
      <c r="G63" s="49">
        <f>VLOOKUP($A63,'Data Vlaue (Cr)'!$C:$FB,43)</f>
        <v>688</v>
      </c>
      <c r="H63" s="49">
        <f>VLOOKUP($A63,'Data Vlaue (Cr)'!$C:$FB,44)</f>
        <v>725</v>
      </c>
      <c r="I63" s="49">
        <f>VLOOKUP($A63,'Data Vlaue (Cr)'!$C:$FB,46)*100</f>
        <v>-5.2200000000000006</v>
      </c>
      <c r="J63" s="51">
        <f>VLOOKUP($A63,'Data Vlaue (Cr)'!$C:$FB,59)</f>
        <v>279</v>
      </c>
      <c r="K63" s="51">
        <f>VLOOKUP($A63,'Data Vlaue (Cr)'!$C:$FB,60)</f>
        <v>363</v>
      </c>
      <c r="L63" s="51">
        <f>VLOOKUP($A63,'Data Vlaue (Cr)'!$C:$FB,62)*100</f>
        <v>-23.23</v>
      </c>
      <c r="M63" s="51">
        <f>VLOOKUP($A63,'Data Vlaue (Cr)'!$C:$FB,63)</f>
        <v>205</v>
      </c>
      <c r="N63" s="51">
        <f>VLOOKUP($A63,'Data Vlaue (Cr)'!$C:$FB,64)</f>
        <v>187</v>
      </c>
      <c r="O63" s="51">
        <f>VLOOKUP($A63,'Data Vlaue (Cr)'!$C:$FB,66)*100</f>
        <v>10.029999999999999</v>
      </c>
    </row>
    <row r="64" spans="1:15" x14ac:dyDescent="0.25">
      <c r="A64" s="101" t="str">
        <f>'Data Vlaue (Cr)'!C59</f>
        <v>CYIENT</v>
      </c>
      <c r="B64" s="50">
        <f>VLOOKUP($A64,'Data Vlaue (Cr)'!$C:$FB,8)</f>
        <v>1205.5999999999999</v>
      </c>
      <c r="C64" s="50">
        <f>VLOOKUP($A64,'Data Vlaue (Cr)'!$C:$FB,11)*100</f>
        <v>-1.53</v>
      </c>
      <c r="D64" s="50">
        <f>VLOOKUP($A64,'Data Vlaue (Cr)'!$C:$FB,143)</f>
        <v>524.30999999999995</v>
      </c>
      <c r="E64" s="50">
        <f>VLOOKUP($A64,'Data Vlaue (Cr)'!$C:$FB,144)</f>
        <v>433.87</v>
      </c>
      <c r="F64" s="50">
        <f>VLOOKUP($A64,'Data Vlaue (Cr)'!$C:$FB,146)*100</f>
        <v>20.84</v>
      </c>
      <c r="G64" s="49">
        <f>VLOOKUP($A64,'Data Vlaue (Cr)'!$C:$FB,43)</f>
        <v>238</v>
      </c>
      <c r="H64" s="49">
        <f>VLOOKUP($A64,'Data Vlaue (Cr)'!$C:$FB,44)</f>
        <v>219</v>
      </c>
      <c r="I64" s="49">
        <f>VLOOKUP($A64,'Data Vlaue (Cr)'!$C:$FB,46)*100</f>
        <v>8.52</v>
      </c>
      <c r="J64" s="51">
        <f>VLOOKUP($A64,'Data Vlaue (Cr)'!$C:$FB,59)</f>
        <v>150</v>
      </c>
      <c r="K64" s="51">
        <f>VLOOKUP($A64,'Data Vlaue (Cr)'!$C:$FB,60)</f>
        <v>156</v>
      </c>
      <c r="L64" s="51">
        <f>VLOOKUP($A64,'Data Vlaue (Cr)'!$C:$FB,62)*100</f>
        <v>-3.9600000000000004</v>
      </c>
      <c r="M64" s="51">
        <f>VLOOKUP($A64,'Data Vlaue (Cr)'!$C:$FB,63)</f>
        <v>123</v>
      </c>
      <c r="N64" s="51">
        <f>VLOOKUP($A64,'Data Vlaue (Cr)'!$C:$FB,64)</f>
        <v>45</v>
      </c>
      <c r="O64" s="51">
        <f>VLOOKUP($A64,'Data Vlaue (Cr)'!$C:$FB,66)*100</f>
        <v>172.44</v>
      </c>
    </row>
    <row r="65" spans="1:15" x14ac:dyDescent="0.25">
      <c r="A65" s="101" t="str">
        <f>'Data Vlaue (Cr)'!C60</f>
        <v>DABUR</v>
      </c>
      <c r="B65" s="50">
        <f>VLOOKUP($A65,'Data Vlaue (Cr)'!$C:$FB,8)</f>
        <v>529</v>
      </c>
      <c r="C65" s="50">
        <f>VLOOKUP($A65,'Data Vlaue (Cr)'!$C:$FB,11)*100</f>
        <v>1.34</v>
      </c>
      <c r="D65" s="50">
        <f>VLOOKUP($A65,'Data Vlaue (Cr)'!$C:$FB,143)</f>
        <v>2791.23</v>
      </c>
      <c r="E65" s="50">
        <f>VLOOKUP($A65,'Data Vlaue (Cr)'!$C:$FB,144)</f>
        <v>1269.1400000000001</v>
      </c>
      <c r="F65" s="50">
        <f>VLOOKUP($A65,'Data Vlaue (Cr)'!$C:$FB,146)*100</f>
        <v>119.93</v>
      </c>
      <c r="G65" s="49">
        <f>VLOOKUP($A65,'Data Vlaue (Cr)'!$C:$FB,43)</f>
        <v>603</v>
      </c>
      <c r="H65" s="49">
        <f>VLOOKUP($A65,'Data Vlaue (Cr)'!$C:$FB,44)</f>
        <v>607</v>
      </c>
      <c r="I65" s="49">
        <f>VLOOKUP($A65,'Data Vlaue (Cr)'!$C:$FB,46)*100</f>
        <v>-0.67</v>
      </c>
      <c r="J65" s="51">
        <f>VLOOKUP($A65,'Data Vlaue (Cr)'!$C:$FB,59)</f>
        <v>1484</v>
      </c>
      <c r="K65" s="51">
        <f>VLOOKUP($A65,'Data Vlaue (Cr)'!$C:$FB,60)</f>
        <v>394</v>
      </c>
      <c r="L65" s="51">
        <f>VLOOKUP($A65,'Data Vlaue (Cr)'!$C:$FB,62)*100</f>
        <v>276.94</v>
      </c>
      <c r="M65" s="51">
        <f>VLOOKUP($A65,'Data Vlaue (Cr)'!$C:$FB,63)</f>
        <v>679</v>
      </c>
      <c r="N65" s="51">
        <f>VLOOKUP($A65,'Data Vlaue (Cr)'!$C:$FB,64)</f>
        <v>286</v>
      </c>
      <c r="O65" s="51">
        <f>VLOOKUP($A65,'Data Vlaue (Cr)'!$C:$FB,66)*100</f>
        <v>137.85</v>
      </c>
    </row>
    <row r="66" spans="1:15" x14ac:dyDescent="0.25">
      <c r="A66" s="101" t="str">
        <f>'Data Vlaue (Cr)'!C61</f>
        <v>DALBHARAT</v>
      </c>
      <c r="B66" s="50">
        <f>VLOOKUP($A66,'Data Vlaue (Cr)'!$C:$FB,8)</f>
        <v>2235.5</v>
      </c>
      <c r="C66" s="50">
        <f>VLOOKUP($A66,'Data Vlaue (Cr)'!$C:$FB,11)*100</f>
        <v>-0.18</v>
      </c>
      <c r="D66" s="50">
        <f>VLOOKUP($A66,'Data Vlaue (Cr)'!$C:$FB,143)</f>
        <v>526.54999999999995</v>
      </c>
      <c r="E66" s="50">
        <f>VLOOKUP($A66,'Data Vlaue (Cr)'!$C:$FB,144)</f>
        <v>777.22</v>
      </c>
      <c r="F66" s="50">
        <f>VLOOKUP($A66,'Data Vlaue (Cr)'!$C:$FB,146)*100</f>
        <v>-32.25</v>
      </c>
      <c r="G66" s="49">
        <f>VLOOKUP($A66,'Data Vlaue (Cr)'!$C:$FB,43)</f>
        <v>254</v>
      </c>
      <c r="H66" s="49">
        <f>VLOOKUP($A66,'Data Vlaue (Cr)'!$C:$FB,44)</f>
        <v>444</v>
      </c>
      <c r="I66" s="49">
        <f>VLOOKUP($A66,'Data Vlaue (Cr)'!$C:$FB,46)*100</f>
        <v>-42.74</v>
      </c>
      <c r="J66" s="51">
        <f>VLOOKUP($A66,'Data Vlaue (Cr)'!$C:$FB,59)</f>
        <v>130</v>
      </c>
      <c r="K66" s="51">
        <f>VLOOKUP($A66,'Data Vlaue (Cr)'!$C:$FB,60)</f>
        <v>225</v>
      </c>
      <c r="L66" s="51">
        <f>VLOOKUP($A66,'Data Vlaue (Cr)'!$C:$FB,62)*100</f>
        <v>-42.11</v>
      </c>
      <c r="M66" s="51">
        <f>VLOOKUP($A66,'Data Vlaue (Cr)'!$C:$FB,63)</f>
        <v>141</v>
      </c>
      <c r="N66" s="51">
        <f>VLOOKUP($A66,'Data Vlaue (Cr)'!$C:$FB,64)</f>
        <v>108</v>
      </c>
      <c r="O66" s="51">
        <f>VLOOKUP($A66,'Data Vlaue (Cr)'!$C:$FB,66)*100</f>
        <v>29.87</v>
      </c>
    </row>
    <row r="67" spans="1:15" x14ac:dyDescent="0.25">
      <c r="A67" s="101" t="str">
        <f>'Data Vlaue (Cr)'!C62</f>
        <v>DELHIVERY</v>
      </c>
      <c r="B67" s="50">
        <f>VLOOKUP($A67,'Data Vlaue (Cr)'!$C:$FB,8)</f>
        <v>425.25</v>
      </c>
      <c r="C67" s="50">
        <f>VLOOKUP($A67,'Data Vlaue (Cr)'!$C:$FB,11)*100</f>
        <v>3.93</v>
      </c>
      <c r="D67" s="50">
        <f>VLOOKUP($A67,'Data Vlaue (Cr)'!$C:$FB,143)</f>
        <v>2324.61</v>
      </c>
      <c r="E67" s="50">
        <f>VLOOKUP($A67,'Data Vlaue (Cr)'!$C:$FB,144)</f>
        <v>1356.84</v>
      </c>
      <c r="F67" s="50">
        <f>VLOOKUP($A67,'Data Vlaue (Cr)'!$C:$FB,146)*100</f>
        <v>71.33</v>
      </c>
      <c r="G67" s="49">
        <f>VLOOKUP($A67,'Data Vlaue (Cr)'!$C:$FB,43)</f>
        <v>998</v>
      </c>
      <c r="H67" s="49">
        <f>VLOOKUP($A67,'Data Vlaue (Cr)'!$C:$FB,44)</f>
        <v>649</v>
      </c>
      <c r="I67" s="49">
        <f>VLOOKUP($A67,'Data Vlaue (Cr)'!$C:$FB,46)*100</f>
        <v>53.81</v>
      </c>
      <c r="J67" s="51">
        <f>VLOOKUP($A67,'Data Vlaue (Cr)'!$C:$FB,59)</f>
        <v>940</v>
      </c>
      <c r="K67" s="51">
        <f>VLOOKUP($A67,'Data Vlaue (Cr)'!$C:$FB,60)</f>
        <v>397</v>
      </c>
      <c r="L67" s="51">
        <f>VLOOKUP($A67,'Data Vlaue (Cr)'!$C:$FB,62)*100</f>
        <v>136.61000000000001</v>
      </c>
      <c r="M67" s="51">
        <f>VLOOKUP($A67,'Data Vlaue (Cr)'!$C:$FB,63)</f>
        <v>386</v>
      </c>
      <c r="N67" s="51">
        <f>VLOOKUP($A67,'Data Vlaue (Cr)'!$C:$FB,64)</f>
        <v>344</v>
      </c>
      <c r="O67" s="51">
        <f>VLOOKUP($A67,'Data Vlaue (Cr)'!$C:$FB,66)*100</f>
        <v>12.27</v>
      </c>
    </row>
    <row r="68" spans="1:15" x14ac:dyDescent="0.25">
      <c r="A68" s="101" t="str">
        <f>'Data Vlaue (Cr)'!C63</f>
        <v>DIVISLAB</v>
      </c>
      <c r="B68" s="50">
        <f>VLOOKUP($A68,'Data Vlaue (Cr)'!$C:$FB,8)</f>
        <v>6595.5</v>
      </c>
      <c r="C68" s="50">
        <f>VLOOKUP($A68,'Data Vlaue (Cr)'!$C:$FB,11)*100</f>
        <v>-0.82000000000000006</v>
      </c>
      <c r="D68" s="50">
        <f>VLOOKUP($A68,'Data Vlaue (Cr)'!$C:$FB,143)</f>
        <v>1275.75</v>
      </c>
      <c r="E68" s="50">
        <f>VLOOKUP($A68,'Data Vlaue (Cr)'!$C:$FB,144)</f>
        <v>2479.0100000000002</v>
      </c>
      <c r="F68" s="50">
        <f>VLOOKUP($A68,'Data Vlaue (Cr)'!$C:$FB,146)*100</f>
        <v>-48.54</v>
      </c>
      <c r="G68" s="49">
        <f>VLOOKUP($A68,'Data Vlaue (Cr)'!$C:$FB,43)</f>
        <v>502</v>
      </c>
      <c r="H68" s="49">
        <f>VLOOKUP($A68,'Data Vlaue (Cr)'!$C:$FB,44)</f>
        <v>1294</v>
      </c>
      <c r="I68" s="49">
        <f>VLOOKUP($A68,'Data Vlaue (Cr)'!$C:$FB,46)*100</f>
        <v>-61.22</v>
      </c>
      <c r="J68" s="51">
        <f>VLOOKUP($A68,'Data Vlaue (Cr)'!$C:$FB,59)</f>
        <v>487</v>
      </c>
      <c r="K68" s="51">
        <f>VLOOKUP($A68,'Data Vlaue (Cr)'!$C:$FB,60)</f>
        <v>819</v>
      </c>
      <c r="L68" s="51">
        <f>VLOOKUP($A68,'Data Vlaue (Cr)'!$C:$FB,62)*100</f>
        <v>-40.56</v>
      </c>
      <c r="M68" s="51">
        <f>VLOOKUP($A68,'Data Vlaue (Cr)'!$C:$FB,63)</f>
        <v>267</v>
      </c>
      <c r="N68" s="51">
        <f>VLOOKUP($A68,'Data Vlaue (Cr)'!$C:$FB,64)</f>
        <v>313</v>
      </c>
      <c r="O68" s="51">
        <f>VLOOKUP($A68,'Data Vlaue (Cr)'!$C:$FB,66)*100</f>
        <v>-14.45</v>
      </c>
    </row>
    <row r="69" spans="1:15" x14ac:dyDescent="0.25">
      <c r="A69" s="101" t="str">
        <f>'Data Vlaue (Cr)'!C64</f>
        <v>DIXON</v>
      </c>
      <c r="B69" s="50">
        <f>VLOOKUP($A69,'Data Vlaue (Cr)'!$C:$FB,8)</f>
        <v>16841</v>
      </c>
      <c r="C69" s="50">
        <f>VLOOKUP($A69,'Data Vlaue (Cr)'!$C:$FB,11)*100</f>
        <v>0.44999999999999996</v>
      </c>
      <c r="D69" s="50">
        <f>VLOOKUP($A69,'Data Vlaue (Cr)'!$C:$FB,143)</f>
        <v>12832.87</v>
      </c>
      <c r="E69" s="50">
        <f>VLOOKUP($A69,'Data Vlaue (Cr)'!$C:$FB,144)</f>
        <v>7427.69</v>
      </c>
      <c r="F69" s="50">
        <f>VLOOKUP($A69,'Data Vlaue (Cr)'!$C:$FB,146)*100</f>
        <v>72.77</v>
      </c>
      <c r="G69" s="49">
        <f>VLOOKUP($A69,'Data Vlaue (Cr)'!$C:$FB,43)</f>
        <v>2636</v>
      </c>
      <c r="H69" s="49">
        <f>VLOOKUP($A69,'Data Vlaue (Cr)'!$C:$FB,44)</f>
        <v>1504</v>
      </c>
      <c r="I69" s="49">
        <f>VLOOKUP($A69,'Data Vlaue (Cr)'!$C:$FB,46)*100</f>
        <v>75.260000000000005</v>
      </c>
      <c r="J69" s="51">
        <f>VLOOKUP($A69,'Data Vlaue (Cr)'!$C:$FB,59)</f>
        <v>5597</v>
      </c>
      <c r="K69" s="51">
        <f>VLOOKUP($A69,'Data Vlaue (Cr)'!$C:$FB,60)</f>
        <v>3291</v>
      </c>
      <c r="L69" s="51">
        <f>VLOOKUP($A69,'Data Vlaue (Cr)'!$C:$FB,62)*100</f>
        <v>70.06</v>
      </c>
      <c r="M69" s="51">
        <f>VLOOKUP($A69,'Data Vlaue (Cr)'!$C:$FB,63)</f>
        <v>4706</v>
      </c>
      <c r="N69" s="51">
        <f>VLOOKUP($A69,'Data Vlaue (Cr)'!$C:$FB,64)</f>
        <v>2688</v>
      </c>
      <c r="O69" s="51">
        <f>VLOOKUP($A69,'Data Vlaue (Cr)'!$C:$FB,66)*100</f>
        <v>75.099999999999994</v>
      </c>
    </row>
    <row r="70" spans="1:15" x14ac:dyDescent="0.25">
      <c r="A70" s="101" t="str">
        <f>'Data Vlaue (Cr)'!C65</f>
        <v>DLF</v>
      </c>
      <c r="B70" s="50">
        <f>VLOOKUP($A70,'Data Vlaue (Cr)'!$C:$FB,8)</f>
        <v>784.25</v>
      </c>
      <c r="C70" s="50">
        <f>VLOOKUP($A70,'Data Vlaue (Cr)'!$C:$FB,11)*100</f>
        <v>-0.57999999999999996</v>
      </c>
      <c r="D70" s="50">
        <f>VLOOKUP($A70,'Data Vlaue (Cr)'!$C:$FB,143)</f>
        <v>4047.14</v>
      </c>
      <c r="E70" s="50">
        <f>VLOOKUP($A70,'Data Vlaue (Cr)'!$C:$FB,144)</f>
        <v>4239.5</v>
      </c>
      <c r="F70" s="50">
        <f>VLOOKUP($A70,'Data Vlaue (Cr)'!$C:$FB,146)*100</f>
        <v>-4.54</v>
      </c>
      <c r="G70" s="49">
        <f>VLOOKUP($A70,'Data Vlaue (Cr)'!$C:$FB,43)</f>
        <v>1460</v>
      </c>
      <c r="H70" s="49">
        <f>VLOOKUP($A70,'Data Vlaue (Cr)'!$C:$FB,44)</f>
        <v>1503</v>
      </c>
      <c r="I70" s="49">
        <f>VLOOKUP($A70,'Data Vlaue (Cr)'!$C:$FB,46)*100</f>
        <v>-2.87</v>
      </c>
      <c r="J70" s="51">
        <f>VLOOKUP($A70,'Data Vlaue (Cr)'!$C:$FB,59)</f>
        <v>1428</v>
      </c>
      <c r="K70" s="51">
        <f>VLOOKUP($A70,'Data Vlaue (Cr)'!$C:$FB,60)</f>
        <v>1502</v>
      </c>
      <c r="L70" s="51">
        <f>VLOOKUP($A70,'Data Vlaue (Cr)'!$C:$FB,62)*100</f>
        <v>-4.9000000000000004</v>
      </c>
      <c r="M70" s="51">
        <f>VLOOKUP($A70,'Data Vlaue (Cr)'!$C:$FB,63)</f>
        <v>1064</v>
      </c>
      <c r="N70" s="51">
        <f>VLOOKUP($A70,'Data Vlaue (Cr)'!$C:$FB,64)</f>
        <v>1121</v>
      </c>
      <c r="O70" s="51">
        <f>VLOOKUP($A70,'Data Vlaue (Cr)'!$C:$FB,66)*100</f>
        <v>-5.0500000000000007</v>
      </c>
    </row>
    <row r="71" spans="1:15" x14ac:dyDescent="0.25">
      <c r="A71" s="101" t="str">
        <f>'Data Vlaue (Cr)'!C66</f>
        <v>DMART</v>
      </c>
      <c r="B71" s="50">
        <f>VLOOKUP($A71,'Data Vlaue (Cr)'!$C:$FB,8)</f>
        <v>4267.3999999999996</v>
      </c>
      <c r="C71" s="50">
        <f>VLOOKUP($A71,'Data Vlaue (Cr)'!$C:$FB,11)*100</f>
        <v>-0.33</v>
      </c>
      <c r="D71" s="50">
        <f>VLOOKUP($A71,'Data Vlaue (Cr)'!$C:$FB,143)</f>
        <v>9027.34</v>
      </c>
      <c r="E71" s="50">
        <f>VLOOKUP($A71,'Data Vlaue (Cr)'!$C:$FB,144)</f>
        <v>26940.19</v>
      </c>
      <c r="F71" s="50">
        <f>VLOOKUP($A71,'Data Vlaue (Cr)'!$C:$FB,146)*100</f>
        <v>-66.490000000000009</v>
      </c>
      <c r="G71" s="49">
        <f>VLOOKUP($A71,'Data Vlaue (Cr)'!$C:$FB,43)</f>
        <v>1323</v>
      </c>
      <c r="H71" s="49">
        <f>VLOOKUP($A71,'Data Vlaue (Cr)'!$C:$FB,44)</f>
        <v>2854</v>
      </c>
      <c r="I71" s="49">
        <f>VLOOKUP($A71,'Data Vlaue (Cr)'!$C:$FB,46)*100</f>
        <v>-53.63</v>
      </c>
      <c r="J71" s="51">
        <f>VLOOKUP($A71,'Data Vlaue (Cr)'!$C:$FB,59)</f>
        <v>5027</v>
      </c>
      <c r="K71" s="51">
        <f>VLOOKUP($A71,'Data Vlaue (Cr)'!$C:$FB,60)</f>
        <v>18172</v>
      </c>
      <c r="L71" s="51">
        <f>VLOOKUP($A71,'Data Vlaue (Cr)'!$C:$FB,62)*100</f>
        <v>-72.330000000000013</v>
      </c>
      <c r="M71" s="51">
        <f>VLOOKUP($A71,'Data Vlaue (Cr)'!$C:$FB,63)</f>
        <v>2453</v>
      </c>
      <c r="N71" s="51">
        <f>VLOOKUP($A71,'Data Vlaue (Cr)'!$C:$FB,64)</f>
        <v>5451</v>
      </c>
      <c r="O71" s="51">
        <f>VLOOKUP($A71,'Data Vlaue (Cr)'!$C:$FB,66)*100</f>
        <v>-55.000000000000007</v>
      </c>
    </row>
    <row r="72" spans="1:15" x14ac:dyDescent="0.25">
      <c r="A72" s="101" t="str">
        <f>'Data Vlaue (Cr)'!C67</f>
        <v>DRREDDY</v>
      </c>
      <c r="B72" s="50">
        <f>VLOOKUP($A72,'Data Vlaue (Cr)'!$C:$FB,8)</f>
        <v>1270.3</v>
      </c>
      <c r="C72" s="50">
        <f>VLOOKUP($A72,'Data Vlaue (Cr)'!$C:$FB,11)*100</f>
        <v>-1.69</v>
      </c>
      <c r="D72" s="50">
        <f>VLOOKUP($A72,'Data Vlaue (Cr)'!$C:$FB,143)</f>
        <v>3051.56</v>
      </c>
      <c r="E72" s="50">
        <f>VLOOKUP($A72,'Data Vlaue (Cr)'!$C:$FB,144)</f>
        <v>3361.74</v>
      </c>
      <c r="F72" s="50">
        <f>VLOOKUP($A72,'Data Vlaue (Cr)'!$C:$FB,146)*100</f>
        <v>-9.2299999999999986</v>
      </c>
      <c r="G72" s="49">
        <f>VLOOKUP($A72,'Data Vlaue (Cr)'!$C:$FB,43)</f>
        <v>976</v>
      </c>
      <c r="H72" s="49">
        <f>VLOOKUP($A72,'Data Vlaue (Cr)'!$C:$FB,44)</f>
        <v>953</v>
      </c>
      <c r="I72" s="49">
        <f>VLOOKUP($A72,'Data Vlaue (Cr)'!$C:$FB,46)*100</f>
        <v>2.4699999999999998</v>
      </c>
      <c r="J72" s="51">
        <f>VLOOKUP($A72,'Data Vlaue (Cr)'!$C:$FB,59)</f>
        <v>1056</v>
      </c>
      <c r="K72" s="51">
        <f>VLOOKUP($A72,'Data Vlaue (Cr)'!$C:$FB,60)</f>
        <v>1554</v>
      </c>
      <c r="L72" s="51">
        <f>VLOOKUP($A72,'Data Vlaue (Cr)'!$C:$FB,62)*100</f>
        <v>-32.04</v>
      </c>
      <c r="M72" s="51">
        <f>VLOOKUP($A72,'Data Vlaue (Cr)'!$C:$FB,63)</f>
        <v>991</v>
      </c>
      <c r="N72" s="51">
        <f>VLOOKUP($A72,'Data Vlaue (Cr)'!$C:$FB,64)</f>
        <v>793</v>
      </c>
      <c r="O72" s="51">
        <f>VLOOKUP($A72,'Data Vlaue (Cr)'!$C:$FB,66)*100</f>
        <v>24.94</v>
      </c>
    </row>
    <row r="73" spans="1:15" x14ac:dyDescent="0.25">
      <c r="A73" s="101" t="str">
        <f>'Data Vlaue (Cr)'!C68</f>
        <v>EICHERMOT</v>
      </c>
      <c r="B73" s="50">
        <f>VLOOKUP($A73,'Data Vlaue (Cr)'!$C:$FB,8)</f>
        <v>5468.5</v>
      </c>
      <c r="C73" s="50">
        <f>VLOOKUP($A73,'Data Vlaue (Cr)'!$C:$FB,11)*100</f>
        <v>-0.22999999999999998</v>
      </c>
      <c r="D73" s="50">
        <f>VLOOKUP($A73,'Data Vlaue (Cr)'!$C:$FB,143)</f>
        <v>2566.48</v>
      </c>
      <c r="E73" s="50">
        <f>VLOOKUP($A73,'Data Vlaue (Cr)'!$C:$FB,144)</f>
        <v>3681.86</v>
      </c>
      <c r="F73" s="50">
        <f>VLOOKUP($A73,'Data Vlaue (Cr)'!$C:$FB,146)*100</f>
        <v>-30.29</v>
      </c>
      <c r="G73" s="49">
        <f>VLOOKUP($A73,'Data Vlaue (Cr)'!$C:$FB,43)</f>
        <v>703</v>
      </c>
      <c r="H73" s="49">
        <f>VLOOKUP($A73,'Data Vlaue (Cr)'!$C:$FB,44)</f>
        <v>995</v>
      </c>
      <c r="I73" s="49">
        <f>VLOOKUP($A73,'Data Vlaue (Cr)'!$C:$FB,46)*100</f>
        <v>-29.349999999999998</v>
      </c>
      <c r="J73" s="51">
        <f>VLOOKUP($A73,'Data Vlaue (Cr)'!$C:$FB,59)</f>
        <v>1090</v>
      </c>
      <c r="K73" s="51">
        <f>VLOOKUP($A73,'Data Vlaue (Cr)'!$C:$FB,60)</f>
        <v>1935</v>
      </c>
      <c r="L73" s="51">
        <f>VLOOKUP($A73,'Data Vlaue (Cr)'!$C:$FB,62)*100</f>
        <v>-43.66</v>
      </c>
      <c r="M73" s="51">
        <f>VLOOKUP($A73,'Data Vlaue (Cr)'!$C:$FB,63)</f>
        <v>719</v>
      </c>
      <c r="N73" s="51">
        <f>VLOOKUP($A73,'Data Vlaue (Cr)'!$C:$FB,64)</f>
        <v>645</v>
      </c>
      <c r="O73" s="51">
        <f>VLOOKUP($A73,'Data Vlaue (Cr)'!$C:$FB,66)*100</f>
        <v>11.53</v>
      </c>
    </row>
    <row r="74" spans="1:15" x14ac:dyDescent="0.25">
      <c r="A74" s="101" t="str">
        <f>'Data Vlaue (Cr)'!C69</f>
        <v>ETERNAL</v>
      </c>
      <c r="B74" s="50">
        <f>VLOOKUP($A74,'Data Vlaue (Cr)'!$C:$FB,8)</f>
        <v>307.8</v>
      </c>
      <c r="C74" s="50">
        <f>VLOOKUP($A74,'Data Vlaue (Cr)'!$C:$FB,11)*100</f>
        <v>1.43</v>
      </c>
      <c r="D74" s="50">
        <f>VLOOKUP($A74,'Data Vlaue (Cr)'!$C:$FB,143)</f>
        <v>7443.35</v>
      </c>
      <c r="E74" s="50">
        <f>VLOOKUP($A74,'Data Vlaue (Cr)'!$C:$FB,144)</f>
        <v>6502.58</v>
      </c>
      <c r="F74" s="50">
        <f>VLOOKUP($A74,'Data Vlaue (Cr)'!$C:$FB,146)*100</f>
        <v>14.469999999999999</v>
      </c>
      <c r="G74" s="49">
        <f>VLOOKUP($A74,'Data Vlaue (Cr)'!$C:$FB,43)</f>
        <v>2354</v>
      </c>
      <c r="H74" s="49">
        <f>VLOOKUP($A74,'Data Vlaue (Cr)'!$C:$FB,44)</f>
        <v>2318</v>
      </c>
      <c r="I74" s="49">
        <f>VLOOKUP($A74,'Data Vlaue (Cr)'!$C:$FB,46)*100</f>
        <v>1.58</v>
      </c>
      <c r="J74" s="51">
        <f>VLOOKUP($A74,'Data Vlaue (Cr)'!$C:$FB,59)</f>
        <v>3317</v>
      </c>
      <c r="K74" s="51">
        <f>VLOOKUP($A74,'Data Vlaue (Cr)'!$C:$FB,60)</f>
        <v>2468</v>
      </c>
      <c r="L74" s="51">
        <f>VLOOKUP($A74,'Data Vlaue (Cr)'!$C:$FB,62)*100</f>
        <v>34.369999999999997</v>
      </c>
      <c r="M74" s="51">
        <f>VLOOKUP($A74,'Data Vlaue (Cr)'!$C:$FB,63)</f>
        <v>1725</v>
      </c>
      <c r="N74" s="51">
        <f>VLOOKUP($A74,'Data Vlaue (Cr)'!$C:$FB,64)</f>
        <v>1759</v>
      </c>
      <c r="O74" s="51">
        <f>VLOOKUP($A74,'Data Vlaue (Cr)'!$C:$FB,66)*100</f>
        <v>-1.95</v>
      </c>
    </row>
    <row r="75" spans="1:15" x14ac:dyDescent="0.25">
      <c r="A75" s="101" t="str">
        <f>'Data Vlaue (Cr)'!C70</f>
        <v>EXIDEIND</v>
      </c>
      <c r="B75" s="50">
        <f>VLOOKUP($A75,'Data Vlaue (Cr)'!$C:$FB,8)</f>
        <v>384.3</v>
      </c>
      <c r="C75" s="50">
        <f>VLOOKUP($A75,'Data Vlaue (Cr)'!$C:$FB,11)*100</f>
        <v>-1.73</v>
      </c>
      <c r="D75" s="50">
        <f>VLOOKUP($A75,'Data Vlaue (Cr)'!$C:$FB,143)</f>
        <v>1044.6099999999999</v>
      </c>
      <c r="E75" s="50">
        <f>VLOOKUP($A75,'Data Vlaue (Cr)'!$C:$FB,144)</f>
        <v>1104.93</v>
      </c>
      <c r="F75" s="50">
        <f>VLOOKUP($A75,'Data Vlaue (Cr)'!$C:$FB,146)*100</f>
        <v>-5.46</v>
      </c>
      <c r="G75" s="49">
        <f>VLOOKUP($A75,'Data Vlaue (Cr)'!$C:$FB,43)</f>
        <v>599</v>
      </c>
      <c r="H75" s="49">
        <f>VLOOKUP($A75,'Data Vlaue (Cr)'!$C:$FB,44)</f>
        <v>463</v>
      </c>
      <c r="I75" s="49">
        <f>VLOOKUP($A75,'Data Vlaue (Cr)'!$C:$FB,46)*100</f>
        <v>29.26</v>
      </c>
      <c r="J75" s="51">
        <f>VLOOKUP($A75,'Data Vlaue (Cr)'!$C:$FB,59)</f>
        <v>264</v>
      </c>
      <c r="K75" s="51">
        <f>VLOOKUP($A75,'Data Vlaue (Cr)'!$C:$FB,60)</f>
        <v>365</v>
      </c>
      <c r="L75" s="51">
        <f>VLOOKUP($A75,'Data Vlaue (Cr)'!$C:$FB,62)*100</f>
        <v>-27.54</v>
      </c>
      <c r="M75" s="51">
        <f>VLOOKUP($A75,'Data Vlaue (Cr)'!$C:$FB,63)</f>
        <v>162</v>
      </c>
      <c r="N75" s="51">
        <f>VLOOKUP($A75,'Data Vlaue (Cr)'!$C:$FB,64)</f>
        <v>247</v>
      </c>
      <c r="O75" s="51">
        <f>VLOOKUP($A75,'Data Vlaue (Cr)'!$C:$FB,66)*100</f>
        <v>-34.29</v>
      </c>
    </row>
    <row r="76" spans="1:15" x14ac:dyDescent="0.25">
      <c r="A76" s="101" t="str">
        <f>'Data Vlaue (Cr)'!C71</f>
        <v>FEDERALBNK</v>
      </c>
      <c r="B76" s="50">
        <f>VLOOKUP($A76,'Data Vlaue (Cr)'!$C:$FB,8)</f>
        <v>202.43</v>
      </c>
      <c r="C76" s="50">
        <f>VLOOKUP($A76,'Data Vlaue (Cr)'!$C:$FB,11)*100</f>
        <v>-1.0999999999999999</v>
      </c>
      <c r="D76" s="50">
        <f>VLOOKUP($A76,'Data Vlaue (Cr)'!$C:$FB,143)</f>
        <v>2595.4</v>
      </c>
      <c r="E76" s="50">
        <f>VLOOKUP($A76,'Data Vlaue (Cr)'!$C:$FB,144)</f>
        <v>2269.8200000000002</v>
      </c>
      <c r="F76" s="50">
        <f>VLOOKUP($A76,'Data Vlaue (Cr)'!$C:$FB,146)*100</f>
        <v>14.34</v>
      </c>
      <c r="G76" s="49">
        <f>VLOOKUP($A76,'Data Vlaue (Cr)'!$C:$FB,43)</f>
        <v>1206</v>
      </c>
      <c r="H76" s="49">
        <f>VLOOKUP($A76,'Data Vlaue (Cr)'!$C:$FB,44)</f>
        <v>1174</v>
      </c>
      <c r="I76" s="49">
        <f>VLOOKUP($A76,'Data Vlaue (Cr)'!$C:$FB,46)*100</f>
        <v>2.78</v>
      </c>
      <c r="J76" s="51">
        <f>VLOOKUP($A76,'Data Vlaue (Cr)'!$C:$FB,59)</f>
        <v>729</v>
      </c>
      <c r="K76" s="51">
        <f>VLOOKUP($A76,'Data Vlaue (Cr)'!$C:$FB,60)</f>
        <v>594</v>
      </c>
      <c r="L76" s="51">
        <f>VLOOKUP($A76,'Data Vlaue (Cr)'!$C:$FB,62)*100</f>
        <v>22.75</v>
      </c>
      <c r="M76" s="51">
        <f>VLOOKUP($A76,'Data Vlaue (Cr)'!$C:$FB,63)</f>
        <v>602</v>
      </c>
      <c r="N76" s="51">
        <f>VLOOKUP($A76,'Data Vlaue (Cr)'!$C:$FB,64)</f>
        <v>446</v>
      </c>
      <c r="O76" s="51">
        <f>VLOOKUP($A76,'Data Vlaue (Cr)'!$C:$FB,66)*100</f>
        <v>35.020000000000003</v>
      </c>
    </row>
    <row r="77" spans="1:15" x14ac:dyDescent="0.25">
      <c r="A77" s="101" t="str">
        <f>'Data Vlaue (Cr)'!C72</f>
        <v>FINNIFTY</v>
      </c>
      <c r="B77" s="50">
        <f>VLOOKUP($A77,'Data Vlaue (Cr)'!$C:$FB,8)</f>
        <v>26649.95</v>
      </c>
      <c r="C77" s="50">
        <f>VLOOKUP($A77,'Data Vlaue (Cr)'!$C:$FB,11)*100</f>
        <v>-0.2</v>
      </c>
      <c r="D77" s="50">
        <f>VLOOKUP($A77,'Data Vlaue (Cr)'!$C:$FB,143)</f>
        <v>1061316.3899999999</v>
      </c>
      <c r="E77" s="50">
        <f>VLOOKUP($A77,'Data Vlaue (Cr)'!$C:$FB,144)</f>
        <v>164645.12</v>
      </c>
      <c r="F77" s="50">
        <f>VLOOKUP($A77,'Data Vlaue (Cr)'!$C:$FB,146)*100</f>
        <v>544.61</v>
      </c>
      <c r="G77" s="49">
        <f>VLOOKUP($A77,'Data Vlaue (Cr)'!$C:$FB,43)</f>
        <v>301</v>
      </c>
      <c r="H77" s="49">
        <f>VLOOKUP($A77,'Data Vlaue (Cr)'!$C:$FB,44)</f>
        <v>225</v>
      </c>
      <c r="I77" s="49">
        <f>VLOOKUP($A77,'Data Vlaue (Cr)'!$C:$FB,46)*100</f>
        <v>34</v>
      </c>
      <c r="J77" s="51">
        <f>VLOOKUP($A77,'Data Vlaue (Cr)'!$C:$FB,59)</f>
        <v>572265</v>
      </c>
      <c r="K77" s="51">
        <f>VLOOKUP($A77,'Data Vlaue (Cr)'!$C:$FB,60)</f>
        <v>91117</v>
      </c>
      <c r="L77" s="51">
        <f>VLOOKUP($A77,'Data Vlaue (Cr)'!$C:$FB,62)*100</f>
        <v>528.05999999999995</v>
      </c>
      <c r="M77" s="51">
        <f>VLOOKUP($A77,'Data Vlaue (Cr)'!$C:$FB,63)</f>
        <v>488970</v>
      </c>
      <c r="N77" s="51">
        <f>VLOOKUP($A77,'Data Vlaue (Cr)'!$C:$FB,64)</f>
        <v>72897</v>
      </c>
      <c r="O77" s="51">
        <f>VLOOKUP($A77,'Data Vlaue (Cr)'!$C:$FB,66)*100</f>
        <v>570.77</v>
      </c>
    </row>
    <row r="78" spans="1:15" x14ac:dyDescent="0.25">
      <c r="A78" s="101" t="str">
        <f>'Data Vlaue (Cr)'!C73</f>
        <v>FORTIS</v>
      </c>
      <c r="B78" s="50">
        <f>VLOOKUP($A78,'Data Vlaue (Cr)'!$C:$FB,8)</f>
        <v>857.45</v>
      </c>
      <c r="C78" s="50">
        <f>VLOOKUP($A78,'Data Vlaue (Cr)'!$C:$FB,11)*100</f>
        <v>1.7500000000000002</v>
      </c>
      <c r="D78" s="50">
        <f>VLOOKUP($A78,'Data Vlaue (Cr)'!$C:$FB,143)</f>
        <v>918.64</v>
      </c>
      <c r="E78" s="50">
        <f>VLOOKUP($A78,'Data Vlaue (Cr)'!$C:$FB,144)</f>
        <v>853.32</v>
      </c>
      <c r="F78" s="50">
        <f>VLOOKUP($A78,'Data Vlaue (Cr)'!$C:$FB,146)*100</f>
        <v>7.66</v>
      </c>
      <c r="G78" s="49">
        <f>VLOOKUP($A78,'Data Vlaue (Cr)'!$C:$FB,43)</f>
        <v>514</v>
      </c>
      <c r="H78" s="49">
        <f>VLOOKUP($A78,'Data Vlaue (Cr)'!$C:$FB,44)</f>
        <v>543</v>
      </c>
      <c r="I78" s="49">
        <f>VLOOKUP($A78,'Data Vlaue (Cr)'!$C:$FB,46)*100</f>
        <v>-5.29</v>
      </c>
      <c r="J78" s="51">
        <f>VLOOKUP($A78,'Data Vlaue (Cr)'!$C:$FB,59)</f>
        <v>283</v>
      </c>
      <c r="K78" s="51">
        <f>VLOOKUP($A78,'Data Vlaue (Cr)'!$C:$FB,60)</f>
        <v>202</v>
      </c>
      <c r="L78" s="51">
        <f>VLOOKUP($A78,'Data Vlaue (Cr)'!$C:$FB,62)*100</f>
        <v>40.300000000000004</v>
      </c>
      <c r="M78" s="51">
        <f>VLOOKUP($A78,'Data Vlaue (Cr)'!$C:$FB,63)</f>
        <v>125</v>
      </c>
      <c r="N78" s="51">
        <f>VLOOKUP($A78,'Data Vlaue (Cr)'!$C:$FB,64)</f>
        <v>121</v>
      </c>
      <c r="O78" s="51">
        <f>VLOOKUP($A78,'Data Vlaue (Cr)'!$C:$FB,66)*100</f>
        <v>3.38</v>
      </c>
    </row>
    <row r="79" spans="1:15" x14ac:dyDescent="0.25">
      <c r="A79" s="101" t="str">
        <f>'Data Vlaue (Cr)'!C74</f>
        <v>GAIL</v>
      </c>
      <c r="B79" s="50">
        <f>VLOOKUP($A79,'Data Vlaue (Cr)'!$C:$FB,8)</f>
        <v>177.68</v>
      </c>
      <c r="C79" s="50">
        <f>VLOOKUP($A79,'Data Vlaue (Cr)'!$C:$FB,11)*100</f>
        <v>-1.6</v>
      </c>
      <c r="D79" s="50">
        <f>VLOOKUP($A79,'Data Vlaue (Cr)'!$C:$FB,143)</f>
        <v>1740.23</v>
      </c>
      <c r="E79" s="50">
        <f>VLOOKUP($A79,'Data Vlaue (Cr)'!$C:$FB,144)</f>
        <v>2177.6999999999998</v>
      </c>
      <c r="F79" s="50">
        <f>VLOOKUP($A79,'Data Vlaue (Cr)'!$C:$FB,146)*100</f>
        <v>-20.09</v>
      </c>
      <c r="G79" s="49">
        <f>VLOOKUP($A79,'Data Vlaue (Cr)'!$C:$FB,43)</f>
        <v>836</v>
      </c>
      <c r="H79" s="49">
        <f>VLOOKUP($A79,'Data Vlaue (Cr)'!$C:$FB,44)</f>
        <v>1025</v>
      </c>
      <c r="I79" s="49">
        <f>VLOOKUP($A79,'Data Vlaue (Cr)'!$C:$FB,46)*100</f>
        <v>-18.47</v>
      </c>
      <c r="J79" s="51">
        <f>VLOOKUP($A79,'Data Vlaue (Cr)'!$C:$FB,59)</f>
        <v>443</v>
      </c>
      <c r="K79" s="51">
        <f>VLOOKUP($A79,'Data Vlaue (Cr)'!$C:$FB,60)</f>
        <v>627</v>
      </c>
      <c r="L79" s="51">
        <f>VLOOKUP($A79,'Data Vlaue (Cr)'!$C:$FB,62)*100</f>
        <v>-29.38</v>
      </c>
      <c r="M79" s="51">
        <f>VLOOKUP($A79,'Data Vlaue (Cr)'!$C:$FB,63)</f>
        <v>405</v>
      </c>
      <c r="N79" s="51">
        <f>VLOOKUP($A79,'Data Vlaue (Cr)'!$C:$FB,64)</f>
        <v>445</v>
      </c>
      <c r="O79" s="51">
        <f>VLOOKUP($A79,'Data Vlaue (Cr)'!$C:$FB,66)*100</f>
        <v>-9.16</v>
      </c>
    </row>
    <row r="80" spans="1:15" x14ac:dyDescent="0.25">
      <c r="A80" s="101" t="str">
        <f>'Data Vlaue (Cr)'!C75</f>
        <v>GLENMARK</v>
      </c>
      <c r="B80" s="50">
        <f>VLOOKUP($A80,'Data Vlaue (Cr)'!$C:$FB,8)</f>
        <v>2134.1</v>
      </c>
      <c r="C80" s="50">
        <f>VLOOKUP($A80,'Data Vlaue (Cr)'!$C:$FB,11)*100</f>
        <v>-0.91</v>
      </c>
      <c r="D80" s="50">
        <f>VLOOKUP($A80,'Data Vlaue (Cr)'!$C:$FB,143)</f>
        <v>2635.43</v>
      </c>
      <c r="E80" s="50">
        <f>VLOOKUP($A80,'Data Vlaue (Cr)'!$C:$FB,144)</f>
        <v>2036.99</v>
      </c>
      <c r="F80" s="50">
        <f>VLOOKUP($A80,'Data Vlaue (Cr)'!$C:$FB,146)*100</f>
        <v>29.38</v>
      </c>
      <c r="G80" s="49">
        <f>VLOOKUP($A80,'Data Vlaue (Cr)'!$C:$FB,43)</f>
        <v>1021</v>
      </c>
      <c r="H80" s="49">
        <f>VLOOKUP($A80,'Data Vlaue (Cr)'!$C:$FB,44)</f>
        <v>905</v>
      </c>
      <c r="I80" s="49">
        <f>VLOOKUP($A80,'Data Vlaue (Cr)'!$C:$FB,46)*100</f>
        <v>12.8</v>
      </c>
      <c r="J80" s="51">
        <f>VLOOKUP($A80,'Data Vlaue (Cr)'!$C:$FB,59)</f>
        <v>939</v>
      </c>
      <c r="K80" s="51">
        <f>VLOOKUP($A80,'Data Vlaue (Cr)'!$C:$FB,60)</f>
        <v>620</v>
      </c>
      <c r="L80" s="51">
        <f>VLOOKUP($A80,'Data Vlaue (Cr)'!$C:$FB,62)*100</f>
        <v>51.51</v>
      </c>
      <c r="M80" s="51">
        <f>VLOOKUP($A80,'Data Vlaue (Cr)'!$C:$FB,63)</f>
        <v>668</v>
      </c>
      <c r="N80" s="51">
        <f>VLOOKUP($A80,'Data Vlaue (Cr)'!$C:$FB,64)</f>
        <v>485</v>
      </c>
      <c r="O80" s="51">
        <f>VLOOKUP($A80,'Data Vlaue (Cr)'!$C:$FB,66)*100</f>
        <v>37.659999999999997</v>
      </c>
    </row>
    <row r="81" spans="1:15" x14ac:dyDescent="0.25">
      <c r="A81" s="101" t="str">
        <f>'Data Vlaue (Cr)'!C76</f>
        <v>GMRAIRPORT</v>
      </c>
      <c r="B81" s="50">
        <f>VLOOKUP($A81,'Data Vlaue (Cr)'!$C:$FB,8)</f>
        <v>90.06</v>
      </c>
      <c r="C81" s="50">
        <f>VLOOKUP($A81,'Data Vlaue (Cr)'!$C:$FB,11)*100</f>
        <v>0.24</v>
      </c>
      <c r="D81" s="50">
        <f>VLOOKUP($A81,'Data Vlaue (Cr)'!$C:$FB,143)</f>
        <v>1900.31</v>
      </c>
      <c r="E81" s="50">
        <f>VLOOKUP($A81,'Data Vlaue (Cr)'!$C:$FB,144)</f>
        <v>2347.16</v>
      </c>
      <c r="F81" s="50">
        <f>VLOOKUP($A81,'Data Vlaue (Cr)'!$C:$FB,146)*100</f>
        <v>-19.040000000000003</v>
      </c>
      <c r="G81" s="49">
        <f>VLOOKUP($A81,'Data Vlaue (Cr)'!$C:$FB,43)</f>
        <v>964</v>
      </c>
      <c r="H81" s="49">
        <f>VLOOKUP($A81,'Data Vlaue (Cr)'!$C:$FB,44)</f>
        <v>1189</v>
      </c>
      <c r="I81" s="49">
        <f>VLOOKUP($A81,'Data Vlaue (Cr)'!$C:$FB,46)*100</f>
        <v>-18.91</v>
      </c>
      <c r="J81" s="51">
        <f>VLOOKUP($A81,'Data Vlaue (Cr)'!$C:$FB,59)</f>
        <v>458</v>
      </c>
      <c r="K81" s="51">
        <f>VLOOKUP($A81,'Data Vlaue (Cr)'!$C:$FB,60)</f>
        <v>803</v>
      </c>
      <c r="L81" s="51">
        <f>VLOOKUP($A81,'Data Vlaue (Cr)'!$C:$FB,62)*100</f>
        <v>-42.970000000000006</v>
      </c>
      <c r="M81" s="51">
        <f>VLOOKUP($A81,'Data Vlaue (Cr)'!$C:$FB,63)</f>
        <v>470</v>
      </c>
      <c r="N81" s="51">
        <f>VLOOKUP($A81,'Data Vlaue (Cr)'!$C:$FB,64)</f>
        <v>319</v>
      </c>
      <c r="O81" s="51">
        <f>VLOOKUP($A81,'Data Vlaue (Cr)'!$C:$FB,66)*100</f>
        <v>47.3</v>
      </c>
    </row>
    <row r="82" spans="1:15" x14ac:dyDescent="0.25">
      <c r="A82" s="101" t="str">
        <f>'Data Vlaue (Cr)'!C77</f>
        <v>GODREJCP</v>
      </c>
      <c r="B82" s="50">
        <f>VLOOKUP($A82,'Data Vlaue (Cr)'!$C:$FB,8)</f>
        <v>1259</v>
      </c>
      <c r="C82" s="50">
        <f>VLOOKUP($A82,'Data Vlaue (Cr)'!$C:$FB,11)*100</f>
        <v>3.49</v>
      </c>
      <c r="D82" s="50">
        <f>VLOOKUP($A82,'Data Vlaue (Cr)'!$C:$FB,143)</f>
        <v>1864.14</v>
      </c>
      <c r="E82" s="50">
        <f>VLOOKUP($A82,'Data Vlaue (Cr)'!$C:$FB,144)</f>
        <v>984.71</v>
      </c>
      <c r="F82" s="50">
        <f>VLOOKUP($A82,'Data Vlaue (Cr)'!$C:$FB,146)*100</f>
        <v>89.31</v>
      </c>
      <c r="G82" s="49">
        <f>VLOOKUP($A82,'Data Vlaue (Cr)'!$C:$FB,43)</f>
        <v>855</v>
      </c>
      <c r="H82" s="49">
        <f>VLOOKUP($A82,'Data Vlaue (Cr)'!$C:$FB,44)</f>
        <v>618</v>
      </c>
      <c r="I82" s="49">
        <f>VLOOKUP($A82,'Data Vlaue (Cr)'!$C:$FB,46)*100</f>
        <v>38.440000000000005</v>
      </c>
      <c r="J82" s="51">
        <f>VLOOKUP($A82,'Data Vlaue (Cr)'!$C:$FB,59)</f>
        <v>835</v>
      </c>
      <c r="K82" s="51">
        <f>VLOOKUP($A82,'Data Vlaue (Cr)'!$C:$FB,60)</f>
        <v>283</v>
      </c>
      <c r="L82" s="51">
        <f>VLOOKUP($A82,'Data Vlaue (Cr)'!$C:$FB,62)*100</f>
        <v>195.43</v>
      </c>
      <c r="M82" s="51">
        <f>VLOOKUP($A82,'Data Vlaue (Cr)'!$C:$FB,63)</f>
        <v>165</v>
      </c>
      <c r="N82" s="51">
        <f>VLOOKUP($A82,'Data Vlaue (Cr)'!$C:$FB,64)</f>
        <v>110</v>
      </c>
      <c r="O82" s="51">
        <f>VLOOKUP($A82,'Data Vlaue (Cr)'!$C:$FB,66)*100</f>
        <v>50.32</v>
      </c>
    </row>
    <row r="83" spans="1:15" x14ac:dyDescent="0.25">
      <c r="A83" s="101" t="str">
        <f>'Data Vlaue (Cr)'!C78</f>
        <v>GODREJPROP</v>
      </c>
      <c r="B83" s="50">
        <f>VLOOKUP($A83,'Data Vlaue (Cr)'!$C:$FB,8)</f>
        <v>2102.9</v>
      </c>
      <c r="C83" s="50">
        <f>VLOOKUP($A83,'Data Vlaue (Cr)'!$C:$FB,11)*100</f>
        <v>-1.24</v>
      </c>
      <c r="D83" s="50">
        <f>VLOOKUP($A83,'Data Vlaue (Cr)'!$C:$FB,143)</f>
        <v>1697.96</v>
      </c>
      <c r="E83" s="50">
        <f>VLOOKUP($A83,'Data Vlaue (Cr)'!$C:$FB,144)</f>
        <v>1613.22</v>
      </c>
      <c r="F83" s="50">
        <f>VLOOKUP($A83,'Data Vlaue (Cr)'!$C:$FB,146)*100</f>
        <v>5.25</v>
      </c>
      <c r="G83" s="49">
        <f>VLOOKUP($A83,'Data Vlaue (Cr)'!$C:$FB,43)</f>
        <v>770</v>
      </c>
      <c r="H83" s="49">
        <f>VLOOKUP($A83,'Data Vlaue (Cr)'!$C:$FB,44)</f>
        <v>882</v>
      </c>
      <c r="I83" s="49">
        <f>VLOOKUP($A83,'Data Vlaue (Cr)'!$C:$FB,46)*100</f>
        <v>-12.770000000000001</v>
      </c>
      <c r="J83" s="51">
        <f>VLOOKUP($A83,'Data Vlaue (Cr)'!$C:$FB,59)</f>
        <v>562</v>
      </c>
      <c r="K83" s="51">
        <f>VLOOKUP($A83,'Data Vlaue (Cr)'!$C:$FB,60)</f>
        <v>435</v>
      </c>
      <c r="L83" s="51">
        <f>VLOOKUP($A83,'Data Vlaue (Cr)'!$C:$FB,62)*100</f>
        <v>29.42</v>
      </c>
      <c r="M83" s="51">
        <f>VLOOKUP($A83,'Data Vlaue (Cr)'!$C:$FB,63)</f>
        <v>296</v>
      </c>
      <c r="N83" s="51">
        <f>VLOOKUP($A83,'Data Vlaue (Cr)'!$C:$FB,64)</f>
        <v>227</v>
      </c>
      <c r="O83" s="51">
        <f>VLOOKUP($A83,'Data Vlaue (Cr)'!$C:$FB,66)*100</f>
        <v>30.270000000000003</v>
      </c>
    </row>
    <row r="84" spans="1:15" x14ac:dyDescent="0.25">
      <c r="A84" s="101" t="str">
        <f>'Data Vlaue (Cr)'!C79</f>
        <v>GRANULES</v>
      </c>
      <c r="B84" s="50">
        <f>VLOOKUP($A84,'Data Vlaue (Cr)'!$C:$FB,8)</f>
        <v>474.9</v>
      </c>
      <c r="C84" s="50">
        <f>VLOOKUP($A84,'Data Vlaue (Cr)'!$C:$FB,11)*100</f>
        <v>-3.51</v>
      </c>
      <c r="D84" s="50">
        <f>VLOOKUP($A84,'Data Vlaue (Cr)'!$C:$FB,143)</f>
        <v>839.73</v>
      </c>
      <c r="E84" s="50">
        <f>VLOOKUP($A84,'Data Vlaue (Cr)'!$C:$FB,144)</f>
        <v>799.88</v>
      </c>
      <c r="F84" s="50">
        <f>VLOOKUP($A84,'Data Vlaue (Cr)'!$C:$FB,146)*100</f>
        <v>4.9799999999999995</v>
      </c>
      <c r="G84" s="49">
        <f>VLOOKUP($A84,'Data Vlaue (Cr)'!$C:$FB,43)</f>
        <v>542</v>
      </c>
      <c r="H84" s="49">
        <f>VLOOKUP($A84,'Data Vlaue (Cr)'!$C:$FB,44)</f>
        <v>299</v>
      </c>
      <c r="I84" s="49">
        <f>VLOOKUP($A84,'Data Vlaue (Cr)'!$C:$FB,46)*100</f>
        <v>81.19</v>
      </c>
      <c r="J84" s="51">
        <f>VLOOKUP($A84,'Data Vlaue (Cr)'!$C:$FB,59)</f>
        <v>160</v>
      </c>
      <c r="K84" s="51">
        <f>VLOOKUP($A84,'Data Vlaue (Cr)'!$C:$FB,60)</f>
        <v>349</v>
      </c>
      <c r="L84" s="51">
        <f>VLOOKUP($A84,'Data Vlaue (Cr)'!$C:$FB,62)*100</f>
        <v>-54</v>
      </c>
      <c r="M84" s="51">
        <f>VLOOKUP($A84,'Data Vlaue (Cr)'!$C:$FB,63)</f>
        <v>121</v>
      </c>
      <c r="N84" s="51">
        <f>VLOOKUP($A84,'Data Vlaue (Cr)'!$C:$FB,64)</f>
        <v>115</v>
      </c>
      <c r="O84" s="51">
        <f>VLOOKUP($A84,'Data Vlaue (Cr)'!$C:$FB,66)*100</f>
        <v>5.43</v>
      </c>
    </row>
    <row r="85" spans="1:15" x14ac:dyDescent="0.25">
      <c r="A85" s="101" t="str">
        <f>'Data Vlaue (Cr)'!C80</f>
        <v>GRASIM</v>
      </c>
      <c r="B85" s="50">
        <f>VLOOKUP($A85,'Data Vlaue (Cr)'!$C:$FB,8)</f>
        <v>2746.4</v>
      </c>
      <c r="C85" s="50">
        <f>VLOOKUP($A85,'Data Vlaue (Cr)'!$C:$FB,11)*100</f>
        <v>-0.44</v>
      </c>
      <c r="D85" s="50">
        <f>VLOOKUP($A85,'Data Vlaue (Cr)'!$C:$FB,143)</f>
        <v>1746.05</v>
      </c>
      <c r="E85" s="50">
        <f>VLOOKUP($A85,'Data Vlaue (Cr)'!$C:$FB,144)</f>
        <v>3630.47</v>
      </c>
      <c r="F85" s="50">
        <f>VLOOKUP($A85,'Data Vlaue (Cr)'!$C:$FB,146)*100</f>
        <v>-51.910000000000004</v>
      </c>
      <c r="G85" s="49">
        <f>VLOOKUP($A85,'Data Vlaue (Cr)'!$C:$FB,43)</f>
        <v>1060</v>
      </c>
      <c r="H85" s="49">
        <f>VLOOKUP($A85,'Data Vlaue (Cr)'!$C:$FB,44)</f>
        <v>1683</v>
      </c>
      <c r="I85" s="49">
        <f>VLOOKUP($A85,'Data Vlaue (Cr)'!$C:$FB,46)*100</f>
        <v>-37.049999999999997</v>
      </c>
      <c r="J85" s="51">
        <f>VLOOKUP($A85,'Data Vlaue (Cr)'!$C:$FB,59)</f>
        <v>455</v>
      </c>
      <c r="K85" s="51">
        <f>VLOOKUP($A85,'Data Vlaue (Cr)'!$C:$FB,60)</f>
        <v>1535</v>
      </c>
      <c r="L85" s="51">
        <f>VLOOKUP($A85,'Data Vlaue (Cr)'!$C:$FB,62)*100</f>
        <v>-70.349999999999994</v>
      </c>
      <c r="M85" s="51">
        <f>VLOOKUP($A85,'Data Vlaue (Cr)'!$C:$FB,63)</f>
        <v>216</v>
      </c>
      <c r="N85" s="51">
        <f>VLOOKUP($A85,'Data Vlaue (Cr)'!$C:$FB,64)</f>
        <v>341</v>
      </c>
      <c r="O85" s="51">
        <f>VLOOKUP($A85,'Data Vlaue (Cr)'!$C:$FB,66)*100</f>
        <v>-36.67</v>
      </c>
    </row>
    <row r="86" spans="1:15" x14ac:dyDescent="0.25">
      <c r="A86" s="101" t="str">
        <f>'Data Vlaue (Cr)'!C81</f>
        <v>HAL</v>
      </c>
      <c r="B86" s="50">
        <f>VLOOKUP($A86,'Data Vlaue (Cr)'!$C:$FB,8)</f>
        <v>4533.8999999999996</v>
      </c>
      <c r="C86" s="50">
        <f>VLOOKUP($A86,'Data Vlaue (Cr)'!$C:$FB,11)*100</f>
        <v>-0.24</v>
      </c>
      <c r="D86" s="50">
        <f>VLOOKUP($A86,'Data Vlaue (Cr)'!$C:$FB,143)</f>
        <v>10017.74</v>
      </c>
      <c r="E86" s="50">
        <f>VLOOKUP($A86,'Data Vlaue (Cr)'!$C:$FB,144)</f>
        <v>8419.31</v>
      </c>
      <c r="F86" s="50">
        <f>VLOOKUP($A86,'Data Vlaue (Cr)'!$C:$FB,146)*100</f>
        <v>18.990000000000002</v>
      </c>
      <c r="G86" s="49">
        <f>VLOOKUP($A86,'Data Vlaue (Cr)'!$C:$FB,43)</f>
        <v>2951</v>
      </c>
      <c r="H86" s="49">
        <f>VLOOKUP($A86,'Data Vlaue (Cr)'!$C:$FB,44)</f>
        <v>1880</v>
      </c>
      <c r="I86" s="49">
        <f>VLOOKUP($A86,'Data Vlaue (Cr)'!$C:$FB,46)*100</f>
        <v>56.940000000000005</v>
      </c>
      <c r="J86" s="51">
        <f>VLOOKUP($A86,'Data Vlaue (Cr)'!$C:$FB,59)</f>
        <v>4689</v>
      </c>
      <c r="K86" s="51">
        <f>VLOOKUP($A86,'Data Vlaue (Cr)'!$C:$FB,60)</f>
        <v>4761</v>
      </c>
      <c r="L86" s="51">
        <f>VLOOKUP($A86,'Data Vlaue (Cr)'!$C:$FB,62)*100</f>
        <v>-1.53</v>
      </c>
      <c r="M86" s="51">
        <f>VLOOKUP($A86,'Data Vlaue (Cr)'!$C:$FB,63)</f>
        <v>2067</v>
      </c>
      <c r="N86" s="51">
        <f>VLOOKUP($A86,'Data Vlaue (Cr)'!$C:$FB,64)</f>
        <v>1473</v>
      </c>
      <c r="O86" s="51">
        <f>VLOOKUP($A86,'Data Vlaue (Cr)'!$C:$FB,66)*100</f>
        <v>40.29</v>
      </c>
    </row>
    <row r="87" spans="1:15" x14ac:dyDescent="0.25">
      <c r="A87" s="101" t="str">
        <f>'Data Vlaue (Cr)'!C82</f>
        <v>HAVELLS</v>
      </c>
      <c r="B87" s="50">
        <f>VLOOKUP($A87,'Data Vlaue (Cr)'!$C:$FB,8)</f>
        <v>1500.6</v>
      </c>
      <c r="C87" s="50">
        <f>VLOOKUP($A87,'Data Vlaue (Cr)'!$C:$FB,11)*100</f>
        <v>-1.79</v>
      </c>
      <c r="D87" s="50">
        <f>VLOOKUP($A87,'Data Vlaue (Cr)'!$C:$FB,143)</f>
        <v>1160.2</v>
      </c>
      <c r="E87" s="50">
        <f>VLOOKUP($A87,'Data Vlaue (Cr)'!$C:$FB,144)</f>
        <v>1325.87</v>
      </c>
      <c r="F87" s="50">
        <f>VLOOKUP($A87,'Data Vlaue (Cr)'!$C:$FB,146)*100</f>
        <v>-12.5</v>
      </c>
      <c r="G87" s="49">
        <f>VLOOKUP($A87,'Data Vlaue (Cr)'!$C:$FB,43)</f>
        <v>539</v>
      </c>
      <c r="H87" s="49">
        <f>VLOOKUP($A87,'Data Vlaue (Cr)'!$C:$FB,44)</f>
        <v>747</v>
      </c>
      <c r="I87" s="49">
        <f>VLOOKUP($A87,'Data Vlaue (Cr)'!$C:$FB,46)*100</f>
        <v>-27.92</v>
      </c>
      <c r="J87" s="51">
        <f>VLOOKUP($A87,'Data Vlaue (Cr)'!$C:$FB,59)</f>
        <v>383</v>
      </c>
      <c r="K87" s="51">
        <f>VLOOKUP($A87,'Data Vlaue (Cr)'!$C:$FB,60)</f>
        <v>358</v>
      </c>
      <c r="L87" s="51">
        <f>VLOOKUP($A87,'Data Vlaue (Cr)'!$C:$FB,62)*100</f>
        <v>6.98</v>
      </c>
      <c r="M87" s="51">
        <f>VLOOKUP($A87,'Data Vlaue (Cr)'!$C:$FB,63)</f>
        <v>217</v>
      </c>
      <c r="N87" s="51">
        <f>VLOOKUP($A87,'Data Vlaue (Cr)'!$C:$FB,64)</f>
        <v>198</v>
      </c>
      <c r="O87" s="51">
        <f>VLOOKUP($A87,'Data Vlaue (Cr)'!$C:$FB,66)*100</f>
        <v>9.4</v>
      </c>
    </row>
    <row r="88" spans="1:15" x14ac:dyDescent="0.25">
      <c r="A88" s="101" t="str">
        <f>'Data Vlaue (Cr)'!C83</f>
        <v>HCLTECH</v>
      </c>
      <c r="B88" s="50">
        <f>VLOOKUP($A88,'Data Vlaue (Cr)'!$C:$FB,8)</f>
        <v>1467.9</v>
      </c>
      <c r="C88" s="50">
        <f>VLOOKUP($A88,'Data Vlaue (Cr)'!$C:$FB,11)*100</f>
        <v>-0.57999999999999996</v>
      </c>
      <c r="D88" s="50">
        <f>VLOOKUP($A88,'Data Vlaue (Cr)'!$C:$FB,143)</f>
        <v>2726.23</v>
      </c>
      <c r="E88" s="50">
        <f>VLOOKUP($A88,'Data Vlaue (Cr)'!$C:$FB,144)</f>
        <v>2656.34</v>
      </c>
      <c r="F88" s="50">
        <f>VLOOKUP($A88,'Data Vlaue (Cr)'!$C:$FB,146)*100</f>
        <v>2.63</v>
      </c>
      <c r="G88" s="49">
        <f>VLOOKUP($A88,'Data Vlaue (Cr)'!$C:$FB,43)</f>
        <v>1024</v>
      </c>
      <c r="H88" s="49">
        <f>VLOOKUP($A88,'Data Vlaue (Cr)'!$C:$FB,44)</f>
        <v>1311</v>
      </c>
      <c r="I88" s="49">
        <f>VLOOKUP($A88,'Data Vlaue (Cr)'!$C:$FB,46)*100</f>
        <v>-21.89</v>
      </c>
      <c r="J88" s="51">
        <f>VLOOKUP($A88,'Data Vlaue (Cr)'!$C:$FB,59)</f>
        <v>1011</v>
      </c>
      <c r="K88" s="51">
        <f>VLOOKUP($A88,'Data Vlaue (Cr)'!$C:$FB,60)</f>
        <v>875</v>
      </c>
      <c r="L88" s="51">
        <f>VLOOKUP($A88,'Data Vlaue (Cr)'!$C:$FB,62)*100</f>
        <v>15.53</v>
      </c>
      <c r="M88" s="51">
        <f>VLOOKUP($A88,'Data Vlaue (Cr)'!$C:$FB,63)</f>
        <v>623</v>
      </c>
      <c r="N88" s="51">
        <f>VLOOKUP($A88,'Data Vlaue (Cr)'!$C:$FB,64)</f>
        <v>405</v>
      </c>
      <c r="O88" s="51">
        <f>VLOOKUP($A88,'Data Vlaue (Cr)'!$C:$FB,66)*100</f>
        <v>53.75</v>
      </c>
    </row>
    <row r="89" spans="1:15" x14ac:dyDescent="0.25">
      <c r="A89" s="101" t="str">
        <f>'Data Vlaue (Cr)'!C84</f>
        <v>HDFCAMC</v>
      </c>
      <c r="B89" s="50">
        <f>VLOOKUP($A89,'Data Vlaue (Cr)'!$C:$FB,8)</f>
        <v>5650</v>
      </c>
      <c r="C89" s="50">
        <f>VLOOKUP($A89,'Data Vlaue (Cr)'!$C:$FB,11)*100</f>
        <v>-0.35000000000000003</v>
      </c>
      <c r="D89" s="50">
        <f>VLOOKUP($A89,'Data Vlaue (Cr)'!$C:$FB,143)</f>
        <v>2279.0700000000002</v>
      </c>
      <c r="E89" s="50">
        <f>VLOOKUP($A89,'Data Vlaue (Cr)'!$C:$FB,144)</f>
        <v>3237.75</v>
      </c>
      <c r="F89" s="50">
        <f>VLOOKUP($A89,'Data Vlaue (Cr)'!$C:$FB,146)*100</f>
        <v>-29.609999999999996</v>
      </c>
      <c r="G89" s="49">
        <f>VLOOKUP($A89,'Data Vlaue (Cr)'!$C:$FB,43)</f>
        <v>660</v>
      </c>
      <c r="H89" s="49">
        <f>VLOOKUP($A89,'Data Vlaue (Cr)'!$C:$FB,44)</f>
        <v>894</v>
      </c>
      <c r="I89" s="49">
        <f>VLOOKUP($A89,'Data Vlaue (Cr)'!$C:$FB,46)*100</f>
        <v>-26.229999999999997</v>
      </c>
      <c r="J89" s="51">
        <f>VLOOKUP($A89,'Data Vlaue (Cr)'!$C:$FB,59)</f>
        <v>959</v>
      </c>
      <c r="K89" s="51">
        <f>VLOOKUP($A89,'Data Vlaue (Cr)'!$C:$FB,60)</f>
        <v>1532</v>
      </c>
      <c r="L89" s="51">
        <f>VLOOKUP($A89,'Data Vlaue (Cr)'!$C:$FB,62)*100</f>
        <v>-37.419999999999995</v>
      </c>
      <c r="M89" s="51">
        <f>VLOOKUP($A89,'Data Vlaue (Cr)'!$C:$FB,63)</f>
        <v>655</v>
      </c>
      <c r="N89" s="51">
        <f>VLOOKUP($A89,'Data Vlaue (Cr)'!$C:$FB,64)</f>
        <v>789</v>
      </c>
      <c r="O89" s="51">
        <f>VLOOKUP($A89,'Data Vlaue (Cr)'!$C:$FB,66)*100</f>
        <v>-17.04</v>
      </c>
    </row>
    <row r="90" spans="1:15" x14ac:dyDescent="0.25">
      <c r="A90" s="101" t="str">
        <f>'Data Vlaue (Cr)'!C85</f>
        <v>HDFCBANK</v>
      </c>
      <c r="B90" s="50">
        <f>VLOOKUP($A90,'Data Vlaue (Cr)'!$C:$FB,8)</f>
        <v>2018.2</v>
      </c>
      <c r="C90" s="50">
        <f>VLOOKUP($A90,'Data Vlaue (Cr)'!$C:$FB,11)*100</f>
        <v>-0.38</v>
      </c>
      <c r="D90" s="50">
        <f>VLOOKUP($A90,'Data Vlaue (Cr)'!$C:$FB,143)</f>
        <v>22429.08</v>
      </c>
      <c r="E90" s="50">
        <f>VLOOKUP($A90,'Data Vlaue (Cr)'!$C:$FB,144)</f>
        <v>24965.9</v>
      </c>
      <c r="F90" s="50">
        <f>VLOOKUP($A90,'Data Vlaue (Cr)'!$C:$FB,146)*100</f>
        <v>-10.16</v>
      </c>
      <c r="G90" s="49">
        <f>VLOOKUP($A90,'Data Vlaue (Cr)'!$C:$FB,43)</f>
        <v>7494</v>
      </c>
      <c r="H90" s="49">
        <f>VLOOKUP($A90,'Data Vlaue (Cr)'!$C:$FB,44)</f>
        <v>11402</v>
      </c>
      <c r="I90" s="49">
        <f>VLOOKUP($A90,'Data Vlaue (Cr)'!$C:$FB,46)*100</f>
        <v>-34.28</v>
      </c>
      <c r="J90" s="51">
        <f>VLOOKUP($A90,'Data Vlaue (Cr)'!$C:$FB,59)</f>
        <v>7522</v>
      </c>
      <c r="K90" s="51">
        <f>VLOOKUP($A90,'Data Vlaue (Cr)'!$C:$FB,60)</f>
        <v>7509</v>
      </c>
      <c r="L90" s="51">
        <f>VLOOKUP($A90,'Data Vlaue (Cr)'!$C:$FB,62)*100</f>
        <v>0.16999999999999998</v>
      </c>
      <c r="M90" s="51">
        <f>VLOOKUP($A90,'Data Vlaue (Cr)'!$C:$FB,63)</f>
        <v>7427</v>
      </c>
      <c r="N90" s="51">
        <f>VLOOKUP($A90,'Data Vlaue (Cr)'!$C:$FB,64)</f>
        <v>6091</v>
      </c>
      <c r="O90" s="51">
        <f>VLOOKUP($A90,'Data Vlaue (Cr)'!$C:$FB,66)*100</f>
        <v>21.94</v>
      </c>
    </row>
    <row r="91" spans="1:15" x14ac:dyDescent="0.25">
      <c r="A91" s="101" t="str">
        <f>'Data Vlaue (Cr)'!C86</f>
        <v>HDFCLIFE</v>
      </c>
      <c r="B91" s="50">
        <f>VLOOKUP($A91,'Data Vlaue (Cr)'!$C:$FB,8)</f>
        <v>755.5</v>
      </c>
      <c r="C91" s="50">
        <f>VLOOKUP($A91,'Data Vlaue (Cr)'!$C:$FB,11)*100</f>
        <v>-0.26</v>
      </c>
      <c r="D91" s="50">
        <f>VLOOKUP($A91,'Data Vlaue (Cr)'!$C:$FB,143)</f>
        <v>2148.33</v>
      </c>
      <c r="E91" s="50">
        <f>VLOOKUP($A91,'Data Vlaue (Cr)'!$C:$FB,144)</f>
        <v>2638.38</v>
      </c>
      <c r="F91" s="50">
        <f>VLOOKUP($A91,'Data Vlaue (Cr)'!$C:$FB,146)*100</f>
        <v>-18.57</v>
      </c>
      <c r="G91" s="49">
        <f>VLOOKUP($A91,'Data Vlaue (Cr)'!$C:$FB,43)</f>
        <v>977</v>
      </c>
      <c r="H91" s="49">
        <f>VLOOKUP($A91,'Data Vlaue (Cr)'!$C:$FB,44)</f>
        <v>1699</v>
      </c>
      <c r="I91" s="49">
        <f>VLOOKUP($A91,'Data Vlaue (Cr)'!$C:$FB,46)*100</f>
        <v>-42.480000000000004</v>
      </c>
      <c r="J91" s="51">
        <f>VLOOKUP($A91,'Data Vlaue (Cr)'!$C:$FB,59)</f>
        <v>629</v>
      </c>
      <c r="K91" s="51">
        <f>VLOOKUP($A91,'Data Vlaue (Cr)'!$C:$FB,60)</f>
        <v>620</v>
      </c>
      <c r="L91" s="51">
        <f>VLOOKUP($A91,'Data Vlaue (Cr)'!$C:$FB,62)*100</f>
        <v>1.44</v>
      </c>
      <c r="M91" s="51">
        <f>VLOOKUP($A91,'Data Vlaue (Cr)'!$C:$FB,63)</f>
        <v>529</v>
      </c>
      <c r="N91" s="51">
        <f>VLOOKUP($A91,'Data Vlaue (Cr)'!$C:$FB,64)</f>
        <v>311</v>
      </c>
      <c r="O91" s="51">
        <f>VLOOKUP($A91,'Data Vlaue (Cr)'!$C:$FB,66)*100</f>
        <v>70.14</v>
      </c>
    </row>
    <row r="92" spans="1:15" x14ac:dyDescent="0.25">
      <c r="A92" s="101" t="str">
        <f>'Data Vlaue (Cr)'!C87</f>
        <v>HEROMOTOCO</v>
      </c>
      <c r="B92" s="50">
        <f>VLOOKUP($A92,'Data Vlaue (Cr)'!$C:$FB,8)</f>
        <v>4260.7</v>
      </c>
      <c r="C92" s="50">
        <f>VLOOKUP($A92,'Data Vlaue (Cr)'!$C:$FB,11)*100</f>
        <v>0.22</v>
      </c>
      <c r="D92" s="50">
        <f>VLOOKUP($A92,'Data Vlaue (Cr)'!$C:$FB,143)</f>
        <v>2931.1</v>
      </c>
      <c r="E92" s="50">
        <f>VLOOKUP($A92,'Data Vlaue (Cr)'!$C:$FB,144)</f>
        <v>6038.03</v>
      </c>
      <c r="F92" s="50">
        <f>VLOOKUP($A92,'Data Vlaue (Cr)'!$C:$FB,146)*100</f>
        <v>-51.459999999999994</v>
      </c>
      <c r="G92" s="49">
        <f>VLOOKUP($A92,'Data Vlaue (Cr)'!$C:$FB,43)</f>
        <v>966</v>
      </c>
      <c r="H92" s="49">
        <f>VLOOKUP($A92,'Data Vlaue (Cr)'!$C:$FB,44)</f>
        <v>1867</v>
      </c>
      <c r="I92" s="49">
        <f>VLOOKUP($A92,'Data Vlaue (Cr)'!$C:$FB,46)*100</f>
        <v>-48.26</v>
      </c>
      <c r="J92" s="51">
        <f>VLOOKUP($A92,'Data Vlaue (Cr)'!$C:$FB,59)</f>
        <v>1312</v>
      </c>
      <c r="K92" s="51">
        <f>VLOOKUP($A92,'Data Vlaue (Cr)'!$C:$FB,60)</f>
        <v>2802</v>
      </c>
      <c r="L92" s="51">
        <f>VLOOKUP($A92,'Data Vlaue (Cr)'!$C:$FB,62)*100</f>
        <v>-53.16</v>
      </c>
      <c r="M92" s="51">
        <f>VLOOKUP($A92,'Data Vlaue (Cr)'!$C:$FB,63)</f>
        <v>586</v>
      </c>
      <c r="N92" s="51">
        <f>VLOOKUP($A92,'Data Vlaue (Cr)'!$C:$FB,64)</f>
        <v>1215</v>
      </c>
      <c r="O92" s="51">
        <f>VLOOKUP($A92,'Data Vlaue (Cr)'!$C:$FB,66)*100</f>
        <v>-51.78</v>
      </c>
    </row>
    <row r="93" spans="1:15" x14ac:dyDescent="0.25">
      <c r="A93" s="101" t="str">
        <f>'Data Vlaue (Cr)'!C88</f>
        <v>HFCL</v>
      </c>
      <c r="B93" s="50">
        <f>VLOOKUP($A93,'Data Vlaue (Cr)'!$C:$FB,8)</f>
        <v>75.569999999999993</v>
      </c>
      <c r="C93" s="50">
        <f>VLOOKUP($A93,'Data Vlaue (Cr)'!$C:$FB,11)*100</f>
        <v>-1.8599999999999999</v>
      </c>
      <c r="D93" s="50">
        <f>VLOOKUP($A93,'Data Vlaue (Cr)'!$C:$FB,143)</f>
        <v>688.19</v>
      </c>
      <c r="E93" s="50">
        <f>VLOOKUP($A93,'Data Vlaue (Cr)'!$C:$FB,144)</f>
        <v>497.79</v>
      </c>
      <c r="F93" s="50">
        <f>VLOOKUP($A93,'Data Vlaue (Cr)'!$C:$FB,146)*100</f>
        <v>38.25</v>
      </c>
      <c r="G93" s="49">
        <f>VLOOKUP($A93,'Data Vlaue (Cr)'!$C:$FB,43)</f>
        <v>459</v>
      </c>
      <c r="H93" s="49">
        <f>VLOOKUP($A93,'Data Vlaue (Cr)'!$C:$FB,44)</f>
        <v>305</v>
      </c>
      <c r="I93" s="49">
        <f>VLOOKUP($A93,'Data Vlaue (Cr)'!$C:$FB,46)*100</f>
        <v>50.68</v>
      </c>
      <c r="J93" s="51">
        <f>VLOOKUP($A93,'Data Vlaue (Cr)'!$C:$FB,59)</f>
        <v>131</v>
      </c>
      <c r="K93" s="51">
        <f>VLOOKUP($A93,'Data Vlaue (Cr)'!$C:$FB,60)</f>
        <v>84</v>
      </c>
      <c r="L93" s="51">
        <f>VLOOKUP($A93,'Data Vlaue (Cr)'!$C:$FB,62)*100</f>
        <v>56.07</v>
      </c>
      <c r="M93" s="51">
        <f>VLOOKUP($A93,'Data Vlaue (Cr)'!$C:$FB,63)</f>
        <v>81</v>
      </c>
      <c r="N93" s="51">
        <f>VLOOKUP($A93,'Data Vlaue (Cr)'!$C:$FB,64)</f>
        <v>81</v>
      </c>
      <c r="O93" s="51">
        <f>VLOOKUP($A93,'Data Vlaue (Cr)'!$C:$FB,66)*100</f>
        <v>-0.06</v>
      </c>
    </row>
    <row r="94" spans="1:15" x14ac:dyDescent="0.25">
      <c r="A94" s="101" t="str">
        <f>'Data Vlaue (Cr)'!C89</f>
        <v>HINDALCO</v>
      </c>
      <c r="B94" s="50">
        <f>VLOOKUP($A94,'Data Vlaue (Cr)'!$C:$FB,8)</f>
        <v>683.05</v>
      </c>
      <c r="C94" s="50">
        <f>VLOOKUP($A94,'Data Vlaue (Cr)'!$C:$FB,11)*100</f>
        <v>-0.83</v>
      </c>
      <c r="D94" s="50">
        <f>VLOOKUP($A94,'Data Vlaue (Cr)'!$C:$FB,143)</f>
        <v>2862.6</v>
      </c>
      <c r="E94" s="50">
        <f>VLOOKUP($A94,'Data Vlaue (Cr)'!$C:$FB,144)</f>
        <v>3426.15</v>
      </c>
      <c r="F94" s="50">
        <f>VLOOKUP($A94,'Data Vlaue (Cr)'!$C:$FB,146)*100</f>
        <v>-16.45</v>
      </c>
      <c r="G94" s="49">
        <f>VLOOKUP($A94,'Data Vlaue (Cr)'!$C:$FB,43)</f>
        <v>1361</v>
      </c>
      <c r="H94" s="49">
        <f>VLOOKUP($A94,'Data Vlaue (Cr)'!$C:$FB,44)</f>
        <v>2074</v>
      </c>
      <c r="I94" s="49">
        <f>VLOOKUP($A94,'Data Vlaue (Cr)'!$C:$FB,46)*100</f>
        <v>-34.36</v>
      </c>
      <c r="J94" s="51">
        <f>VLOOKUP($A94,'Data Vlaue (Cr)'!$C:$FB,59)</f>
        <v>724</v>
      </c>
      <c r="K94" s="51">
        <f>VLOOKUP($A94,'Data Vlaue (Cr)'!$C:$FB,60)</f>
        <v>767</v>
      </c>
      <c r="L94" s="51">
        <f>VLOOKUP($A94,'Data Vlaue (Cr)'!$C:$FB,62)*100</f>
        <v>-5.6000000000000005</v>
      </c>
      <c r="M94" s="51">
        <f>VLOOKUP($A94,'Data Vlaue (Cr)'!$C:$FB,63)</f>
        <v>733</v>
      </c>
      <c r="N94" s="51">
        <f>VLOOKUP($A94,'Data Vlaue (Cr)'!$C:$FB,64)</f>
        <v>525</v>
      </c>
      <c r="O94" s="51">
        <f>VLOOKUP($A94,'Data Vlaue (Cr)'!$C:$FB,66)*100</f>
        <v>39.76</v>
      </c>
    </row>
    <row r="95" spans="1:15" x14ac:dyDescent="0.25">
      <c r="A95" s="101" t="str">
        <f>'Data Vlaue (Cr)'!C90</f>
        <v>HINDCOPPER</v>
      </c>
      <c r="B95" s="50">
        <f>VLOOKUP($A95,'Data Vlaue (Cr)'!$C:$FB,8)</f>
        <v>243.35</v>
      </c>
      <c r="C95" s="50">
        <f>VLOOKUP($A95,'Data Vlaue (Cr)'!$C:$FB,11)*100</f>
        <v>-5.81</v>
      </c>
      <c r="D95" s="50">
        <f>VLOOKUP($A95,'Data Vlaue (Cr)'!$C:$FB,143)</f>
        <v>508.19</v>
      </c>
      <c r="E95" s="50">
        <f>VLOOKUP($A95,'Data Vlaue (Cr)'!$C:$FB,144)</f>
        <v>680.74</v>
      </c>
      <c r="F95" s="50">
        <f>VLOOKUP($A95,'Data Vlaue (Cr)'!$C:$FB,146)*100</f>
        <v>-25.35</v>
      </c>
      <c r="G95" s="49">
        <f>VLOOKUP($A95,'Data Vlaue (Cr)'!$C:$FB,43)</f>
        <v>0</v>
      </c>
      <c r="H95" s="49">
        <f>VLOOKUP($A95,'Data Vlaue (Cr)'!$C:$FB,44)</f>
        <v>0</v>
      </c>
      <c r="I95" s="49">
        <f>VLOOKUP($A95,'Data Vlaue (Cr)'!$C:$FB,46)*100</f>
        <v>6.25</v>
      </c>
      <c r="J95" s="51">
        <f>VLOOKUP($A95,'Data Vlaue (Cr)'!$C:$FB,59)</f>
        <v>0</v>
      </c>
      <c r="K95" s="51">
        <f>VLOOKUP($A95,'Data Vlaue (Cr)'!$C:$FB,60)</f>
        <v>0</v>
      </c>
      <c r="L95" s="51">
        <f>VLOOKUP($A95,'Data Vlaue (Cr)'!$C:$FB,62)*100</f>
        <v>-58.29</v>
      </c>
      <c r="M95" s="51">
        <f>VLOOKUP($A95,'Data Vlaue (Cr)'!$C:$FB,63)</f>
        <v>0</v>
      </c>
      <c r="N95" s="51">
        <f>VLOOKUP($A95,'Data Vlaue (Cr)'!$C:$FB,64)</f>
        <v>0</v>
      </c>
      <c r="O95" s="51">
        <f>VLOOKUP($A95,'Data Vlaue (Cr)'!$C:$FB,66)*100</f>
        <v>-9.629999999999999</v>
      </c>
    </row>
    <row r="96" spans="1:15" x14ac:dyDescent="0.25">
      <c r="A96" s="101" t="str">
        <f>'Data Vlaue (Cr)'!C91</f>
        <v>HINDPETRO</v>
      </c>
      <c r="B96" s="50">
        <f>VLOOKUP($A96,'Data Vlaue (Cr)'!$C:$FB,8)</f>
        <v>418.45</v>
      </c>
      <c r="C96" s="50">
        <f>VLOOKUP($A96,'Data Vlaue (Cr)'!$C:$FB,11)*100</f>
        <v>-1.83</v>
      </c>
      <c r="D96" s="50">
        <f>VLOOKUP($A96,'Data Vlaue (Cr)'!$C:$FB,143)</f>
        <v>3026.01</v>
      </c>
      <c r="E96" s="50">
        <f>VLOOKUP($A96,'Data Vlaue (Cr)'!$C:$FB,144)</f>
        <v>5871</v>
      </c>
      <c r="F96" s="50">
        <f>VLOOKUP($A96,'Data Vlaue (Cr)'!$C:$FB,146)*100</f>
        <v>-48.46</v>
      </c>
      <c r="G96" s="49">
        <f>VLOOKUP($A96,'Data Vlaue (Cr)'!$C:$FB,43)</f>
        <v>1469</v>
      </c>
      <c r="H96" s="49">
        <f>VLOOKUP($A96,'Data Vlaue (Cr)'!$C:$FB,44)</f>
        <v>2386</v>
      </c>
      <c r="I96" s="49">
        <f>VLOOKUP($A96,'Data Vlaue (Cr)'!$C:$FB,46)*100</f>
        <v>-38.440000000000005</v>
      </c>
      <c r="J96" s="51">
        <f>VLOOKUP($A96,'Data Vlaue (Cr)'!$C:$FB,59)</f>
        <v>959</v>
      </c>
      <c r="K96" s="51">
        <f>VLOOKUP($A96,'Data Vlaue (Cr)'!$C:$FB,60)</f>
        <v>2251</v>
      </c>
      <c r="L96" s="51">
        <f>VLOOKUP($A96,'Data Vlaue (Cr)'!$C:$FB,62)*100</f>
        <v>-57.379999999999995</v>
      </c>
      <c r="M96" s="51">
        <f>VLOOKUP($A96,'Data Vlaue (Cr)'!$C:$FB,63)</f>
        <v>545</v>
      </c>
      <c r="N96" s="51">
        <f>VLOOKUP($A96,'Data Vlaue (Cr)'!$C:$FB,64)</f>
        <v>1024</v>
      </c>
      <c r="O96" s="51">
        <f>VLOOKUP($A96,'Data Vlaue (Cr)'!$C:$FB,66)*100</f>
        <v>-46.760000000000005</v>
      </c>
    </row>
    <row r="97" spans="1:15" x14ac:dyDescent="0.25">
      <c r="A97" s="101" t="str">
        <f>'Data Vlaue (Cr)'!C92</f>
        <v>HINDUNILVR</v>
      </c>
      <c r="B97" s="50">
        <f>VLOOKUP($A97,'Data Vlaue (Cr)'!$C:$FB,8)</f>
        <v>2521.1999999999998</v>
      </c>
      <c r="C97" s="50">
        <f>VLOOKUP($A97,'Data Vlaue (Cr)'!$C:$FB,11)*100</f>
        <v>3.44</v>
      </c>
      <c r="D97" s="50">
        <f>VLOOKUP($A97,'Data Vlaue (Cr)'!$C:$FB,143)</f>
        <v>28059.66</v>
      </c>
      <c r="E97" s="50">
        <f>VLOOKUP($A97,'Data Vlaue (Cr)'!$C:$FB,144)</f>
        <v>10341.86</v>
      </c>
      <c r="F97" s="50">
        <f>VLOOKUP($A97,'Data Vlaue (Cr)'!$C:$FB,146)*100</f>
        <v>171.32</v>
      </c>
      <c r="G97" s="49">
        <f>VLOOKUP($A97,'Data Vlaue (Cr)'!$C:$FB,43)</f>
        <v>3908</v>
      </c>
      <c r="H97" s="49">
        <f>VLOOKUP($A97,'Data Vlaue (Cr)'!$C:$FB,44)</f>
        <v>3521</v>
      </c>
      <c r="I97" s="49">
        <f>VLOOKUP($A97,'Data Vlaue (Cr)'!$C:$FB,46)*100</f>
        <v>11</v>
      </c>
      <c r="J97" s="51">
        <f>VLOOKUP($A97,'Data Vlaue (Cr)'!$C:$FB,59)</f>
        <v>16695</v>
      </c>
      <c r="K97" s="51">
        <f>VLOOKUP($A97,'Data Vlaue (Cr)'!$C:$FB,60)</f>
        <v>4219</v>
      </c>
      <c r="L97" s="51">
        <f>VLOOKUP($A97,'Data Vlaue (Cr)'!$C:$FB,62)*100</f>
        <v>295.67</v>
      </c>
      <c r="M97" s="51">
        <f>VLOOKUP($A97,'Data Vlaue (Cr)'!$C:$FB,63)</f>
        <v>7428</v>
      </c>
      <c r="N97" s="51">
        <f>VLOOKUP($A97,'Data Vlaue (Cr)'!$C:$FB,64)</f>
        <v>2947</v>
      </c>
      <c r="O97" s="51">
        <f>VLOOKUP($A97,'Data Vlaue (Cr)'!$C:$FB,66)*100</f>
        <v>152.07</v>
      </c>
    </row>
    <row r="98" spans="1:15" x14ac:dyDescent="0.25">
      <c r="A98" s="101" t="str">
        <f>'Data Vlaue (Cr)'!C93</f>
        <v>HINDZINC</v>
      </c>
      <c r="B98" s="50">
        <f>VLOOKUP($A98,'Data Vlaue (Cr)'!$C:$FB,8)</f>
        <v>424.05</v>
      </c>
      <c r="C98" s="50">
        <f>VLOOKUP($A98,'Data Vlaue (Cr)'!$C:$FB,11)*100</f>
        <v>-1.94</v>
      </c>
      <c r="D98" s="50">
        <f>VLOOKUP($A98,'Data Vlaue (Cr)'!$C:$FB,143)</f>
        <v>1524.31</v>
      </c>
      <c r="E98" s="50">
        <f>VLOOKUP($A98,'Data Vlaue (Cr)'!$C:$FB,144)</f>
        <v>1253.04</v>
      </c>
      <c r="F98" s="50">
        <f>VLOOKUP($A98,'Data Vlaue (Cr)'!$C:$FB,146)*100</f>
        <v>21.65</v>
      </c>
      <c r="G98" s="49">
        <f>VLOOKUP($A98,'Data Vlaue (Cr)'!$C:$FB,43)</f>
        <v>966</v>
      </c>
      <c r="H98" s="49">
        <f>VLOOKUP($A98,'Data Vlaue (Cr)'!$C:$FB,44)</f>
        <v>814</v>
      </c>
      <c r="I98" s="49">
        <f>VLOOKUP($A98,'Data Vlaue (Cr)'!$C:$FB,46)*100</f>
        <v>18.600000000000001</v>
      </c>
      <c r="J98" s="51">
        <f>VLOOKUP($A98,'Data Vlaue (Cr)'!$C:$FB,59)</f>
        <v>295</v>
      </c>
      <c r="K98" s="51">
        <f>VLOOKUP($A98,'Data Vlaue (Cr)'!$C:$FB,60)</f>
        <v>266</v>
      </c>
      <c r="L98" s="51">
        <f>VLOOKUP($A98,'Data Vlaue (Cr)'!$C:$FB,62)*100</f>
        <v>10.92</v>
      </c>
      <c r="M98" s="51">
        <f>VLOOKUP($A98,'Data Vlaue (Cr)'!$C:$FB,63)</f>
        <v>228</v>
      </c>
      <c r="N98" s="51">
        <f>VLOOKUP($A98,'Data Vlaue (Cr)'!$C:$FB,64)</f>
        <v>130</v>
      </c>
      <c r="O98" s="51">
        <f>VLOOKUP($A98,'Data Vlaue (Cr)'!$C:$FB,66)*100</f>
        <v>74.52</v>
      </c>
    </row>
    <row r="99" spans="1:15" x14ac:dyDescent="0.25">
      <c r="A99" s="101" t="str">
        <f>'Data Vlaue (Cr)'!C94</f>
        <v>HUDCO</v>
      </c>
      <c r="B99" s="50">
        <f>VLOOKUP($A99,'Data Vlaue (Cr)'!$C:$FB,8)</f>
        <v>212.27</v>
      </c>
      <c r="C99" s="50">
        <f>VLOOKUP($A99,'Data Vlaue (Cr)'!$C:$FB,11)*100</f>
        <v>-2.37</v>
      </c>
      <c r="D99" s="50">
        <f>VLOOKUP($A99,'Data Vlaue (Cr)'!$C:$FB,143)</f>
        <v>1041.3</v>
      </c>
      <c r="E99" s="50">
        <f>VLOOKUP($A99,'Data Vlaue (Cr)'!$C:$FB,144)</f>
        <v>1019.76</v>
      </c>
      <c r="F99" s="50">
        <f>VLOOKUP($A99,'Data Vlaue (Cr)'!$C:$FB,146)*100</f>
        <v>2.11</v>
      </c>
      <c r="G99" s="49">
        <f>VLOOKUP($A99,'Data Vlaue (Cr)'!$C:$FB,43)</f>
        <v>692</v>
      </c>
      <c r="H99" s="49">
        <f>VLOOKUP($A99,'Data Vlaue (Cr)'!$C:$FB,44)</f>
        <v>639</v>
      </c>
      <c r="I99" s="49">
        <f>VLOOKUP($A99,'Data Vlaue (Cr)'!$C:$FB,46)*100</f>
        <v>8.2600000000000016</v>
      </c>
      <c r="J99" s="51">
        <f>VLOOKUP($A99,'Data Vlaue (Cr)'!$C:$FB,59)</f>
        <v>208</v>
      </c>
      <c r="K99" s="51">
        <f>VLOOKUP($A99,'Data Vlaue (Cr)'!$C:$FB,60)</f>
        <v>210</v>
      </c>
      <c r="L99" s="51">
        <f>VLOOKUP($A99,'Data Vlaue (Cr)'!$C:$FB,62)*100</f>
        <v>-0.98</v>
      </c>
      <c r="M99" s="51">
        <f>VLOOKUP($A99,'Data Vlaue (Cr)'!$C:$FB,63)</f>
        <v>115</v>
      </c>
      <c r="N99" s="51">
        <f>VLOOKUP($A99,'Data Vlaue (Cr)'!$C:$FB,64)</f>
        <v>131</v>
      </c>
      <c r="O99" s="51">
        <f>VLOOKUP($A99,'Data Vlaue (Cr)'!$C:$FB,66)*100</f>
        <v>-12.5</v>
      </c>
    </row>
    <row r="100" spans="1:15" x14ac:dyDescent="0.25">
      <c r="A100" s="101" t="str">
        <f>'Data Vlaue (Cr)'!C95</f>
        <v>ICICIBANK</v>
      </c>
      <c r="B100" s="50">
        <f>VLOOKUP($A100,'Data Vlaue (Cr)'!$C:$FB,8)</f>
        <v>1481.4</v>
      </c>
      <c r="C100" s="50">
        <f>VLOOKUP($A100,'Data Vlaue (Cr)'!$C:$FB,11)*100</f>
        <v>-6.9999999999999993E-2</v>
      </c>
      <c r="D100" s="50">
        <f>VLOOKUP($A100,'Data Vlaue (Cr)'!$C:$FB,143)</f>
        <v>14704.63</v>
      </c>
      <c r="E100" s="50">
        <f>VLOOKUP($A100,'Data Vlaue (Cr)'!$C:$FB,144)</f>
        <v>12920.93</v>
      </c>
      <c r="F100" s="50">
        <f>VLOOKUP($A100,'Data Vlaue (Cr)'!$C:$FB,146)*100</f>
        <v>13.8</v>
      </c>
      <c r="G100" s="49">
        <f>VLOOKUP($A100,'Data Vlaue (Cr)'!$C:$FB,43)</f>
        <v>4631</v>
      </c>
      <c r="H100" s="49">
        <f>VLOOKUP($A100,'Data Vlaue (Cr)'!$C:$FB,44)</f>
        <v>5824</v>
      </c>
      <c r="I100" s="49">
        <f>VLOOKUP($A100,'Data Vlaue (Cr)'!$C:$FB,46)*100</f>
        <v>-20.49</v>
      </c>
      <c r="J100" s="51">
        <f>VLOOKUP($A100,'Data Vlaue (Cr)'!$C:$FB,59)</f>
        <v>5240</v>
      </c>
      <c r="K100" s="51">
        <f>VLOOKUP($A100,'Data Vlaue (Cr)'!$C:$FB,60)</f>
        <v>3858</v>
      </c>
      <c r="L100" s="51">
        <f>VLOOKUP($A100,'Data Vlaue (Cr)'!$C:$FB,62)*100</f>
        <v>35.839999999999996</v>
      </c>
      <c r="M100" s="51">
        <f>VLOOKUP($A100,'Data Vlaue (Cr)'!$C:$FB,63)</f>
        <v>4767</v>
      </c>
      <c r="N100" s="51">
        <f>VLOOKUP($A100,'Data Vlaue (Cr)'!$C:$FB,64)</f>
        <v>3197</v>
      </c>
      <c r="O100" s="51">
        <f>VLOOKUP($A100,'Data Vlaue (Cr)'!$C:$FB,66)*100</f>
        <v>49.09</v>
      </c>
    </row>
    <row r="101" spans="1:15" x14ac:dyDescent="0.25">
      <c r="A101" s="101" t="str">
        <f>'Data Vlaue (Cr)'!C96</f>
        <v>ICICIGI</v>
      </c>
      <c r="B101" s="50">
        <f>VLOOKUP($A101,'Data Vlaue (Cr)'!$C:$FB,8)</f>
        <v>1927</v>
      </c>
      <c r="C101" s="50">
        <f>VLOOKUP($A101,'Data Vlaue (Cr)'!$C:$FB,11)*100</f>
        <v>0.33999999999999997</v>
      </c>
      <c r="D101" s="50">
        <f>VLOOKUP($A101,'Data Vlaue (Cr)'!$C:$FB,143)</f>
        <v>791.41</v>
      </c>
      <c r="E101" s="50">
        <f>VLOOKUP($A101,'Data Vlaue (Cr)'!$C:$FB,144)</f>
        <v>732.67</v>
      </c>
      <c r="F101" s="50">
        <f>VLOOKUP($A101,'Data Vlaue (Cr)'!$C:$FB,146)*100</f>
        <v>8.02</v>
      </c>
      <c r="G101" s="49">
        <f>VLOOKUP($A101,'Data Vlaue (Cr)'!$C:$FB,43)</f>
        <v>506</v>
      </c>
      <c r="H101" s="49">
        <f>VLOOKUP($A101,'Data Vlaue (Cr)'!$C:$FB,44)</f>
        <v>529</v>
      </c>
      <c r="I101" s="49">
        <f>VLOOKUP($A101,'Data Vlaue (Cr)'!$C:$FB,46)*100</f>
        <v>-4.3600000000000003</v>
      </c>
      <c r="J101" s="51">
        <f>VLOOKUP($A101,'Data Vlaue (Cr)'!$C:$FB,59)</f>
        <v>184</v>
      </c>
      <c r="K101" s="51">
        <f>VLOOKUP($A101,'Data Vlaue (Cr)'!$C:$FB,60)</f>
        <v>156</v>
      </c>
      <c r="L101" s="51">
        <f>VLOOKUP($A101,'Data Vlaue (Cr)'!$C:$FB,62)*100</f>
        <v>17.919999999999998</v>
      </c>
      <c r="M101" s="51">
        <f>VLOOKUP($A101,'Data Vlaue (Cr)'!$C:$FB,63)</f>
        <v>98</v>
      </c>
      <c r="N101" s="51">
        <f>VLOOKUP($A101,'Data Vlaue (Cr)'!$C:$FB,64)</f>
        <v>47</v>
      </c>
      <c r="O101" s="51">
        <f>VLOOKUP($A101,'Data Vlaue (Cr)'!$C:$FB,66)*100</f>
        <v>108.96</v>
      </c>
    </row>
    <row r="102" spans="1:15" x14ac:dyDescent="0.25">
      <c r="A102" s="101" t="str">
        <f>'Data Vlaue (Cr)'!C97</f>
        <v>ICICIPRULI</v>
      </c>
      <c r="B102" s="50">
        <f>VLOOKUP($A102,'Data Vlaue (Cr)'!$C:$FB,8)</f>
        <v>615.95000000000005</v>
      </c>
      <c r="C102" s="50">
        <f>VLOOKUP($A102,'Data Vlaue (Cr)'!$C:$FB,11)*100</f>
        <v>-0.52</v>
      </c>
      <c r="D102" s="50">
        <f>VLOOKUP($A102,'Data Vlaue (Cr)'!$C:$FB,143)</f>
        <v>481.02</v>
      </c>
      <c r="E102" s="50">
        <f>VLOOKUP($A102,'Data Vlaue (Cr)'!$C:$FB,144)</f>
        <v>816.13</v>
      </c>
      <c r="F102" s="50">
        <f>VLOOKUP($A102,'Data Vlaue (Cr)'!$C:$FB,146)*100</f>
        <v>-41.06</v>
      </c>
      <c r="G102" s="49">
        <f>VLOOKUP($A102,'Data Vlaue (Cr)'!$C:$FB,43)</f>
        <v>219</v>
      </c>
      <c r="H102" s="49">
        <f>VLOOKUP($A102,'Data Vlaue (Cr)'!$C:$FB,44)</f>
        <v>521</v>
      </c>
      <c r="I102" s="49">
        <f>VLOOKUP($A102,'Data Vlaue (Cr)'!$C:$FB,46)*100</f>
        <v>-57.98</v>
      </c>
      <c r="J102" s="51">
        <f>VLOOKUP($A102,'Data Vlaue (Cr)'!$C:$FB,59)</f>
        <v>172</v>
      </c>
      <c r="K102" s="51">
        <f>VLOOKUP($A102,'Data Vlaue (Cr)'!$C:$FB,60)</f>
        <v>204</v>
      </c>
      <c r="L102" s="51">
        <f>VLOOKUP($A102,'Data Vlaue (Cr)'!$C:$FB,62)*100</f>
        <v>-15.47</v>
      </c>
      <c r="M102" s="51">
        <f>VLOOKUP($A102,'Data Vlaue (Cr)'!$C:$FB,63)</f>
        <v>78</v>
      </c>
      <c r="N102" s="51">
        <f>VLOOKUP($A102,'Data Vlaue (Cr)'!$C:$FB,64)</f>
        <v>78</v>
      </c>
      <c r="O102" s="51">
        <f>VLOOKUP($A102,'Data Vlaue (Cr)'!$C:$FB,66)*100</f>
        <v>0.88</v>
      </c>
    </row>
    <row r="103" spans="1:15" x14ac:dyDescent="0.25">
      <c r="A103" s="101" t="str">
        <f>'Data Vlaue (Cr)'!C98</f>
        <v>IDEA</v>
      </c>
      <c r="B103" s="50">
        <f>VLOOKUP($A103,'Data Vlaue (Cr)'!$C:$FB,8)</f>
        <v>6.91</v>
      </c>
      <c r="C103" s="50">
        <f>VLOOKUP($A103,'Data Vlaue (Cr)'!$C:$FB,11)*100</f>
        <v>-1.29</v>
      </c>
      <c r="D103" s="50">
        <f>VLOOKUP($A103,'Data Vlaue (Cr)'!$C:$FB,143)</f>
        <v>2039.48</v>
      </c>
      <c r="E103" s="50">
        <f>VLOOKUP($A103,'Data Vlaue (Cr)'!$C:$FB,144)</f>
        <v>2774.07</v>
      </c>
      <c r="F103" s="50">
        <f>VLOOKUP($A103,'Data Vlaue (Cr)'!$C:$FB,146)*100</f>
        <v>-26.479999999999997</v>
      </c>
      <c r="G103" s="49">
        <f>VLOOKUP($A103,'Data Vlaue (Cr)'!$C:$FB,43)</f>
        <v>1516</v>
      </c>
      <c r="H103" s="49">
        <f>VLOOKUP($A103,'Data Vlaue (Cr)'!$C:$FB,44)</f>
        <v>2151</v>
      </c>
      <c r="I103" s="49">
        <f>VLOOKUP($A103,'Data Vlaue (Cr)'!$C:$FB,46)*100</f>
        <v>-29.5</v>
      </c>
      <c r="J103" s="51">
        <f>VLOOKUP($A103,'Data Vlaue (Cr)'!$C:$FB,59)</f>
        <v>171</v>
      </c>
      <c r="K103" s="51">
        <f>VLOOKUP($A103,'Data Vlaue (Cr)'!$C:$FB,60)</f>
        <v>337</v>
      </c>
      <c r="L103" s="51">
        <f>VLOOKUP($A103,'Data Vlaue (Cr)'!$C:$FB,62)*100</f>
        <v>-49.2</v>
      </c>
      <c r="M103" s="51">
        <f>VLOOKUP($A103,'Data Vlaue (Cr)'!$C:$FB,63)</f>
        <v>296</v>
      </c>
      <c r="N103" s="51">
        <f>VLOOKUP($A103,'Data Vlaue (Cr)'!$C:$FB,64)</f>
        <v>174</v>
      </c>
      <c r="O103" s="51">
        <f>VLOOKUP($A103,'Data Vlaue (Cr)'!$C:$FB,66)*100</f>
        <v>69.789999999999992</v>
      </c>
    </row>
    <row r="104" spans="1:15" x14ac:dyDescent="0.25">
      <c r="A104" s="101" t="str">
        <f>'Data Vlaue (Cr)'!C99</f>
        <v>IDFCFIRSTB</v>
      </c>
      <c r="B104" s="50">
        <f>VLOOKUP($A104,'Data Vlaue (Cr)'!$C:$FB,8)</f>
        <v>68.760000000000005</v>
      </c>
      <c r="C104" s="50">
        <f>VLOOKUP($A104,'Data Vlaue (Cr)'!$C:$FB,11)*100</f>
        <v>-0.69</v>
      </c>
      <c r="D104" s="50">
        <f>VLOOKUP($A104,'Data Vlaue (Cr)'!$C:$FB,143)</f>
        <v>1921.45</v>
      </c>
      <c r="E104" s="50">
        <f>VLOOKUP($A104,'Data Vlaue (Cr)'!$C:$FB,144)</f>
        <v>2299.91</v>
      </c>
      <c r="F104" s="50">
        <f>VLOOKUP($A104,'Data Vlaue (Cr)'!$C:$FB,146)*100</f>
        <v>-16.46</v>
      </c>
      <c r="G104" s="49">
        <f>VLOOKUP($A104,'Data Vlaue (Cr)'!$C:$FB,43)</f>
        <v>1089</v>
      </c>
      <c r="H104" s="49">
        <f>VLOOKUP($A104,'Data Vlaue (Cr)'!$C:$FB,44)</f>
        <v>1177</v>
      </c>
      <c r="I104" s="49">
        <f>VLOOKUP($A104,'Data Vlaue (Cr)'!$C:$FB,46)*100</f>
        <v>-7.51</v>
      </c>
      <c r="J104" s="51">
        <f>VLOOKUP($A104,'Data Vlaue (Cr)'!$C:$FB,59)</f>
        <v>384</v>
      </c>
      <c r="K104" s="51">
        <f>VLOOKUP($A104,'Data Vlaue (Cr)'!$C:$FB,60)</f>
        <v>520</v>
      </c>
      <c r="L104" s="51">
        <f>VLOOKUP($A104,'Data Vlaue (Cr)'!$C:$FB,62)*100</f>
        <v>-26.029999999999998</v>
      </c>
      <c r="M104" s="51">
        <f>VLOOKUP($A104,'Data Vlaue (Cr)'!$C:$FB,63)</f>
        <v>405</v>
      </c>
      <c r="N104" s="51">
        <f>VLOOKUP($A104,'Data Vlaue (Cr)'!$C:$FB,64)</f>
        <v>533</v>
      </c>
      <c r="O104" s="51">
        <f>VLOOKUP($A104,'Data Vlaue (Cr)'!$C:$FB,66)*100</f>
        <v>-24.01</v>
      </c>
    </row>
    <row r="105" spans="1:15" x14ac:dyDescent="0.25">
      <c r="A105" s="101" t="str">
        <f>'Data Vlaue (Cr)'!C100</f>
        <v>IEX</v>
      </c>
      <c r="B105" s="50">
        <f>VLOOKUP($A105,'Data Vlaue (Cr)'!$C:$FB,8)</f>
        <v>135.30000000000001</v>
      </c>
      <c r="C105" s="50">
        <f>VLOOKUP($A105,'Data Vlaue (Cr)'!$C:$FB,11)*100</f>
        <v>-0.54999999999999993</v>
      </c>
      <c r="D105" s="50">
        <f>VLOOKUP($A105,'Data Vlaue (Cr)'!$C:$FB,143)</f>
        <v>1973.06</v>
      </c>
      <c r="E105" s="50">
        <f>VLOOKUP($A105,'Data Vlaue (Cr)'!$C:$FB,144)</f>
        <v>2117.09</v>
      </c>
      <c r="F105" s="50">
        <f>VLOOKUP($A105,'Data Vlaue (Cr)'!$C:$FB,146)*100</f>
        <v>-6.8000000000000007</v>
      </c>
      <c r="G105" s="49">
        <f>VLOOKUP($A105,'Data Vlaue (Cr)'!$C:$FB,43)</f>
        <v>628</v>
      </c>
      <c r="H105" s="49">
        <f>VLOOKUP($A105,'Data Vlaue (Cr)'!$C:$FB,44)</f>
        <v>523</v>
      </c>
      <c r="I105" s="49">
        <f>VLOOKUP($A105,'Data Vlaue (Cr)'!$C:$FB,46)*100</f>
        <v>20.07</v>
      </c>
      <c r="J105" s="51">
        <f>VLOOKUP($A105,'Data Vlaue (Cr)'!$C:$FB,59)</f>
        <v>766</v>
      </c>
      <c r="K105" s="51">
        <f>VLOOKUP($A105,'Data Vlaue (Cr)'!$C:$FB,60)</f>
        <v>912</v>
      </c>
      <c r="L105" s="51">
        <f>VLOOKUP($A105,'Data Vlaue (Cr)'!$C:$FB,62)*100</f>
        <v>-15.939999999999998</v>
      </c>
      <c r="M105" s="51">
        <f>VLOOKUP($A105,'Data Vlaue (Cr)'!$C:$FB,63)</f>
        <v>416</v>
      </c>
      <c r="N105" s="51">
        <f>VLOOKUP($A105,'Data Vlaue (Cr)'!$C:$FB,64)</f>
        <v>547</v>
      </c>
      <c r="O105" s="51">
        <f>VLOOKUP($A105,'Data Vlaue (Cr)'!$C:$FB,66)*100</f>
        <v>-23.849999999999998</v>
      </c>
    </row>
    <row r="106" spans="1:15" x14ac:dyDescent="0.25">
      <c r="A106" s="101" t="str">
        <f>'Data Vlaue (Cr)'!C101</f>
        <v>IGL</v>
      </c>
      <c r="B106" s="50">
        <f>VLOOKUP($A106,'Data Vlaue (Cr)'!$C:$FB,8)</f>
        <v>205.05</v>
      </c>
      <c r="C106" s="50">
        <f>VLOOKUP($A106,'Data Vlaue (Cr)'!$C:$FB,11)*100</f>
        <v>0.92999999999999994</v>
      </c>
      <c r="D106" s="50">
        <f>VLOOKUP($A106,'Data Vlaue (Cr)'!$C:$FB,143)</f>
        <v>1366.31</v>
      </c>
      <c r="E106" s="50">
        <f>VLOOKUP($A106,'Data Vlaue (Cr)'!$C:$FB,144)</f>
        <v>964.68</v>
      </c>
      <c r="F106" s="50">
        <f>VLOOKUP($A106,'Data Vlaue (Cr)'!$C:$FB,146)*100</f>
        <v>41.63</v>
      </c>
      <c r="G106" s="49">
        <f>VLOOKUP($A106,'Data Vlaue (Cr)'!$C:$FB,43)</f>
        <v>513</v>
      </c>
      <c r="H106" s="49">
        <f>VLOOKUP($A106,'Data Vlaue (Cr)'!$C:$FB,44)</f>
        <v>326</v>
      </c>
      <c r="I106" s="49">
        <f>VLOOKUP($A106,'Data Vlaue (Cr)'!$C:$FB,46)*100</f>
        <v>57.19</v>
      </c>
      <c r="J106" s="51">
        <f>VLOOKUP($A106,'Data Vlaue (Cr)'!$C:$FB,59)</f>
        <v>539</v>
      </c>
      <c r="K106" s="51">
        <f>VLOOKUP($A106,'Data Vlaue (Cr)'!$C:$FB,60)</f>
        <v>361</v>
      </c>
      <c r="L106" s="51">
        <f>VLOOKUP($A106,'Data Vlaue (Cr)'!$C:$FB,62)*100</f>
        <v>49.08</v>
      </c>
      <c r="M106" s="51">
        <f>VLOOKUP($A106,'Data Vlaue (Cr)'!$C:$FB,63)</f>
        <v>277</v>
      </c>
      <c r="N106" s="51">
        <f>VLOOKUP($A106,'Data Vlaue (Cr)'!$C:$FB,64)</f>
        <v>257</v>
      </c>
      <c r="O106" s="51">
        <f>VLOOKUP($A106,'Data Vlaue (Cr)'!$C:$FB,66)*100</f>
        <v>7.6899999999999995</v>
      </c>
    </row>
    <row r="107" spans="1:15" x14ac:dyDescent="0.25">
      <c r="A107" s="101" t="str">
        <f>'Data Vlaue (Cr)'!C102</f>
        <v>IIFL</v>
      </c>
      <c r="B107" s="50">
        <f>VLOOKUP($A107,'Data Vlaue (Cr)'!$C:$FB,8)</f>
        <v>477.95</v>
      </c>
      <c r="C107" s="50">
        <f>VLOOKUP($A107,'Data Vlaue (Cr)'!$C:$FB,11)*100</f>
        <v>-5.1400000000000006</v>
      </c>
      <c r="D107" s="50">
        <f>VLOOKUP($A107,'Data Vlaue (Cr)'!$C:$FB,143)</f>
        <v>1505.73</v>
      </c>
      <c r="E107" s="50">
        <f>VLOOKUP($A107,'Data Vlaue (Cr)'!$C:$FB,144)</f>
        <v>943.33</v>
      </c>
      <c r="F107" s="50">
        <f>VLOOKUP($A107,'Data Vlaue (Cr)'!$C:$FB,146)*100</f>
        <v>59.62</v>
      </c>
      <c r="G107" s="49">
        <f>VLOOKUP($A107,'Data Vlaue (Cr)'!$C:$FB,43)</f>
        <v>685</v>
      </c>
      <c r="H107" s="49">
        <f>VLOOKUP($A107,'Data Vlaue (Cr)'!$C:$FB,44)</f>
        <v>485</v>
      </c>
      <c r="I107" s="49">
        <f>VLOOKUP($A107,'Data Vlaue (Cr)'!$C:$FB,46)*100</f>
        <v>41.38</v>
      </c>
      <c r="J107" s="51">
        <f>VLOOKUP($A107,'Data Vlaue (Cr)'!$C:$FB,59)</f>
        <v>401</v>
      </c>
      <c r="K107" s="51">
        <f>VLOOKUP($A107,'Data Vlaue (Cr)'!$C:$FB,60)</f>
        <v>230</v>
      </c>
      <c r="L107" s="51">
        <f>VLOOKUP($A107,'Data Vlaue (Cr)'!$C:$FB,62)*100</f>
        <v>73.900000000000006</v>
      </c>
      <c r="M107" s="51">
        <f>VLOOKUP($A107,'Data Vlaue (Cr)'!$C:$FB,63)</f>
        <v>355</v>
      </c>
      <c r="N107" s="51">
        <f>VLOOKUP($A107,'Data Vlaue (Cr)'!$C:$FB,64)</f>
        <v>165</v>
      </c>
      <c r="O107" s="51">
        <f>VLOOKUP($A107,'Data Vlaue (Cr)'!$C:$FB,66)*100</f>
        <v>115.31</v>
      </c>
    </row>
    <row r="108" spans="1:15" x14ac:dyDescent="0.25">
      <c r="A108" s="101" t="str">
        <f>'Data Vlaue (Cr)'!C103</f>
        <v>INDHOTEL</v>
      </c>
      <c r="B108" s="50">
        <f>VLOOKUP($A108,'Data Vlaue (Cr)'!$C:$FB,8)</f>
        <v>740.75</v>
      </c>
      <c r="C108" s="50">
        <f>VLOOKUP($A108,'Data Vlaue (Cr)'!$C:$FB,11)*100</f>
        <v>-0.55999999999999994</v>
      </c>
      <c r="D108" s="50">
        <f>VLOOKUP($A108,'Data Vlaue (Cr)'!$C:$FB,143)</f>
        <v>1843.66</v>
      </c>
      <c r="E108" s="50">
        <f>VLOOKUP($A108,'Data Vlaue (Cr)'!$C:$FB,144)</f>
        <v>1795.65</v>
      </c>
      <c r="F108" s="50">
        <f>VLOOKUP($A108,'Data Vlaue (Cr)'!$C:$FB,146)*100</f>
        <v>2.67</v>
      </c>
      <c r="G108" s="49">
        <f>VLOOKUP($A108,'Data Vlaue (Cr)'!$C:$FB,43)</f>
        <v>1079</v>
      </c>
      <c r="H108" s="49">
        <f>VLOOKUP($A108,'Data Vlaue (Cr)'!$C:$FB,44)</f>
        <v>911</v>
      </c>
      <c r="I108" s="49">
        <f>VLOOKUP($A108,'Data Vlaue (Cr)'!$C:$FB,46)*100</f>
        <v>18.399999999999999</v>
      </c>
      <c r="J108" s="51">
        <f>VLOOKUP($A108,'Data Vlaue (Cr)'!$C:$FB,59)</f>
        <v>424</v>
      </c>
      <c r="K108" s="51">
        <f>VLOOKUP($A108,'Data Vlaue (Cr)'!$C:$FB,60)</f>
        <v>612</v>
      </c>
      <c r="L108" s="51">
        <f>VLOOKUP($A108,'Data Vlaue (Cr)'!$C:$FB,62)*100</f>
        <v>-30.669999999999998</v>
      </c>
      <c r="M108" s="51">
        <f>VLOOKUP($A108,'Data Vlaue (Cr)'!$C:$FB,63)</f>
        <v>317</v>
      </c>
      <c r="N108" s="51">
        <f>VLOOKUP($A108,'Data Vlaue (Cr)'!$C:$FB,64)</f>
        <v>233</v>
      </c>
      <c r="O108" s="51">
        <f>VLOOKUP($A108,'Data Vlaue (Cr)'!$C:$FB,66)*100</f>
        <v>36.03</v>
      </c>
    </row>
    <row r="109" spans="1:15" x14ac:dyDescent="0.25">
      <c r="A109" s="101" t="str">
        <f>'Data Vlaue (Cr)'!C104</f>
        <v>INDIANB</v>
      </c>
      <c r="B109" s="50">
        <f>VLOOKUP($A109,'Data Vlaue (Cr)'!$C:$FB,8)</f>
        <v>621.70000000000005</v>
      </c>
      <c r="C109" s="50">
        <f>VLOOKUP($A109,'Data Vlaue (Cr)'!$C:$FB,11)*100</f>
        <v>1.1599999999999999</v>
      </c>
      <c r="D109" s="50">
        <f>VLOOKUP($A109,'Data Vlaue (Cr)'!$C:$FB,143)</f>
        <v>462.53</v>
      </c>
      <c r="E109" s="50">
        <f>VLOOKUP($A109,'Data Vlaue (Cr)'!$C:$FB,144)</f>
        <v>620.47</v>
      </c>
      <c r="F109" s="50">
        <f>VLOOKUP($A109,'Data Vlaue (Cr)'!$C:$FB,146)*100</f>
        <v>-25.46</v>
      </c>
      <c r="G109" s="49">
        <f>VLOOKUP($A109,'Data Vlaue (Cr)'!$C:$FB,43)</f>
        <v>266</v>
      </c>
      <c r="H109" s="49">
        <f>VLOOKUP($A109,'Data Vlaue (Cr)'!$C:$FB,44)</f>
        <v>341</v>
      </c>
      <c r="I109" s="49">
        <f>VLOOKUP($A109,'Data Vlaue (Cr)'!$C:$FB,46)*100</f>
        <v>-22.18</v>
      </c>
      <c r="J109" s="51">
        <f>VLOOKUP($A109,'Data Vlaue (Cr)'!$C:$FB,59)</f>
        <v>118</v>
      </c>
      <c r="K109" s="51">
        <f>VLOOKUP($A109,'Data Vlaue (Cr)'!$C:$FB,60)</f>
        <v>183</v>
      </c>
      <c r="L109" s="51">
        <f>VLOOKUP($A109,'Data Vlaue (Cr)'!$C:$FB,62)*100</f>
        <v>-35.589999999999996</v>
      </c>
      <c r="M109" s="51">
        <f>VLOOKUP($A109,'Data Vlaue (Cr)'!$C:$FB,63)</f>
        <v>76</v>
      </c>
      <c r="N109" s="51">
        <f>VLOOKUP($A109,'Data Vlaue (Cr)'!$C:$FB,64)</f>
        <v>88</v>
      </c>
      <c r="O109" s="51">
        <f>VLOOKUP($A109,'Data Vlaue (Cr)'!$C:$FB,66)*100</f>
        <v>-13.370000000000001</v>
      </c>
    </row>
    <row r="110" spans="1:15" x14ac:dyDescent="0.25">
      <c r="A110" s="101" t="str">
        <f>'Data Vlaue (Cr)'!C105</f>
        <v>INDIAVIX</v>
      </c>
      <c r="B110" s="50">
        <f>VLOOKUP($A110,'Data Vlaue (Cr)'!$C:$FB,8)</f>
        <v>11.54</v>
      </c>
      <c r="C110" s="50">
        <f>VLOOKUP($A110,'Data Vlaue (Cr)'!$C:$FB,11)*100</f>
        <v>2.97</v>
      </c>
      <c r="D110" s="50">
        <f>VLOOKUP($A110,'Data Vlaue (Cr)'!$C:$FB,143)</f>
        <v>0</v>
      </c>
      <c r="E110" s="50">
        <f>VLOOKUP($A110,'Data Vlaue (Cr)'!$C:$FB,144)</f>
        <v>0</v>
      </c>
      <c r="F110" s="50">
        <f>VLOOKUP($A110,'Data Vlaue (Cr)'!$C:$FB,146)*100</f>
        <v>0</v>
      </c>
      <c r="G110" s="49">
        <f>VLOOKUP($A110,'Data Vlaue (Cr)'!$C:$FB,43)</f>
        <v>0</v>
      </c>
      <c r="H110" s="49">
        <f>VLOOKUP($A110,'Data Vlaue (Cr)'!$C:$FB,44)</f>
        <v>0</v>
      </c>
      <c r="I110" s="49">
        <f>VLOOKUP($A110,'Data Vlaue (Cr)'!$C:$FB,46)*100</f>
        <v>0</v>
      </c>
      <c r="J110" s="51">
        <f>VLOOKUP($A110,'Data Vlaue (Cr)'!$C:$FB,59)</f>
        <v>0</v>
      </c>
      <c r="K110" s="51">
        <f>VLOOKUP($A110,'Data Vlaue (Cr)'!$C:$FB,60)</f>
        <v>0</v>
      </c>
      <c r="L110" s="51">
        <f>VLOOKUP($A110,'Data Vlaue (Cr)'!$C:$FB,62)*100</f>
        <v>0</v>
      </c>
      <c r="M110" s="51">
        <f>VLOOKUP($A110,'Data Vlaue (Cr)'!$C:$FB,63)</f>
        <v>0</v>
      </c>
      <c r="N110" s="51">
        <f>VLOOKUP($A110,'Data Vlaue (Cr)'!$C:$FB,64)</f>
        <v>0</v>
      </c>
      <c r="O110" s="51">
        <f>VLOOKUP($A110,'Data Vlaue (Cr)'!$C:$FB,66)*100</f>
        <v>0</v>
      </c>
    </row>
    <row r="111" spans="1:15" x14ac:dyDescent="0.25">
      <c r="A111" s="101" t="str">
        <f>'Data Vlaue (Cr)'!C106</f>
        <v>INDIGO</v>
      </c>
      <c r="B111" s="50">
        <f>VLOOKUP($A111,'Data Vlaue (Cr)'!$C:$FB,8)</f>
        <v>5910.5</v>
      </c>
      <c r="C111" s="50">
        <f>VLOOKUP($A111,'Data Vlaue (Cr)'!$C:$FB,11)*100</f>
        <v>2.97</v>
      </c>
      <c r="D111" s="50">
        <f>VLOOKUP($A111,'Data Vlaue (Cr)'!$C:$FB,143)</f>
        <v>16650.8</v>
      </c>
      <c r="E111" s="50">
        <f>VLOOKUP($A111,'Data Vlaue (Cr)'!$C:$FB,144)</f>
        <v>11159.48</v>
      </c>
      <c r="F111" s="50">
        <f>VLOOKUP($A111,'Data Vlaue (Cr)'!$C:$FB,146)*100</f>
        <v>49.21</v>
      </c>
      <c r="G111" s="49">
        <f>VLOOKUP($A111,'Data Vlaue (Cr)'!$C:$FB,43)</f>
        <v>3784</v>
      </c>
      <c r="H111" s="49">
        <f>VLOOKUP($A111,'Data Vlaue (Cr)'!$C:$FB,44)</f>
        <v>2942</v>
      </c>
      <c r="I111" s="49">
        <f>VLOOKUP($A111,'Data Vlaue (Cr)'!$C:$FB,46)*100</f>
        <v>28.63</v>
      </c>
      <c r="J111" s="51">
        <f>VLOOKUP($A111,'Data Vlaue (Cr)'!$C:$FB,59)</f>
        <v>6442</v>
      </c>
      <c r="K111" s="51">
        <f>VLOOKUP($A111,'Data Vlaue (Cr)'!$C:$FB,60)</f>
        <v>4580</v>
      </c>
      <c r="L111" s="51">
        <f>VLOOKUP($A111,'Data Vlaue (Cr)'!$C:$FB,62)*100</f>
        <v>40.65</v>
      </c>
      <c r="M111" s="51">
        <f>VLOOKUP($A111,'Data Vlaue (Cr)'!$C:$FB,63)</f>
        <v>6541</v>
      </c>
      <c r="N111" s="51">
        <f>VLOOKUP($A111,'Data Vlaue (Cr)'!$C:$FB,64)</f>
        <v>3778</v>
      </c>
      <c r="O111" s="51">
        <f>VLOOKUP($A111,'Data Vlaue (Cr)'!$C:$FB,66)*100</f>
        <v>73.16</v>
      </c>
    </row>
    <row r="112" spans="1:15" x14ac:dyDescent="0.25">
      <c r="A112" s="101" t="str">
        <f>'Data Vlaue (Cr)'!C107</f>
        <v>INDUSINDBK</v>
      </c>
      <c r="B112" s="50">
        <f>VLOOKUP($A112,'Data Vlaue (Cr)'!$C:$FB,8)</f>
        <v>798.9</v>
      </c>
      <c r="C112" s="50">
        <f>VLOOKUP($A112,'Data Vlaue (Cr)'!$C:$FB,11)*100</f>
        <v>-0.37</v>
      </c>
      <c r="D112" s="50">
        <f>VLOOKUP($A112,'Data Vlaue (Cr)'!$C:$FB,143)</f>
        <v>4368.7299999999996</v>
      </c>
      <c r="E112" s="50">
        <f>VLOOKUP($A112,'Data Vlaue (Cr)'!$C:$FB,144)</f>
        <v>5095.46</v>
      </c>
      <c r="F112" s="50">
        <f>VLOOKUP($A112,'Data Vlaue (Cr)'!$C:$FB,146)*100</f>
        <v>-14.26</v>
      </c>
      <c r="G112" s="49">
        <f>VLOOKUP($A112,'Data Vlaue (Cr)'!$C:$FB,43)</f>
        <v>2137</v>
      </c>
      <c r="H112" s="49">
        <f>VLOOKUP($A112,'Data Vlaue (Cr)'!$C:$FB,44)</f>
        <v>1654</v>
      </c>
      <c r="I112" s="49">
        <f>VLOOKUP($A112,'Data Vlaue (Cr)'!$C:$FB,46)*100</f>
        <v>29.2</v>
      </c>
      <c r="J112" s="51">
        <f>VLOOKUP($A112,'Data Vlaue (Cr)'!$C:$FB,59)</f>
        <v>1219</v>
      </c>
      <c r="K112" s="51">
        <f>VLOOKUP($A112,'Data Vlaue (Cr)'!$C:$FB,60)</f>
        <v>1841</v>
      </c>
      <c r="L112" s="51">
        <f>VLOOKUP($A112,'Data Vlaue (Cr)'!$C:$FB,62)*100</f>
        <v>-33.83</v>
      </c>
      <c r="M112" s="51">
        <f>VLOOKUP($A112,'Data Vlaue (Cr)'!$C:$FB,63)</f>
        <v>946</v>
      </c>
      <c r="N112" s="51">
        <f>VLOOKUP($A112,'Data Vlaue (Cr)'!$C:$FB,64)</f>
        <v>1471</v>
      </c>
      <c r="O112" s="51">
        <f>VLOOKUP($A112,'Data Vlaue (Cr)'!$C:$FB,66)*100</f>
        <v>-35.67</v>
      </c>
    </row>
    <row r="113" spans="1:15" x14ac:dyDescent="0.25">
      <c r="A113" s="101" t="str">
        <f>'Data Vlaue (Cr)'!C108</f>
        <v>INDUSTOWER</v>
      </c>
      <c r="B113" s="50">
        <f>VLOOKUP($A113,'Data Vlaue (Cr)'!$C:$FB,8)</f>
        <v>363</v>
      </c>
      <c r="C113" s="50">
        <f>VLOOKUP($A113,'Data Vlaue (Cr)'!$C:$FB,11)*100</f>
        <v>-5.42</v>
      </c>
      <c r="D113" s="50">
        <f>VLOOKUP($A113,'Data Vlaue (Cr)'!$C:$FB,143)</f>
        <v>4571.62</v>
      </c>
      <c r="E113" s="50">
        <f>VLOOKUP($A113,'Data Vlaue (Cr)'!$C:$FB,144)</f>
        <v>2009.24</v>
      </c>
      <c r="F113" s="50">
        <f>VLOOKUP($A113,'Data Vlaue (Cr)'!$C:$FB,146)*100</f>
        <v>127.53000000000002</v>
      </c>
      <c r="G113" s="49">
        <f>VLOOKUP($A113,'Data Vlaue (Cr)'!$C:$FB,43)</f>
        <v>1774</v>
      </c>
      <c r="H113" s="49">
        <f>VLOOKUP($A113,'Data Vlaue (Cr)'!$C:$FB,44)</f>
        <v>894</v>
      </c>
      <c r="I113" s="49">
        <f>VLOOKUP($A113,'Data Vlaue (Cr)'!$C:$FB,46)*100</f>
        <v>98.350000000000009</v>
      </c>
      <c r="J113" s="51">
        <f>VLOOKUP($A113,'Data Vlaue (Cr)'!$C:$FB,59)</f>
        <v>1439</v>
      </c>
      <c r="K113" s="51">
        <f>VLOOKUP($A113,'Data Vlaue (Cr)'!$C:$FB,60)</f>
        <v>590</v>
      </c>
      <c r="L113" s="51">
        <f>VLOOKUP($A113,'Data Vlaue (Cr)'!$C:$FB,62)*100</f>
        <v>143.78</v>
      </c>
      <c r="M113" s="51">
        <f>VLOOKUP($A113,'Data Vlaue (Cr)'!$C:$FB,63)</f>
        <v>1179</v>
      </c>
      <c r="N113" s="51">
        <f>VLOOKUP($A113,'Data Vlaue (Cr)'!$C:$FB,64)</f>
        <v>370</v>
      </c>
      <c r="O113" s="51">
        <f>VLOOKUP($A113,'Data Vlaue (Cr)'!$C:$FB,66)*100</f>
        <v>218.95</v>
      </c>
    </row>
    <row r="114" spans="1:15" x14ac:dyDescent="0.25">
      <c r="A114" s="101" t="str">
        <f>'Data Vlaue (Cr)'!C109</f>
        <v>INFY</v>
      </c>
      <c r="B114" s="50">
        <f>VLOOKUP($A114,'Data Vlaue (Cr)'!$C:$FB,8)</f>
        <v>1509</v>
      </c>
      <c r="C114" s="50">
        <f>VLOOKUP($A114,'Data Vlaue (Cr)'!$C:$FB,11)*100</f>
        <v>-0.66</v>
      </c>
      <c r="D114" s="50">
        <f>VLOOKUP($A114,'Data Vlaue (Cr)'!$C:$FB,143)</f>
        <v>10906.14</v>
      </c>
      <c r="E114" s="50">
        <f>VLOOKUP($A114,'Data Vlaue (Cr)'!$C:$FB,144)</f>
        <v>9560.6</v>
      </c>
      <c r="F114" s="50">
        <f>VLOOKUP($A114,'Data Vlaue (Cr)'!$C:$FB,146)*100</f>
        <v>14.069999999999999</v>
      </c>
      <c r="G114" s="49">
        <f>VLOOKUP($A114,'Data Vlaue (Cr)'!$C:$FB,43)</f>
        <v>5223</v>
      </c>
      <c r="H114" s="49">
        <f>VLOOKUP($A114,'Data Vlaue (Cr)'!$C:$FB,44)</f>
        <v>4508</v>
      </c>
      <c r="I114" s="49">
        <f>VLOOKUP($A114,'Data Vlaue (Cr)'!$C:$FB,46)*100</f>
        <v>15.870000000000001</v>
      </c>
      <c r="J114" s="51">
        <f>VLOOKUP($A114,'Data Vlaue (Cr)'!$C:$FB,59)</f>
        <v>3533</v>
      </c>
      <c r="K114" s="51">
        <f>VLOOKUP($A114,'Data Vlaue (Cr)'!$C:$FB,60)</f>
        <v>3245</v>
      </c>
      <c r="L114" s="51">
        <f>VLOOKUP($A114,'Data Vlaue (Cr)'!$C:$FB,62)*100</f>
        <v>8.86</v>
      </c>
      <c r="M114" s="51">
        <f>VLOOKUP($A114,'Data Vlaue (Cr)'!$C:$FB,63)</f>
        <v>1996</v>
      </c>
      <c r="N114" s="51">
        <f>VLOOKUP($A114,'Data Vlaue (Cr)'!$C:$FB,64)</f>
        <v>1663</v>
      </c>
      <c r="O114" s="51">
        <f>VLOOKUP($A114,'Data Vlaue (Cr)'!$C:$FB,66)*100</f>
        <v>20.080000000000002</v>
      </c>
    </row>
    <row r="115" spans="1:15" x14ac:dyDescent="0.25">
      <c r="A115" s="101" t="str">
        <f>'Data Vlaue (Cr)'!C110</f>
        <v>INOXWIND</v>
      </c>
      <c r="B115" s="50">
        <f>VLOOKUP($A115,'Data Vlaue (Cr)'!$C:$FB,8)</f>
        <v>150.74</v>
      </c>
      <c r="C115" s="50">
        <f>VLOOKUP($A115,'Data Vlaue (Cr)'!$C:$FB,11)*100</f>
        <v>-3.46</v>
      </c>
      <c r="D115" s="50">
        <f>VLOOKUP($A115,'Data Vlaue (Cr)'!$C:$FB,143)</f>
        <v>646.80999999999995</v>
      </c>
      <c r="E115" s="50">
        <f>VLOOKUP($A115,'Data Vlaue (Cr)'!$C:$FB,144)</f>
        <v>376.48</v>
      </c>
      <c r="F115" s="50">
        <f>VLOOKUP($A115,'Data Vlaue (Cr)'!$C:$FB,146)*100</f>
        <v>71.81</v>
      </c>
      <c r="G115" s="49">
        <f>VLOOKUP($A115,'Data Vlaue (Cr)'!$C:$FB,43)</f>
        <v>492</v>
      </c>
      <c r="H115" s="49">
        <f>VLOOKUP($A115,'Data Vlaue (Cr)'!$C:$FB,44)</f>
        <v>273</v>
      </c>
      <c r="I115" s="49">
        <f>VLOOKUP($A115,'Data Vlaue (Cr)'!$C:$FB,46)*100</f>
        <v>79.95</v>
      </c>
      <c r="J115" s="51">
        <f>VLOOKUP($A115,'Data Vlaue (Cr)'!$C:$FB,59)</f>
        <v>71</v>
      </c>
      <c r="K115" s="51">
        <f>VLOOKUP($A115,'Data Vlaue (Cr)'!$C:$FB,60)</f>
        <v>43</v>
      </c>
      <c r="L115" s="51">
        <f>VLOOKUP($A115,'Data Vlaue (Cr)'!$C:$FB,62)*100</f>
        <v>64.13</v>
      </c>
      <c r="M115" s="51">
        <f>VLOOKUP($A115,'Data Vlaue (Cr)'!$C:$FB,63)</f>
        <v>67</v>
      </c>
      <c r="N115" s="51">
        <f>VLOOKUP($A115,'Data Vlaue (Cr)'!$C:$FB,64)</f>
        <v>39</v>
      </c>
      <c r="O115" s="51">
        <f>VLOOKUP($A115,'Data Vlaue (Cr)'!$C:$FB,66)*100</f>
        <v>70.53</v>
      </c>
    </row>
    <row r="116" spans="1:15" x14ac:dyDescent="0.25">
      <c r="A116" s="101" t="str">
        <f>'Data Vlaue (Cr)'!C111</f>
        <v>IOC</v>
      </c>
      <c r="B116" s="50">
        <f>VLOOKUP($A116,'Data Vlaue (Cr)'!$C:$FB,8)</f>
        <v>145.62</v>
      </c>
      <c r="C116" s="50">
        <f>VLOOKUP($A116,'Data Vlaue (Cr)'!$C:$FB,11)*100</f>
        <v>-2.29</v>
      </c>
      <c r="D116" s="50">
        <f>VLOOKUP($A116,'Data Vlaue (Cr)'!$C:$FB,143)</f>
        <v>3009.11</v>
      </c>
      <c r="E116" s="50">
        <f>VLOOKUP($A116,'Data Vlaue (Cr)'!$C:$FB,144)</f>
        <v>3405.99</v>
      </c>
      <c r="F116" s="50">
        <f>VLOOKUP($A116,'Data Vlaue (Cr)'!$C:$FB,146)*100</f>
        <v>-11.65</v>
      </c>
      <c r="G116" s="49">
        <f>VLOOKUP($A116,'Data Vlaue (Cr)'!$C:$FB,43)</f>
        <v>897</v>
      </c>
      <c r="H116" s="49">
        <f>VLOOKUP($A116,'Data Vlaue (Cr)'!$C:$FB,44)</f>
        <v>949</v>
      </c>
      <c r="I116" s="49">
        <f>VLOOKUP($A116,'Data Vlaue (Cr)'!$C:$FB,46)*100</f>
        <v>-5.46</v>
      </c>
      <c r="J116" s="51">
        <f>VLOOKUP($A116,'Data Vlaue (Cr)'!$C:$FB,59)</f>
        <v>939</v>
      </c>
      <c r="K116" s="51">
        <f>VLOOKUP($A116,'Data Vlaue (Cr)'!$C:$FB,60)</f>
        <v>1763</v>
      </c>
      <c r="L116" s="51">
        <f>VLOOKUP($A116,'Data Vlaue (Cr)'!$C:$FB,62)*100</f>
        <v>-46.739999999999995</v>
      </c>
      <c r="M116" s="51">
        <f>VLOOKUP($A116,'Data Vlaue (Cr)'!$C:$FB,63)</f>
        <v>1123</v>
      </c>
      <c r="N116" s="51">
        <f>VLOOKUP($A116,'Data Vlaue (Cr)'!$C:$FB,64)</f>
        <v>566</v>
      </c>
      <c r="O116" s="51">
        <f>VLOOKUP($A116,'Data Vlaue (Cr)'!$C:$FB,66)*100</f>
        <v>98.25</v>
      </c>
    </row>
    <row r="117" spans="1:15" x14ac:dyDescent="0.25">
      <c r="A117" s="101" t="str">
        <f>'Data Vlaue (Cr)'!C112</f>
        <v>IRB</v>
      </c>
      <c r="B117" s="50">
        <f>VLOOKUP($A117,'Data Vlaue (Cr)'!$C:$FB,8)</f>
        <v>45.07</v>
      </c>
      <c r="C117" s="50">
        <f>VLOOKUP($A117,'Data Vlaue (Cr)'!$C:$FB,11)*100</f>
        <v>-2.11</v>
      </c>
      <c r="D117" s="50">
        <f>VLOOKUP($A117,'Data Vlaue (Cr)'!$C:$FB,143)</f>
        <v>405.38</v>
      </c>
      <c r="E117" s="50">
        <f>VLOOKUP($A117,'Data Vlaue (Cr)'!$C:$FB,144)</f>
        <v>260.57</v>
      </c>
      <c r="F117" s="50">
        <f>VLOOKUP($A117,'Data Vlaue (Cr)'!$C:$FB,146)*100</f>
        <v>55.58</v>
      </c>
      <c r="G117" s="49">
        <f>VLOOKUP($A117,'Data Vlaue (Cr)'!$C:$FB,43)</f>
        <v>296</v>
      </c>
      <c r="H117" s="49">
        <f>VLOOKUP($A117,'Data Vlaue (Cr)'!$C:$FB,44)</f>
        <v>206</v>
      </c>
      <c r="I117" s="49">
        <f>VLOOKUP($A117,'Data Vlaue (Cr)'!$C:$FB,46)*100</f>
        <v>43.57</v>
      </c>
      <c r="J117" s="51">
        <f>VLOOKUP($A117,'Data Vlaue (Cr)'!$C:$FB,59)</f>
        <v>58</v>
      </c>
      <c r="K117" s="51">
        <f>VLOOKUP($A117,'Data Vlaue (Cr)'!$C:$FB,60)</f>
        <v>33</v>
      </c>
      <c r="L117" s="51">
        <f>VLOOKUP($A117,'Data Vlaue (Cr)'!$C:$FB,62)*100</f>
        <v>76.05</v>
      </c>
      <c r="M117" s="51">
        <f>VLOOKUP($A117,'Data Vlaue (Cr)'!$C:$FB,63)</f>
        <v>42</v>
      </c>
      <c r="N117" s="51">
        <f>VLOOKUP($A117,'Data Vlaue (Cr)'!$C:$FB,64)</f>
        <v>13</v>
      </c>
      <c r="O117" s="51">
        <f>VLOOKUP($A117,'Data Vlaue (Cr)'!$C:$FB,66)*100</f>
        <v>216.8</v>
      </c>
    </row>
    <row r="118" spans="1:15" x14ac:dyDescent="0.25">
      <c r="A118" s="101" t="str">
        <f>'Data Vlaue (Cr)'!C113</f>
        <v>IRCTC</v>
      </c>
      <c r="B118" s="50">
        <f>VLOOKUP($A118,'Data Vlaue (Cr)'!$C:$FB,8)</f>
        <v>726.05</v>
      </c>
      <c r="C118" s="50">
        <f>VLOOKUP($A118,'Data Vlaue (Cr)'!$C:$FB,11)*100</f>
        <v>-1.37</v>
      </c>
      <c r="D118" s="50">
        <f>VLOOKUP($A118,'Data Vlaue (Cr)'!$C:$FB,143)</f>
        <v>1498.49</v>
      </c>
      <c r="E118" s="50">
        <f>VLOOKUP($A118,'Data Vlaue (Cr)'!$C:$FB,144)</f>
        <v>1311.41</v>
      </c>
      <c r="F118" s="50">
        <f>VLOOKUP($A118,'Data Vlaue (Cr)'!$C:$FB,146)*100</f>
        <v>14.27</v>
      </c>
      <c r="G118" s="49">
        <f>VLOOKUP($A118,'Data Vlaue (Cr)'!$C:$FB,43)</f>
        <v>698</v>
      </c>
      <c r="H118" s="49">
        <f>VLOOKUP($A118,'Data Vlaue (Cr)'!$C:$FB,44)</f>
        <v>633</v>
      </c>
      <c r="I118" s="49">
        <f>VLOOKUP($A118,'Data Vlaue (Cr)'!$C:$FB,46)*100</f>
        <v>10.32</v>
      </c>
      <c r="J118" s="51">
        <f>VLOOKUP($A118,'Data Vlaue (Cr)'!$C:$FB,59)</f>
        <v>453</v>
      </c>
      <c r="K118" s="51">
        <f>VLOOKUP($A118,'Data Vlaue (Cr)'!$C:$FB,60)</f>
        <v>437</v>
      </c>
      <c r="L118" s="51">
        <f>VLOOKUP($A118,'Data Vlaue (Cr)'!$C:$FB,62)*100</f>
        <v>3.54</v>
      </c>
      <c r="M118" s="51">
        <f>VLOOKUP($A118,'Data Vlaue (Cr)'!$C:$FB,63)</f>
        <v>308</v>
      </c>
      <c r="N118" s="51">
        <f>VLOOKUP($A118,'Data Vlaue (Cr)'!$C:$FB,64)</f>
        <v>193</v>
      </c>
      <c r="O118" s="51">
        <f>VLOOKUP($A118,'Data Vlaue (Cr)'!$C:$FB,66)*100</f>
        <v>59.819999999999993</v>
      </c>
    </row>
    <row r="119" spans="1:15" x14ac:dyDescent="0.25">
      <c r="A119" s="101" t="str">
        <f>'Data Vlaue (Cr)'!C114</f>
        <v>IREDA</v>
      </c>
      <c r="B119" s="50">
        <f>VLOOKUP($A119,'Data Vlaue (Cr)'!$C:$FB,8)</f>
        <v>147.38</v>
      </c>
      <c r="C119" s="50">
        <f>VLOOKUP($A119,'Data Vlaue (Cr)'!$C:$FB,11)*100</f>
        <v>-1.8900000000000001</v>
      </c>
      <c r="D119" s="50">
        <f>VLOOKUP($A119,'Data Vlaue (Cr)'!$C:$FB,143)</f>
        <v>997.35</v>
      </c>
      <c r="E119" s="50">
        <f>VLOOKUP($A119,'Data Vlaue (Cr)'!$C:$FB,144)</f>
        <v>887</v>
      </c>
      <c r="F119" s="50">
        <f>VLOOKUP($A119,'Data Vlaue (Cr)'!$C:$FB,146)*100</f>
        <v>12.44</v>
      </c>
      <c r="G119" s="49">
        <f>VLOOKUP($A119,'Data Vlaue (Cr)'!$C:$FB,43)</f>
        <v>444</v>
      </c>
      <c r="H119" s="49">
        <f>VLOOKUP($A119,'Data Vlaue (Cr)'!$C:$FB,44)</f>
        <v>475</v>
      </c>
      <c r="I119" s="49">
        <f>VLOOKUP($A119,'Data Vlaue (Cr)'!$C:$FB,46)*100</f>
        <v>-6.52</v>
      </c>
      <c r="J119" s="51">
        <f>VLOOKUP($A119,'Data Vlaue (Cr)'!$C:$FB,59)</f>
        <v>372</v>
      </c>
      <c r="K119" s="51">
        <f>VLOOKUP($A119,'Data Vlaue (Cr)'!$C:$FB,60)</f>
        <v>268</v>
      </c>
      <c r="L119" s="51">
        <f>VLOOKUP($A119,'Data Vlaue (Cr)'!$C:$FB,62)*100</f>
        <v>38.56</v>
      </c>
      <c r="M119" s="51">
        <f>VLOOKUP($A119,'Data Vlaue (Cr)'!$C:$FB,63)</f>
        <v>138</v>
      </c>
      <c r="N119" s="51">
        <f>VLOOKUP($A119,'Data Vlaue (Cr)'!$C:$FB,64)</f>
        <v>101</v>
      </c>
      <c r="O119" s="51">
        <f>VLOOKUP($A119,'Data Vlaue (Cr)'!$C:$FB,66)*100</f>
        <v>35.9</v>
      </c>
    </row>
    <row r="120" spans="1:15" x14ac:dyDescent="0.25">
      <c r="A120" s="101" t="str">
        <f>'Data Vlaue (Cr)'!C115</f>
        <v>IRFC</v>
      </c>
      <c r="B120" s="50">
        <f>VLOOKUP($A120,'Data Vlaue (Cr)'!$C:$FB,8)</f>
        <v>128.34</v>
      </c>
      <c r="C120" s="50">
        <f>VLOOKUP($A120,'Data Vlaue (Cr)'!$C:$FB,11)*100</f>
        <v>-2.33</v>
      </c>
      <c r="D120" s="50">
        <f>VLOOKUP($A120,'Data Vlaue (Cr)'!$C:$FB,143)</f>
        <v>1097.22</v>
      </c>
      <c r="E120" s="50">
        <f>VLOOKUP($A120,'Data Vlaue (Cr)'!$C:$FB,144)</f>
        <v>1504.06</v>
      </c>
      <c r="F120" s="50">
        <f>VLOOKUP($A120,'Data Vlaue (Cr)'!$C:$FB,146)*100</f>
        <v>-27.05</v>
      </c>
      <c r="G120" s="49">
        <f>VLOOKUP($A120,'Data Vlaue (Cr)'!$C:$FB,43)</f>
        <v>461</v>
      </c>
      <c r="H120" s="49">
        <f>VLOOKUP($A120,'Data Vlaue (Cr)'!$C:$FB,44)</f>
        <v>498</v>
      </c>
      <c r="I120" s="49">
        <f>VLOOKUP($A120,'Data Vlaue (Cr)'!$C:$FB,46)*100</f>
        <v>-7.31</v>
      </c>
      <c r="J120" s="51">
        <f>VLOOKUP($A120,'Data Vlaue (Cr)'!$C:$FB,59)</f>
        <v>415</v>
      </c>
      <c r="K120" s="51">
        <f>VLOOKUP($A120,'Data Vlaue (Cr)'!$C:$FB,60)</f>
        <v>695</v>
      </c>
      <c r="L120" s="51">
        <f>VLOOKUP($A120,'Data Vlaue (Cr)'!$C:$FB,62)*100</f>
        <v>-40.26</v>
      </c>
      <c r="M120" s="51">
        <f>VLOOKUP($A120,'Data Vlaue (Cr)'!$C:$FB,63)</f>
        <v>174</v>
      </c>
      <c r="N120" s="51">
        <f>VLOOKUP($A120,'Data Vlaue (Cr)'!$C:$FB,64)</f>
        <v>220</v>
      </c>
      <c r="O120" s="51">
        <f>VLOOKUP($A120,'Data Vlaue (Cr)'!$C:$FB,66)*100</f>
        <v>-20.95</v>
      </c>
    </row>
    <row r="121" spans="1:15" x14ac:dyDescent="0.25">
      <c r="A121" s="101" t="str">
        <f>'Data Vlaue (Cr)'!C116</f>
        <v>ITC</v>
      </c>
      <c r="B121" s="50">
        <f>VLOOKUP($A121,'Data Vlaue (Cr)'!$C:$FB,8)</f>
        <v>411.95</v>
      </c>
      <c r="C121" s="50">
        <f>VLOOKUP($A121,'Data Vlaue (Cr)'!$C:$FB,11)*100</f>
        <v>1.0699999999999998</v>
      </c>
      <c r="D121" s="50">
        <f>VLOOKUP($A121,'Data Vlaue (Cr)'!$C:$FB,143)</f>
        <v>7940.67</v>
      </c>
      <c r="E121" s="50">
        <f>VLOOKUP($A121,'Data Vlaue (Cr)'!$C:$FB,144)</f>
        <v>4294.93</v>
      </c>
      <c r="F121" s="50">
        <f>VLOOKUP($A121,'Data Vlaue (Cr)'!$C:$FB,146)*100</f>
        <v>84.88</v>
      </c>
      <c r="G121" s="49">
        <f>VLOOKUP($A121,'Data Vlaue (Cr)'!$C:$FB,43)</f>
        <v>2885</v>
      </c>
      <c r="H121" s="49">
        <f>VLOOKUP($A121,'Data Vlaue (Cr)'!$C:$FB,44)</f>
        <v>1974</v>
      </c>
      <c r="I121" s="49">
        <f>VLOOKUP($A121,'Data Vlaue (Cr)'!$C:$FB,46)*100</f>
        <v>46.19</v>
      </c>
      <c r="J121" s="51">
        <f>VLOOKUP($A121,'Data Vlaue (Cr)'!$C:$FB,59)</f>
        <v>3324</v>
      </c>
      <c r="K121" s="51">
        <f>VLOOKUP($A121,'Data Vlaue (Cr)'!$C:$FB,60)</f>
        <v>1388</v>
      </c>
      <c r="L121" s="51">
        <f>VLOOKUP($A121,'Data Vlaue (Cr)'!$C:$FB,62)*100</f>
        <v>139.54999999999998</v>
      </c>
      <c r="M121" s="51">
        <f>VLOOKUP($A121,'Data Vlaue (Cr)'!$C:$FB,63)</f>
        <v>1619</v>
      </c>
      <c r="N121" s="51">
        <f>VLOOKUP($A121,'Data Vlaue (Cr)'!$C:$FB,64)</f>
        <v>930</v>
      </c>
      <c r="O121" s="51">
        <f>VLOOKUP($A121,'Data Vlaue (Cr)'!$C:$FB,66)*100</f>
        <v>74.08</v>
      </c>
    </row>
    <row r="122" spans="1:15" x14ac:dyDescent="0.25">
      <c r="A122" s="101" t="str">
        <f>'Data Vlaue (Cr)'!C117</f>
        <v>JINDALSTEL</v>
      </c>
      <c r="B122" s="50">
        <f>VLOOKUP($A122,'Data Vlaue (Cr)'!$C:$FB,8)</f>
        <v>965</v>
      </c>
      <c r="C122" s="50">
        <f>VLOOKUP($A122,'Data Vlaue (Cr)'!$C:$FB,11)*100</f>
        <v>-1.82</v>
      </c>
      <c r="D122" s="50">
        <f>VLOOKUP($A122,'Data Vlaue (Cr)'!$C:$FB,143)</f>
        <v>1455.85</v>
      </c>
      <c r="E122" s="50">
        <f>VLOOKUP($A122,'Data Vlaue (Cr)'!$C:$FB,144)</f>
        <v>1238.0999999999999</v>
      </c>
      <c r="F122" s="50">
        <f>VLOOKUP($A122,'Data Vlaue (Cr)'!$C:$FB,146)*100</f>
        <v>17.59</v>
      </c>
      <c r="G122" s="49">
        <f>VLOOKUP($A122,'Data Vlaue (Cr)'!$C:$FB,43)</f>
        <v>721</v>
      </c>
      <c r="H122" s="49">
        <f>VLOOKUP($A122,'Data Vlaue (Cr)'!$C:$FB,44)</f>
        <v>644</v>
      </c>
      <c r="I122" s="49">
        <f>VLOOKUP($A122,'Data Vlaue (Cr)'!$C:$FB,46)*100</f>
        <v>11.88</v>
      </c>
      <c r="J122" s="51">
        <f>VLOOKUP($A122,'Data Vlaue (Cr)'!$C:$FB,59)</f>
        <v>371</v>
      </c>
      <c r="K122" s="51">
        <f>VLOOKUP($A122,'Data Vlaue (Cr)'!$C:$FB,60)</f>
        <v>319</v>
      </c>
      <c r="L122" s="51">
        <f>VLOOKUP($A122,'Data Vlaue (Cr)'!$C:$FB,62)*100</f>
        <v>16.29</v>
      </c>
      <c r="M122" s="51">
        <f>VLOOKUP($A122,'Data Vlaue (Cr)'!$C:$FB,63)</f>
        <v>341</v>
      </c>
      <c r="N122" s="51">
        <f>VLOOKUP($A122,'Data Vlaue (Cr)'!$C:$FB,64)</f>
        <v>246</v>
      </c>
      <c r="O122" s="51">
        <f>VLOOKUP($A122,'Data Vlaue (Cr)'!$C:$FB,66)*100</f>
        <v>38.56</v>
      </c>
    </row>
    <row r="123" spans="1:15" x14ac:dyDescent="0.25">
      <c r="A123" s="101" t="str">
        <f>'Data Vlaue (Cr)'!C118</f>
        <v>JIOFIN</v>
      </c>
      <c r="B123" s="50">
        <f>VLOOKUP($A123,'Data Vlaue (Cr)'!$C:$FB,8)</f>
        <v>329.25</v>
      </c>
      <c r="C123" s="50">
        <f>VLOOKUP($A123,'Data Vlaue (Cr)'!$C:$FB,11)*100</f>
        <v>2.79</v>
      </c>
      <c r="D123" s="50">
        <f>VLOOKUP($A123,'Data Vlaue (Cr)'!$C:$FB,143)</f>
        <v>15429.78</v>
      </c>
      <c r="E123" s="50">
        <f>VLOOKUP($A123,'Data Vlaue (Cr)'!$C:$FB,144)</f>
        <v>6136.56</v>
      </c>
      <c r="F123" s="50">
        <f>VLOOKUP($A123,'Data Vlaue (Cr)'!$C:$FB,146)*100</f>
        <v>151.44</v>
      </c>
      <c r="G123" s="49">
        <f>VLOOKUP($A123,'Data Vlaue (Cr)'!$C:$FB,43)</f>
        <v>3125</v>
      </c>
      <c r="H123" s="49">
        <f>VLOOKUP($A123,'Data Vlaue (Cr)'!$C:$FB,44)</f>
        <v>1658</v>
      </c>
      <c r="I123" s="49">
        <f>VLOOKUP($A123,'Data Vlaue (Cr)'!$C:$FB,46)*100</f>
        <v>88.44</v>
      </c>
      <c r="J123" s="51">
        <f>VLOOKUP($A123,'Data Vlaue (Cr)'!$C:$FB,59)</f>
        <v>8834</v>
      </c>
      <c r="K123" s="51">
        <f>VLOOKUP($A123,'Data Vlaue (Cr)'!$C:$FB,60)</f>
        <v>2992</v>
      </c>
      <c r="L123" s="51">
        <f>VLOOKUP($A123,'Data Vlaue (Cr)'!$C:$FB,62)*100</f>
        <v>195.27</v>
      </c>
      <c r="M123" s="51">
        <f>VLOOKUP($A123,'Data Vlaue (Cr)'!$C:$FB,63)</f>
        <v>3284</v>
      </c>
      <c r="N123" s="51">
        <f>VLOOKUP($A123,'Data Vlaue (Cr)'!$C:$FB,64)</f>
        <v>1570</v>
      </c>
      <c r="O123" s="51">
        <f>VLOOKUP($A123,'Data Vlaue (Cr)'!$C:$FB,66)*100</f>
        <v>109.23</v>
      </c>
    </row>
    <row r="124" spans="1:15" x14ac:dyDescent="0.25">
      <c r="A124" s="101" t="str">
        <f>'Data Vlaue (Cr)'!C119</f>
        <v>JSL</v>
      </c>
      <c r="B124" s="50">
        <f>VLOOKUP($A124,'Data Vlaue (Cr)'!$C:$FB,8)</f>
        <v>694.1</v>
      </c>
      <c r="C124" s="50">
        <f>VLOOKUP($A124,'Data Vlaue (Cr)'!$C:$FB,11)*100</f>
        <v>1.91</v>
      </c>
      <c r="D124" s="50">
        <f>VLOOKUP($A124,'Data Vlaue (Cr)'!$C:$FB,143)</f>
        <v>491.94</v>
      </c>
      <c r="E124" s="50">
        <f>VLOOKUP($A124,'Data Vlaue (Cr)'!$C:$FB,144)</f>
        <v>430.09</v>
      </c>
      <c r="F124" s="50">
        <f>VLOOKUP($A124,'Data Vlaue (Cr)'!$C:$FB,146)*100</f>
        <v>14.38</v>
      </c>
      <c r="G124" s="49">
        <f>VLOOKUP($A124,'Data Vlaue (Cr)'!$C:$FB,43)</f>
        <v>301</v>
      </c>
      <c r="H124" s="49">
        <f>VLOOKUP($A124,'Data Vlaue (Cr)'!$C:$FB,44)</f>
        <v>277</v>
      </c>
      <c r="I124" s="49">
        <f>VLOOKUP($A124,'Data Vlaue (Cr)'!$C:$FB,46)*100</f>
        <v>8.89</v>
      </c>
      <c r="J124" s="51">
        <f>VLOOKUP($A124,'Data Vlaue (Cr)'!$C:$FB,59)</f>
        <v>127</v>
      </c>
      <c r="K124" s="51">
        <f>VLOOKUP($A124,'Data Vlaue (Cr)'!$C:$FB,60)</f>
        <v>127</v>
      </c>
      <c r="L124" s="51">
        <f>VLOOKUP($A124,'Data Vlaue (Cr)'!$C:$FB,62)*100</f>
        <v>0.27999999999999997</v>
      </c>
      <c r="M124" s="51">
        <f>VLOOKUP($A124,'Data Vlaue (Cr)'!$C:$FB,63)</f>
        <v>64</v>
      </c>
      <c r="N124" s="51">
        <f>VLOOKUP($A124,'Data Vlaue (Cr)'!$C:$FB,64)</f>
        <v>29</v>
      </c>
      <c r="O124" s="51">
        <f>VLOOKUP($A124,'Data Vlaue (Cr)'!$C:$FB,66)*100</f>
        <v>121.17999999999999</v>
      </c>
    </row>
    <row r="125" spans="1:15" x14ac:dyDescent="0.25">
      <c r="A125" s="101" t="str">
        <f>'Data Vlaue (Cr)'!C120</f>
        <v>JSWENERGY</v>
      </c>
      <c r="B125" s="50">
        <f>VLOOKUP($A125,'Data Vlaue (Cr)'!$C:$FB,8)</f>
        <v>515.04999999999995</v>
      </c>
      <c r="C125" s="50">
        <f>VLOOKUP($A125,'Data Vlaue (Cr)'!$C:$FB,11)*100</f>
        <v>-2.17</v>
      </c>
      <c r="D125" s="50">
        <f>VLOOKUP($A125,'Data Vlaue (Cr)'!$C:$FB,143)</f>
        <v>1635.59</v>
      </c>
      <c r="E125" s="50">
        <f>VLOOKUP($A125,'Data Vlaue (Cr)'!$C:$FB,144)</f>
        <v>1650.01</v>
      </c>
      <c r="F125" s="50">
        <f>VLOOKUP($A125,'Data Vlaue (Cr)'!$C:$FB,146)*100</f>
        <v>-0.86999999999999988</v>
      </c>
      <c r="G125" s="49">
        <f>VLOOKUP($A125,'Data Vlaue (Cr)'!$C:$FB,43)</f>
        <v>867</v>
      </c>
      <c r="H125" s="49">
        <f>VLOOKUP($A125,'Data Vlaue (Cr)'!$C:$FB,44)</f>
        <v>882</v>
      </c>
      <c r="I125" s="49">
        <f>VLOOKUP($A125,'Data Vlaue (Cr)'!$C:$FB,46)*100</f>
        <v>-1.6400000000000001</v>
      </c>
      <c r="J125" s="51">
        <f>VLOOKUP($A125,'Data Vlaue (Cr)'!$C:$FB,59)</f>
        <v>534</v>
      </c>
      <c r="K125" s="51">
        <f>VLOOKUP($A125,'Data Vlaue (Cr)'!$C:$FB,60)</f>
        <v>533</v>
      </c>
      <c r="L125" s="51">
        <f>VLOOKUP($A125,'Data Vlaue (Cr)'!$C:$FB,62)*100</f>
        <v>0.16999999999999998</v>
      </c>
      <c r="M125" s="51">
        <f>VLOOKUP($A125,'Data Vlaue (Cr)'!$C:$FB,63)</f>
        <v>198</v>
      </c>
      <c r="N125" s="51">
        <f>VLOOKUP($A125,'Data Vlaue (Cr)'!$C:$FB,64)</f>
        <v>185</v>
      </c>
      <c r="O125" s="51">
        <f>VLOOKUP($A125,'Data Vlaue (Cr)'!$C:$FB,66)*100</f>
        <v>7.1999999999999993</v>
      </c>
    </row>
    <row r="126" spans="1:15" x14ac:dyDescent="0.25">
      <c r="A126" s="101" t="str">
        <f>'Data Vlaue (Cr)'!C121</f>
        <v>JSWSTEEL</v>
      </c>
      <c r="B126" s="50">
        <f>VLOOKUP($A126,'Data Vlaue (Cr)'!$C:$FB,8)</f>
        <v>1048.3</v>
      </c>
      <c r="C126" s="50">
        <f>VLOOKUP($A126,'Data Vlaue (Cr)'!$C:$FB,11)*100</f>
        <v>1</v>
      </c>
      <c r="D126" s="50">
        <f>VLOOKUP($A126,'Data Vlaue (Cr)'!$C:$FB,143)</f>
        <v>3764.55</v>
      </c>
      <c r="E126" s="50">
        <f>VLOOKUP($A126,'Data Vlaue (Cr)'!$C:$FB,144)</f>
        <v>3772.61</v>
      </c>
      <c r="F126" s="50">
        <f>VLOOKUP($A126,'Data Vlaue (Cr)'!$C:$FB,146)*100</f>
        <v>-0.21</v>
      </c>
      <c r="G126" s="49">
        <f>VLOOKUP($A126,'Data Vlaue (Cr)'!$C:$FB,43)</f>
        <v>1497</v>
      </c>
      <c r="H126" s="49">
        <f>VLOOKUP($A126,'Data Vlaue (Cr)'!$C:$FB,44)</f>
        <v>1971</v>
      </c>
      <c r="I126" s="49">
        <f>VLOOKUP($A126,'Data Vlaue (Cr)'!$C:$FB,46)*100</f>
        <v>-24.060000000000002</v>
      </c>
      <c r="J126" s="51">
        <f>VLOOKUP($A126,'Data Vlaue (Cr)'!$C:$FB,59)</f>
        <v>1478</v>
      </c>
      <c r="K126" s="51">
        <f>VLOOKUP($A126,'Data Vlaue (Cr)'!$C:$FB,60)</f>
        <v>1328</v>
      </c>
      <c r="L126" s="51">
        <f>VLOOKUP($A126,'Data Vlaue (Cr)'!$C:$FB,62)*100</f>
        <v>11.32</v>
      </c>
      <c r="M126" s="51">
        <f>VLOOKUP($A126,'Data Vlaue (Cr)'!$C:$FB,63)</f>
        <v>753</v>
      </c>
      <c r="N126" s="51">
        <f>VLOOKUP($A126,'Data Vlaue (Cr)'!$C:$FB,64)</f>
        <v>479</v>
      </c>
      <c r="O126" s="51">
        <f>VLOOKUP($A126,'Data Vlaue (Cr)'!$C:$FB,66)*100</f>
        <v>57.17</v>
      </c>
    </row>
    <row r="127" spans="1:15" x14ac:dyDescent="0.25">
      <c r="A127" s="101" t="str">
        <f>'Data Vlaue (Cr)'!C122</f>
        <v>JUBLFOOD</v>
      </c>
      <c r="B127" s="50">
        <f>VLOOKUP($A127,'Data Vlaue (Cr)'!$C:$FB,8)</f>
        <v>655.5</v>
      </c>
      <c r="C127" s="50">
        <f>VLOOKUP($A127,'Data Vlaue (Cr)'!$C:$FB,11)*100</f>
        <v>-0.08</v>
      </c>
      <c r="D127" s="50">
        <f>VLOOKUP($A127,'Data Vlaue (Cr)'!$C:$FB,143)</f>
        <v>647.25</v>
      </c>
      <c r="E127" s="50">
        <f>VLOOKUP($A127,'Data Vlaue (Cr)'!$C:$FB,144)</f>
        <v>1222.6199999999999</v>
      </c>
      <c r="F127" s="50">
        <f>VLOOKUP($A127,'Data Vlaue (Cr)'!$C:$FB,146)*100</f>
        <v>-47.06</v>
      </c>
      <c r="G127" s="49">
        <f>VLOOKUP($A127,'Data Vlaue (Cr)'!$C:$FB,43)</f>
        <v>431</v>
      </c>
      <c r="H127" s="49">
        <f>VLOOKUP($A127,'Data Vlaue (Cr)'!$C:$FB,44)</f>
        <v>731</v>
      </c>
      <c r="I127" s="49">
        <f>VLOOKUP($A127,'Data Vlaue (Cr)'!$C:$FB,46)*100</f>
        <v>-40.99</v>
      </c>
      <c r="J127" s="51">
        <f>VLOOKUP($A127,'Data Vlaue (Cr)'!$C:$FB,59)</f>
        <v>143</v>
      </c>
      <c r="K127" s="51">
        <f>VLOOKUP($A127,'Data Vlaue (Cr)'!$C:$FB,60)</f>
        <v>348</v>
      </c>
      <c r="L127" s="51">
        <f>VLOOKUP($A127,'Data Vlaue (Cr)'!$C:$FB,62)*100</f>
        <v>-58.819999999999993</v>
      </c>
      <c r="M127" s="51">
        <f>VLOOKUP($A127,'Data Vlaue (Cr)'!$C:$FB,63)</f>
        <v>64</v>
      </c>
      <c r="N127" s="51">
        <f>VLOOKUP($A127,'Data Vlaue (Cr)'!$C:$FB,64)</f>
        <v>131</v>
      </c>
      <c r="O127" s="51">
        <f>VLOOKUP($A127,'Data Vlaue (Cr)'!$C:$FB,66)*100</f>
        <v>-51.03</v>
      </c>
    </row>
    <row r="128" spans="1:15" x14ac:dyDescent="0.25">
      <c r="A128" s="101" t="str">
        <f>'Data Vlaue (Cr)'!C123</f>
        <v>KALYANKJIL</v>
      </c>
      <c r="B128" s="50">
        <f>VLOOKUP($A128,'Data Vlaue (Cr)'!$C:$FB,8)</f>
        <v>594.70000000000005</v>
      </c>
      <c r="C128" s="50">
        <f>VLOOKUP($A128,'Data Vlaue (Cr)'!$C:$FB,11)*100</f>
        <v>-1.97</v>
      </c>
      <c r="D128" s="50">
        <f>VLOOKUP($A128,'Data Vlaue (Cr)'!$C:$FB,143)</f>
        <v>1416.37</v>
      </c>
      <c r="E128" s="50">
        <f>VLOOKUP($A128,'Data Vlaue (Cr)'!$C:$FB,144)</f>
        <v>1590.77</v>
      </c>
      <c r="F128" s="50">
        <f>VLOOKUP($A128,'Data Vlaue (Cr)'!$C:$FB,146)*100</f>
        <v>-10.96</v>
      </c>
      <c r="G128" s="49">
        <f>VLOOKUP($A128,'Data Vlaue (Cr)'!$C:$FB,43)</f>
        <v>632</v>
      </c>
      <c r="H128" s="49">
        <f>VLOOKUP($A128,'Data Vlaue (Cr)'!$C:$FB,44)</f>
        <v>734</v>
      </c>
      <c r="I128" s="49">
        <f>VLOOKUP($A128,'Data Vlaue (Cr)'!$C:$FB,46)*100</f>
        <v>-13.94</v>
      </c>
      <c r="J128" s="51">
        <f>VLOOKUP($A128,'Data Vlaue (Cr)'!$C:$FB,59)</f>
        <v>520</v>
      </c>
      <c r="K128" s="51">
        <f>VLOOKUP($A128,'Data Vlaue (Cr)'!$C:$FB,60)</f>
        <v>591</v>
      </c>
      <c r="L128" s="51">
        <f>VLOOKUP($A128,'Data Vlaue (Cr)'!$C:$FB,62)*100</f>
        <v>-12.04</v>
      </c>
      <c r="M128" s="51">
        <f>VLOOKUP($A128,'Data Vlaue (Cr)'!$C:$FB,63)</f>
        <v>238</v>
      </c>
      <c r="N128" s="51">
        <f>VLOOKUP($A128,'Data Vlaue (Cr)'!$C:$FB,64)</f>
        <v>234</v>
      </c>
      <c r="O128" s="51">
        <f>VLOOKUP($A128,'Data Vlaue (Cr)'!$C:$FB,66)*100</f>
        <v>1.53</v>
      </c>
    </row>
    <row r="129" spans="1:15" x14ac:dyDescent="0.25">
      <c r="A129" s="101" t="str">
        <f>'Data Vlaue (Cr)'!C124</f>
        <v>KAYNES</v>
      </c>
      <c r="B129" s="50">
        <f>VLOOKUP($A129,'Data Vlaue (Cr)'!$C:$FB,8)</f>
        <v>6172</v>
      </c>
      <c r="C129" s="50">
        <f>VLOOKUP($A129,'Data Vlaue (Cr)'!$C:$FB,11)*100</f>
        <v>9.4700000000000006</v>
      </c>
      <c r="D129" s="50">
        <f>VLOOKUP($A129,'Data Vlaue (Cr)'!$C:$FB,143)</f>
        <v>11789.78</v>
      </c>
      <c r="E129" s="50">
        <f>VLOOKUP($A129,'Data Vlaue (Cr)'!$C:$FB,144)</f>
        <v>4081.9</v>
      </c>
      <c r="F129" s="50">
        <f>VLOOKUP($A129,'Data Vlaue (Cr)'!$C:$FB,146)*100</f>
        <v>188.83</v>
      </c>
      <c r="G129" s="49">
        <f>VLOOKUP($A129,'Data Vlaue (Cr)'!$C:$FB,43)</f>
        <v>1754</v>
      </c>
      <c r="H129" s="49">
        <f>VLOOKUP($A129,'Data Vlaue (Cr)'!$C:$FB,44)</f>
        <v>599</v>
      </c>
      <c r="I129" s="49">
        <f>VLOOKUP($A129,'Data Vlaue (Cr)'!$C:$FB,46)*100</f>
        <v>192.97</v>
      </c>
      <c r="J129" s="51">
        <f>VLOOKUP($A129,'Data Vlaue (Cr)'!$C:$FB,59)</f>
        <v>7389</v>
      </c>
      <c r="K129" s="51">
        <f>VLOOKUP($A129,'Data Vlaue (Cr)'!$C:$FB,60)</f>
        <v>2772</v>
      </c>
      <c r="L129" s="51">
        <f>VLOOKUP($A129,'Data Vlaue (Cr)'!$C:$FB,62)*100</f>
        <v>166.59</v>
      </c>
      <c r="M129" s="51">
        <f>VLOOKUP($A129,'Data Vlaue (Cr)'!$C:$FB,63)</f>
        <v>2719</v>
      </c>
      <c r="N129" s="51">
        <f>VLOOKUP($A129,'Data Vlaue (Cr)'!$C:$FB,64)</f>
        <v>950</v>
      </c>
      <c r="O129" s="51">
        <f>VLOOKUP($A129,'Data Vlaue (Cr)'!$C:$FB,66)*100</f>
        <v>186.22</v>
      </c>
    </row>
    <row r="130" spans="1:15" x14ac:dyDescent="0.25">
      <c r="A130" s="101" t="str">
        <f>'Data Vlaue (Cr)'!C125</f>
        <v>KEI</v>
      </c>
      <c r="B130" s="50">
        <f>VLOOKUP($A130,'Data Vlaue (Cr)'!$C:$FB,8)</f>
        <v>3844.2</v>
      </c>
      <c r="C130" s="50">
        <f>VLOOKUP($A130,'Data Vlaue (Cr)'!$C:$FB,11)*100</f>
        <v>-1.47</v>
      </c>
      <c r="D130" s="50">
        <f>VLOOKUP($A130,'Data Vlaue (Cr)'!$C:$FB,143)</f>
        <v>999.28</v>
      </c>
      <c r="E130" s="50">
        <f>VLOOKUP($A130,'Data Vlaue (Cr)'!$C:$FB,144)</f>
        <v>997.1</v>
      </c>
      <c r="F130" s="50">
        <f>VLOOKUP($A130,'Data Vlaue (Cr)'!$C:$FB,146)*100</f>
        <v>0.22</v>
      </c>
      <c r="G130" s="49">
        <f>VLOOKUP($A130,'Data Vlaue (Cr)'!$C:$FB,43)</f>
        <v>403</v>
      </c>
      <c r="H130" s="49">
        <f>VLOOKUP($A130,'Data Vlaue (Cr)'!$C:$FB,44)</f>
        <v>287</v>
      </c>
      <c r="I130" s="49">
        <f>VLOOKUP($A130,'Data Vlaue (Cr)'!$C:$FB,46)*100</f>
        <v>40.479999999999997</v>
      </c>
      <c r="J130" s="51">
        <f>VLOOKUP($A130,'Data Vlaue (Cr)'!$C:$FB,59)</f>
        <v>415</v>
      </c>
      <c r="K130" s="51">
        <f>VLOOKUP($A130,'Data Vlaue (Cr)'!$C:$FB,60)</f>
        <v>510</v>
      </c>
      <c r="L130" s="51">
        <f>VLOOKUP($A130,'Data Vlaue (Cr)'!$C:$FB,62)*100</f>
        <v>-18.579999999999998</v>
      </c>
      <c r="M130" s="51">
        <f>VLOOKUP($A130,'Data Vlaue (Cr)'!$C:$FB,63)</f>
        <v>169</v>
      </c>
      <c r="N130" s="51">
        <f>VLOOKUP($A130,'Data Vlaue (Cr)'!$C:$FB,64)</f>
        <v>171</v>
      </c>
      <c r="O130" s="51">
        <f>VLOOKUP($A130,'Data Vlaue (Cr)'!$C:$FB,66)*100</f>
        <v>-1.46</v>
      </c>
    </row>
    <row r="131" spans="1:15" x14ac:dyDescent="0.25">
      <c r="A131" s="101" t="str">
        <f>'Data Vlaue (Cr)'!C126</f>
        <v>KFINTECH</v>
      </c>
      <c r="B131" s="50">
        <f>VLOOKUP($A131,'Data Vlaue (Cr)'!$C:$FB,8)</f>
        <v>1082.9000000000001</v>
      </c>
      <c r="C131" s="50">
        <f>VLOOKUP($A131,'Data Vlaue (Cr)'!$C:$FB,11)*100</f>
        <v>-2.37</v>
      </c>
      <c r="D131" s="50">
        <f>VLOOKUP($A131,'Data Vlaue (Cr)'!$C:$FB,143)</f>
        <v>380.56</v>
      </c>
      <c r="E131" s="50">
        <f>VLOOKUP($A131,'Data Vlaue (Cr)'!$C:$FB,144)</f>
        <v>431.23</v>
      </c>
      <c r="F131" s="50">
        <f>VLOOKUP($A131,'Data Vlaue (Cr)'!$C:$FB,146)*100</f>
        <v>-11.75</v>
      </c>
      <c r="G131" s="49">
        <f>VLOOKUP($A131,'Data Vlaue (Cr)'!$C:$FB,43)</f>
        <v>184</v>
      </c>
      <c r="H131" s="49">
        <f>VLOOKUP($A131,'Data Vlaue (Cr)'!$C:$FB,44)</f>
        <v>164</v>
      </c>
      <c r="I131" s="49">
        <f>VLOOKUP($A131,'Data Vlaue (Cr)'!$C:$FB,46)*100</f>
        <v>11.91</v>
      </c>
      <c r="J131" s="51">
        <f>VLOOKUP($A131,'Data Vlaue (Cr)'!$C:$FB,59)</f>
        <v>95</v>
      </c>
      <c r="K131" s="51">
        <f>VLOOKUP($A131,'Data Vlaue (Cr)'!$C:$FB,60)</f>
        <v>169</v>
      </c>
      <c r="L131" s="51">
        <f>VLOOKUP($A131,'Data Vlaue (Cr)'!$C:$FB,62)*100</f>
        <v>-43.99</v>
      </c>
      <c r="M131" s="51">
        <f>VLOOKUP($A131,'Data Vlaue (Cr)'!$C:$FB,63)</f>
        <v>88</v>
      </c>
      <c r="N131" s="51">
        <f>VLOOKUP($A131,'Data Vlaue (Cr)'!$C:$FB,64)</f>
        <v>71</v>
      </c>
      <c r="O131" s="51">
        <f>VLOOKUP($A131,'Data Vlaue (Cr)'!$C:$FB,66)*100</f>
        <v>24.59</v>
      </c>
    </row>
    <row r="132" spans="1:15" x14ac:dyDescent="0.25">
      <c r="A132" s="101" t="str">
        <f>'Data Vlaue (Cr)'!C127</f>
        <v>KOTAKBANK</v>
      </c>
      <c r="B132" s="50">
        <f>VLOOKUP($A132,'Data Vlaue (Cr)'!$C:$FB,8)</f>
        <v>1978.6</v>
      </c>
      <c r="C132" s="50">
        <f>VLOOKUP($A132,'Data Vlaue (Cr)'!$C:$FB,11)*100</f>
        <v>0.96</v>
      </c>
      <c r="D132" s="50">
        <f>VLOOKUP($A132,'Data Vlaue (Cr)'!$C:$FB,143)</f>
        <v>13003.15</v>
      </c>
      <c r="E132" s="50">
        <f>VLOOKUP($A132,'Data Vlaue (Cr)'!$C:$FB,144)</f>
        <v>9188.94</v>
      </c>
      <c r="F132" s="50">
        <f>VLOOKUP($A132,'Data Vlaue (Cr)'!$C:$FB,146)*100</f>
        <v>41.510000000000005</v>
      </c>
      <c r="G132" s="49">
        <f>VLOOKUP($A132,'Data Vlaue (Cr)'!$C:$FB,43)</f>
        <v>3891</v>
      </c>
      <c r="H132" s="49">
        <f>VLOOKUP($A132,'Data Vlaue (Cr)'!$C:$FB,44)</f>
        <v>3192</v>
      </c>
      <c r="I132" s="49">
        <f>VLOOKUP($A132,'Data Vlaue (Cr)'!$C:$FB,46)*100</f>
        <v>21.9</v>
      </c>
      <c r="J132" s="51">
        <f>VLOOKUP($A132,'Data Vlaue (Cr)'!$C:$FB,59)</f>
        <v>5760</v>
      </c>
      <c r="K132" s="51">
        <f>VLOOKUP($A132,'Data Vlaue (Cr)'!$C:$FB,60)</f>
        <v>4015</v>
      </c>
      <c r="L132" s="51">
        <f>VLOOKUP($A132,'Data Vlaue (Cr)'!$C:$FB,62)*100</f>
        <v>43.44</v>
      </c>
      <c r="M132" s="51">
        <f>VLOOKUP($A132,'Data Vlaue (Cr)'!$C:$FB,63)</f>
        <v>3220</v>
      </c>
      <c r="N132" s="51">
        <f>VLOOKUP($A132,'Data Vlaue (Cr)'!$C:$FB,64)</f>
        <v>1918</v>
      </c>
      <c r="O132" s="51">
        <f>VLOOKUP($A132,'Data Vlaue (Cr)'!$C:$FB,66)*100</f>
        <v>67.88</v>
      </c>
    </row>
    <row r="133" spans="1:15" x14ac:dyDescent="0.25">
      <c r="A133" s="101" t="str">
        <f>'Data Vlaue (Cr)'!C128</f>
        <v>KPITTECH</v>
      </c>
      <c r="B133" s="50">
        <f>VLOOKUP($A133,'Data Vlaue (Cr)'!$C:$FB,8)</f>
        <v>1226.4000000000001</v>
      </c>
      <c r="C133" s="50">
        <f>VLOOKUP($A133,'Data Vlaue (Cr)'!$C:$FB,11)*100</f>
        <v>-3.32</v>
      </c>
      <c r="D133" s="50">
        <f>VLOOKUP($A133,'Data Vlaue (Cr)'!$C:$FB,143)</f>
        <v>2652.45</v>
      </c>
      <c r="E133" s="50">
        <f>VLOOKUP($A133,'Data Vlaue (Cr)'!$C:$FB,144)</f>
        <v>7791.25</v>
      </c>
      <c r="F133" s="50">
        <f>VLOOKUP($A133,'Data Vlaue (Cr)'!$C:$FB,146)*100</f>
        <v>-65.959999999999994</v>
      </c>
      <c r="G133" s="49">
        <f>VLOOKUP($A133,'Data Vlaue (Cr)'!$C:$FB,43)</f>
        <v>753</v>
      </c>
      <c r="H133" s="49">
        <f>VLOOKUP($A133,'Data Vlaue (Cr)'!$C:$FB,44)</f>
        <v>1197</v>
      </c>
      <c r="I133" s="49">
        <f>VLOOKUP($A133,'Data Vlaue (Cr)'!$C:$FB,46)*100</f>
        <v>-37.11</v>
      </c>
      <c r="J133" s="51">
        <f>VLOOKUP($A133,'Data Vlaue (Cr)'!$C:$FB,59)</f>
        <v>1061</v>
      </c>
      <c r="K133" s="51">
        <f>VLOOKUP($A133,'Data Vlaue (Cr)'!$C:$FB,60)</f>
        <v>3900</v>
      </c>
      <c r="L133" s="51">
        <f>VLOOKUP($A133,'Data Vlaue (Cr)'!$C:$FB,62)*100</f>
        <v>-72.789999999999992</v>
      </c>
      <c r="M133" s="51">
        <f>VLOOKUP($A133,'Data Vlaue (Cr)'!$C:$FB,63)</f>
        <v>773</v>
      </c>
      <c r="N133" s="51">
        <f>VLOOKUP($A133,'Data Vlaue (Cr)'!$C:$FB,64)</f>
        <v>2462</v>
      </c>
      <c r="O133" s="51">
        <f>VLOOKUP($A133,'Data Vlaue (Cr)'!$C:$FB,66)*100</f>
        <v>-68.589999999999989</v>
      </c>
    </row>
    <row r="134" spans="1:15" x14ac:dyDescent="0.25">
      <c r="A134" s="101" t="str">
        <f>'Data Vlaue (Cr)'!C129</f>
        <v>LAURUSLABS</v>
      </c>
      <c r="B134" s="50">
        <f>VLOOKUP($A134,'Data Vlaue (Cr)'!$C:$FB,8)</f>
        <v>874.35</v>
      </c>
      <c r="C134" s="50">
        <f>VLOOKUP($A134,'Data Vlaue (Cr)'!$C:$FB,11)*100</f>
        <v>-0.80999999999999994</v>
      </c>
      <c r="D134" s="50">
        <f>VLOOKUP($A134,'Data Vlaue (Cr)'!$C:$FB,143)</f>
        <v>3734.85</v>
      </c>
      <c r="E134" s="50">
        <f>VLOOKUP($A134,'Data Vlaue (Cr)'!$C:$FB,144)</f>
        <v>11301.19</v>
      </c>
      <c r="F134" s="50">
        <f>VLOOKUP($A134,'Data Vlaue (Cr)'!$C:$FB,146)*100</f>
        <v>-66.95</v>
      </c>
      <c r="G134" s="49">
        <f>VLOOKUP($A134,'Data Vlaue (Cr)'!$C:$FB,43)</f>
        <v>961</v>
      </c>
      <c r="H134" s="49">
        <f>VLOOKUP($A134,'Data Vlaue (Cr)'!$C:$FB,44)</f>
        <v>1453</v>
      </c>
      <c r="I134" s="49">
        <f>VLOOKUP($A134,'Data Vlaue (Cr)'!$C:$FB,46)*100</f>
        <v>-33.869999999999997</v>
      </c>
      <c r="J134" s="51">
        <f>VLOOKUP($A134,'Data Vlaue (Cr)'!$C:$FB,59)</f>
        <v>1401</v>
      </c>
      <c r="K134" s="51">
        <f>VLOOKUP($A134,'Data Vlaue (Cr)'!$C:$FB,60)</f>
        <v>5298</v>
      </c>
      <c r="L134" s="51">
        <f>VLOOKUP($A134,'Data Vlaue (Cr)'!$C:$FB,62)*100</f>
        <v>-73.56</v>
      </c>
      <c r="M134" s="51">
        <f>VLOOKUP($A134,'Data Vlaue (Cr)'!$C:$FB,63)</f>
        <v>1348</v>
      </c>
      <c r="N134" s="51">
        <f>VLOOKUP($A134,'Data Vlaue (Cr)'!$C:$FB,64)</f>
        <v>4210</v>
      </c>
      <c r="O134" s="51">
        <f>VLOOKUP($A134,'Data Vlaue (Cr)'!$C:$FB,66)*100</f>
        <v>-67.989999999999995</v>
      </c>
    </row>
    <row r="135" spans="1:15" x14ac:dyDescent="0.25">
      <c r="A135" s="101" t="str">
        <f>'Data Vlaue (Cr)'!C130</f>
        <v>LICHSGFIN</v>
      </c>
      <c r="B135" s="50">
        <f>VLOOKUP($A135,'Data Vlaue (Cr)'!$C:$FB,8)</f>
        <v>586.04999999999995</v>
      </c>
      <c r="C135" s="50">
        <f>VLOOKUP($A135,'Data Vlaue (Cr)'!$C:$FB,11)*100</f>
        <v>-0.67999999999999994</v>
      </c>
      <c r="D135" s="50">
        <f>VLOOKUP($A135,'Data Vlaue (Cr)'!$C:$FB,143)</f>
        <v>1703.53</v>
      </c>
      <c r="E135" s="50">
        <f>VLOOKUP($A135,'Data Vlaue (Cr)'!$C:$FB,144)</f>
        <v>1381.35</v>
      </c>
      <c r="F135" s="50">
        <f>VLOOKUP($A135,'Data Vlaue (Cr)'!$C:$FB,146)*100</f>
        <v>23.32</v>
      </c>
      <c r="G135" s="49">
        <f>VLOOKUP($A135,'Data Vlaue (Cr)'!$C:$FB,43)</f>
        <v>815</v>
      </c>
      <c r="H135" s="49">
        <f>VLOOKUP($A135,'Data Vlaue (Cr)'!$C:$FB,44)</f>
        <v>692</v>
      </c>
      <c r="I135" s="49">
        <f>VLOOKUP($A135,'Data Vlaue (Cr)'!$C:$FB,46)*100</f>
        <v>17.849999999999998</v>
      </c>
      <c r="J135" s="51">
        <f>VLOOKUP($A135,'Data Vlaue (Cr)'!$C:$FB,59)</f>
        <v>528</v>
      </c>
      <c r="K135" s="51">
        <f>VLOOKUP($A135,'Data Vlaue (Cr)'!$C:$FB,60)</f>
        <v>352</v>
      </c>
      <c r="L135" s="51">
        <f>VLOOKUP($A135,'Data Vlaue (Cr)'!$C:$FB,62)*100</f>
        <v>50.07</v>
      </c>
      <c r="M135" s="51">
        <f>VLOOKUP($A135,'Data Vlaue (Cr)'!$C:$FB,63)</f>
        <v>311</v>
      </c>
      <c r="N135" s="51">
        <f>VLOOKUP($A135,'Data Vlaue (Cr)'!$C:$FB,64)</f>
        <v>284</v>
      </c>
      <c r="O135" s="51">
        <f>VLOOKUP($A135,'Data Vlaue (Cr)'!$C:$FB,66)*100</f>
        <v>9.41</v>
      </c>
    </row>
    <row r="136" spans="1:15" x14ac:dyDescent="0.25">
      <c r="A136" s="101" t="str">
        <f>'Data Vlaue (Cr)'!C131</f>
        <v>LICI</v>
      </c>
      <c r="B136" s="50">
        <f>VLOOKUP($A136,'Data Vlaue (Cr)'!$C:$FB,8)</f>
        <v>895</v>
      </c>
      <c r="C136" s="50">
        <f>VLOOKUP($A136,'Data Vlaue (Cr)'!$C:$FB,11)*100</f>
        <v>-0.77999999999999992</v>
      </c>
      <c r="D136" s="50">
        <f>VLOOKUP($A136,'Data Vlaue (Cr)'!$C:$FB,143)</f>
        <v>723.27</v>
      </c>
      <c r="E136" s="50">
        <f>VLOOKUP($A136,'Data Vlaue (Cr)'!$C:$FB,144)</f>
        <v>855.38</v>
      </c>
      <c r="F136" s="50">
        <f>VLOOKUP($A136,'Data Vlaue (Cr)'!$C:$FB,146)*100</f>
        <v>-15.440000000000001</v>
      </c>
      <c r="G136" s="49">
        <f>VLOOKUP($A136,'Data Vlaue (Cr)'!$C:$FB,43)</f>
        <v>394</v>
      </c>
      <c r="H136" s="49">
        <f>VLOOKUP($A136,'Data Vlaue (Cr)'!$C:$FB,44)</f>
        <v>381</v>
      </c>
      <c r="I136" s="49">
        <f>VLOOKUP($A136,'Data Vlaue (Cr)'!$C:$FB,46)*100</f>
        <v>3.42</v>
      </c>
      <c r="J136" s="51">
        <f>VLOOKUP($A136,'Data Vlaue (Cr)'!$C:$FB,59)</f>
        <v>197</v>
      </c>
      <c r="K136" s="51">
        <f>VLOOKUP($A136,'Data Vlaue (Cr)'!$C:$FB,60)</f>
        <v>345</v>
      </c>
      <c r="L136" s="51">
        <f>VLOOKUP($A136,'Data Vlaue (Cr)'!$C:$FB,62)*100</f>
        <v>-42.9</v>
      </c>
      <c r="M136" s="51">
        <f>VLOOKUP($A136,'Data Vlaue (Cr)'!$C:$FB,63)</f>
        <v>123</v>
      </c>
      <c r="N136" s="51">
        <f>VLOOKUP($A136,'Data Vlaue (Cr)'!$C:$FB,64)</f>
        <v>110</v>
      </c>
      <c r="O136" s="51">
        <f>VLOOKUP($A136,'Data Vlaue (Cr)'!$C:$FB,66)*100</f>
        <v>11.57</v>
      </c>
    </row>
    <row r="137" spans="1:15" x14ac:dyDescent="0.25">
      <c r="A137" s="101" t="str">
        <f>'Data Vlaue (Cr)'!C132</f>
        <v>LODHA</v>
      </c>
      <c r="B137" s="50">
        <f>VLOOKUP($A137,'Data Vlaue (Cr)'!$C:$FB,8)</f>
        <v>1231.5999999999999</v>
      </c>
      <c r="C137" s="50">
        <f>VLOOKUP($A137,'Data Vlaue (Cr)'!$C:$FB,11)*100</f>
        <v>-0.53</v>
      </c>
      <c r="D137" s="50">
        <f>VLOOKUP($A137,'Data Vlaue (Cr)'!$C:$FB,143)</f>
        <v>1025.04</v>
      </c>
      <c r="E137" s="50">
        <f>VLOOKUP($A137,'Data Vlaue (Cr)'!$C:$FB,144)</f>
        <v>1155.52</v>
      </c>
      <c r="F137" s="50">
        <f>VLOOKUP($A137,'Data Vlaue (Cr)'!$C:$FB,146)*100</f>
        <v>-11.29</v>
      </c>
      <c r="G137" s="49">
        <f>VLOOKUP($A137,'Data Vlaue (Cr)'!$C:$FB,43)</f>
        <v>522</v>
      </c>
      <c r="H137" s="49">
        <f>VLOOKUP($A137,'Data Vlaue (Cr)'!$C:$FB,44)</f>
        <v>551</v>
      </c>
      <c r="I137" s="49">
        <f>VLOOKUP($A137,'Data Vlaue (Cr)'!$C:$FB,46)*100</f>
        <v>-5.09</v>
      </c>
      <c r="J137" s="51">
        <f>VLOOKUP($A137,'Data Vlaue (Cr)'!$C:$FB,59)</f>
        <v>295</v>
      </c>
      <c r="K137" s="51">
        <f>VLOOKUP($A137,'Data Vlaue (Cr)'!$C:$FB,60)</f>
        <v>366</v>
      </c>
      <c r="L137" s="51">
        <f>VLOOKUP($A137,'Data Vlaue (Cr)'!$C:$FB,62)*100</f>
        <v>-19.439999999999998</v>
      </c>
      <c r="M137" s="51">
        <f>VLOOKUP($A137,'Data Vlaue (Cr)'!$C:$FB,63)</f>
        <v>183</v>
      </c>
      <c r="N137" s="51">
        <f>VLOOKUP($A137,'Data Vlaue (Cr)'!$C:$FB,64)</f>
        <v>203</v>
      </c>
      <c r="O137" s="51">
        <f>VLOOKUP($A137,'Data Vlaue (Cr)'!$C:$FB,66)*100</f>
        <v>-9.91</v>
      </c>
    </row>
    <row r="138" spans="1:15" x14ac:dyDescent="0.25">
      <c r="A138" s="101" t="str">
        <f>'Data Vlaue (Cr)'!C133</f>
        <v>LT</v>
      </c>
      <c r="B138" s="50">
        <f>VLOOKUP($A138,'Data Vlaue (Cr)'!$C:$FB,8)</f>
        <v>3636.5</v>
      </c>
      <c r="C138" s="50">
        <f>VLOOKUP($A138,'Data Vlaue (Cr)'!$C:$FB,11)*100</f>
        <v>-0.77999999999999992</v>
      </c>
      <c r="D138" s="50">
        <f>VLOOKUP($A138,'Data Vlaue (Cr)'!$C:$FB,143)</f>
        <v>9399.82</v>
      </c>
      <c r="E138" s="50">
        <f>VLOOKUP($A138,'Data Vlaue (Cr)'!$C:$FB,144)</f>
        <v>43748.17</v>
      </c>
      <c r="F138" s="50">
        <f>VLOOKUP($A138,'Data Vlaue (Cr)'!$C:$FB,146)*100</f>
        <v>-78.510000000000005</v>
      </c>
      <c r="G138" s="49">
        <f>VLOOKUP($A138,'Data Vlaue (Cr)'!$C:$FB,43)</f>
        <v>2537</v>
      </c>
      <c r="H138" s="49">
        <f>VLOOKUP($A138,'Data Vlaue (Cr)'!$C:$FB,44)</f>
        <v>5313</v>
      </c>
      <c r="I138" s="49">
        <f>VLOOKUP($A138,'Data Vlaue (Cr)'!$C:$FB,46)*100</f>
        <v>-52.239999999999995</v>
      </c>
      <c r="J138" s="51">
        <f>VLOOKUP($A138,'Data Vlaue (Cr)'!$C:$FB,59)</f>
        <v>4416</v>
      </c>
      <c r="K138" s="51">
        <f>VLOOKUP($A138,'Data Vlaue (Cr)'!$C:$FB,60)</f>
        <v>28027</v>
      </c>
      <c r="L138" s="51">
        <f>VLOOKUP($A138,'Data Vlaue (Cr)'!$C:$FB,62)*100</f>
        <v>-84.25</v>
      </c>
      <c r="M138" s="51">
        <f>VLOOKUP($A138,'Data Vlaue (Cr)'!$C:$FB,63)</f>
        <v>2378</v>
      </c>
      <c r="N138" s="51">
        <f>VLOOKUP($A138,'Data Vlaue (Cr)'!$C:$FB,64)</f>
        <v>10141</v>
      </c>
      <c r="O138" s="51">
        <f>VLOOKUP($A138,'Data Vlaue (Cr)'!$C:$FB,66)*100</f>
        <v>-76.55</v>
      </c>
    </row>
    <row r="139" spans="1:15" x14ac:dyDescent="0.25">
      <c r="A139" s="101" t="str">
        <f>'Data Vlaue (Cr)'!C134</f>
        <v>LTF</v>
      </c>
      <c r="B139" s="50">
        <f>VLOOKUP($A139,'Data Vlaue (Cr)'!$C:$FB,8)</f>
        <v>202.59</v>
      </c>
      <c r="C139" s="50">
        <f>VLOOKUP($A139,'Data Vlaue (Cr)'!$C:$FB,11)*100</f>
        <v>-0.4</v>
      </c>
      <c r="D139" s="50">
        <f>VLOOKUP($A139,'Data Vlaue (Cr)'!$C:$FB,143)</f>
        <v>1473.1</v>
      </c>
      <c r="E139" s="50">
        <f>VLOOKUP($A139,'Data Vlaue (Cr)'!$C:$FB,144)</f>
        <v>2215.91</v>
      </c>
      <c r="F139" s="50">
        <f>VLOOKUP($A139,'Data Vlaue (Cr)'!$C:$FB,146)*100</f>
        <v>-33.520000000000003</v>
      </c>
      <c r="G139" s="49">
        <f>VLOOKUP($A139,'Data Vlaue (Cr)'!$C:$FB,43)</f>
        <v>731</v>
      </c>
      <c r="H139" s="49">
        <f>VLOOKUP($A139,'Data Vlaue (Cr)'!$C:$FB,44)</f>
        <v>780</v>
      </c>
      <c r="I139" s="49">
        <f>VLOOKUP($A139,'Data Vlaue (Cr)'!$C:$FB,46)*100</f>
        <v>-6.3100000000000005</v>
      </c>
      <c r="J139" s="51">
        <f>VLOOKUP($A139,'Data Vlaue (Cr)'!$C:$FB,59)</f>
        <v>475</v>
      </c>
      <c r="K139" s="51">
        <f>VLOOKUP($A139,'Data Vlaue (Cr)'!$C:$FB,60)</f>
        <v>847</v>
      </c>
      <c r="L139" s="51">
        <f>VLOOKUP($A139,'Data Vlaue (Cr)'!$C:$FB,62)*100</f>
        <v>-43.919999999999995</v>
      </c>
      <c r="M139" s="51">
        <f>VLOOKUP($A139,'Data Vlaue (Cr)'!$C:$FB,63)</f>
        <v>245</v>
      </c>
      <c r="N139" s="51">
        <f>VLOOKUP($A139,'Data Vlaue (Cr)'!$C:$FB,64)</f>
        <v>546</v>
      </c>
      <c r="O139" s="51">
        <f>VLOOKUP($A139,'Data Vlaue (Cr)'!$C:$FB,66)*100</f>
        <v>-55.110000000000007</v>
      </c>
    </row>
    <row r="140" spans="1:15" x14ac:dyDescent="0.25">
      <c r="A140" s="101" t="str">
        <f>'Data Vlaue (Cr)'!C135</f>
        <v>LTIM</v>
      </c>
      <c r="B140" s="50">
        <f>VLOOKUP($A140,'Data Vlaue (Cr)'!$C:$FB,8)</f>
        <v>5106</v>
      </c>
      <c r="C140" s="50">
        <f>VLOOKUP($A140,'Data Vlaue (Cr)'!$C:$FB,11)*100</f>
        <v>-0.65</v>
      </c>
      <c r="D140" s="50">
        <f>VLOOKUP($A140,'Data Vlaue (Cr)'!$C:$FB,143)</f>
        <v>951.71</v>
      </c>
      <c r="E140" s="50">
        <f>VLOOKUP($A140,'Data Vlaue (Cr)'!$C:$FB,144)</f>
        <v>1643.22</v>
      </c>
      <c r="F140" s="50">
        <f>VLOOKUP($A140,'Data Vlaue (Cr)'!$C:$FB,146)*100</f>
        <v>-42.08</v>
      </c>
      <c r="G140" s="49">
        <f>VLOOKUP($A140,'Data Vlaue (Cr)'!$C:$FB,43)</f>
        <v>411</v>
      </c>
      <c r="H140" s="49">
        <f>VLOOKUP($A140,'Data Vlaue (Cr)'!$C:$FB,44)</f>
        <v>786</v>
      </c>
      <c r="I140" s="49">
        <f>VLOOKUP($A140,'Data Vlaue (Cr)'!$C:$FB,46)*100</f>
        <v>-47.68</v>
      </c>
      <c r="J140" s="51">
        <f>VLOOKUP($A140,'Data Vlaue (Cr)'!$C:$FB,59)</f>
        <v>371</v>
      </c>
      <c r="K140" s="51">
        <f>VLOOKUP($A140,'Data Vlaue (Cr)'!$C:$FB,60)</f>
        <v>612</v>
      </c>
      <c r="L140" s="51">
        <f>VLOOKUP($A140,'Data Vlaue (Cr)'!$C:$FB,62)*100</f>
        <v>-39.31</v>
      </c>
      <c r="M140" s="51">
        <f>VLOOKUP($A140,'Data Vlaue (Cr)'!$C:$FB,63)</f>
        <v>151</v>
      </c>
      <c r="N140" s="51">
        <f>VLOOKUP($A140,'Data Vlaue (Cr)'!$C:$FB,64)</f>
        <v>225</v>
      </c>
      <c r="O140" s="51">
        <f>VLOOKUP($A140,'Data Vlaue (Cr)'!$C:$FB,66)*100</f>
        <v>-32.56</v>
      </c>
    </row>
    <row r="141" spans="1:15" x14ac:dyDescent="0.25">
      <c r="A141" s="101" t="str">
        <f>'Data Vlaue (Cr)'!C136</f>
        <v>LUPIN</v>
      </c>
      <c r="B141" s="50">
        <f>VLOOKUP($A141,'Data Vlaue (Cr)'!$C:$FB,8)</f>
        <v>1929.1</v>
      </c>
      <c r="C141" s="50">
        <f>VLOOKUP($A141,'Data Vlaue (Cr)'!$C:$FB,11)*100</f>
        <v>-2.8000000000000003</v>
      </c>
      <c r="D141" s="50">
        <f>VLOOKUP($A141,'Data Vlaue (Cr)'!$C:$FB,143)</f>
        <v>2943.66</v>
      </c>
      <c r="E141" s="50">
        <f>VLOOKUP($A141,'Data Vlaue (Cr)'!$C:$FB,144)</f>
        <v>2462.15</v>
      </c>
      <c r="F141" s="50">
        <f>VLOOKUP($A141,'Data Vlaue (Cr)'!$C:$FB,146)*100</f>
        <v>19.559999999999999</v>
      </c>
      <c r="G141" s="49">
        <f>VLOOKUP($A141,'Data Vlaue (Cr)'!$C:$FB,43)</f>
        <v>1688</v>
      </c>
      <c r="H141" s="49">
        <f>VLOOKUP($A141,'Data Vlaue (Cr)'!$C:$FB,44)</f>
        <v>1493</v>
      </c>
      <c r="I141" s="49">
        <f>VLOOKUP($A141,'Data Vlaue (Cr)'!$C:$FB,46)*100</f>
        <v>13.059999999999999</v>
      </c>
      <c r="J141" s="51">
        <f>VLOOKUP($A141,'Data Vlaue (Cr)'!$C:$FB,59)</f>
        <v>631</v>
      </c>
      <c r="K141" s="51">
        <f>VLOOKUP($A141,'Data Vlaue (Cr)'!$C:$FB,60)</f>
        <v>625</v>
      </c>
      <c r="L141" s="51">
        <f>VLOOKUP($A141,'Data Vlaue (Cr)'!$C:$FB,62)*100</f>
        <v>1</v>
      </c>
      <c r="M141" s="51">
        <f>VLOOKUP($A141,'Data Vlaue (Cr)'!$C:$FB,63)</f>
        <v>581</v>
      </c>
      <c r="N141" s="51">
        <f>VLOOKUP($A141,'Data Vlaue (Cr)'!$C:$FB,64)</f>
        <v>265</v>
      </c>
      <c r="O141" s="51">
        <f>VLOOKUP($A141,'Data Vlaue (Cr)'!$C:$FB,66)*100</f>
        <v>119.30000000000001</v>
      </c>
    </row>
    <row r="142" spans="1:15" x14ac:dyDescent="0.25">
      <c r="A142" s="101" t="str">
        <f>'Data Vlaue (Cr)'!C137</f>
        <v>M&amp;M</v>
      </c>
      <c r="B142" s="50">
        <f>VLOOKUP($A142,'Data Vlaue (Cr)'!$C:$FB,8)</f>
        <v>3203.1</v>
      </c>
      <c r="C142" s="50">
        <f>VLOOKUP($A142,'Data Vlaue (Cr)'!$C:$FB,11)*100</f>
        <v>-0.18</v>
      </c>
      <c r="D142" s="50">
        <f>VLOOKUP($A142,'Data Vlaue (Cr)'!$C:$FB,143)</f>
        <v>16078.83</v>
      </c>
      <c r="E142" s="50">
        <f>VLOOKUP($A142,'Data Vlaue (Cr)'!$C:$FB,144)</f>
        <v>14080.7</v>
      </c>
      <c r="F142" s="50">
        <f>VLOOKUP($A142,'Data Vlaue (Cr)'!$C:$FB,146)*100</f>
        <v>14.19</v>
      </c>
      <c r="G142" s="49">
        <f>VLOOKUP($A142,'Data Vlaue (Cr)'!$C:$FB,43)</f>
        <v>3444</v>
      </c>
      <c r="H142" s="49">
        <f>VLOOKUP($A142,'Data Vlaue (Cr)'!$C:$FB,44)</f>
        <v>4730</v>
      </c>
      <c r="I142" s="49">
        <f>VLOOKUP($A142,'Data Vlaue (Cr)'!$C:$FB,46)*100</f>
        <v>-27.189999999999998</v>
      </c>
      <c r="J142" s="51">
        <f>VLOOKUP($A142,'Data Vlaue (Cr)'!$C:$FB,59)</f>
        <v>8638</v>
      </c>
      <c r="K142" s="51">
        <f>VLOOKUP($A142,'Data Vlaue (Cr)'!$C:$FB,60)</f>
        <v>6262</v>
      </c>
      <c r="L142" s="51">
        <f>VLOOKUP($A142,'Data Vlaue (Cr)'!$C:$FB,62)*100</f>
        <v>37.950000000000003</v>
      </c>
      <c r="M142" s="51">
        <f>VLOOKUP($A142,'Data Vlaue (Cr)'!$C:$FB,63)</f>
        <v>3732</v>
      </c>
      <c r="N142" s="51">
        <f>VLOOKUP($A142,'Data Vlaue (Cr)'!$C:$FB,64)</f>
        <v>2907</v>
      </c>
      <c r="O142" s="51">
        <f>VLOOKUP($A142,'Data Vlaue (Cr)'!$C:$FB,66)*100</f>
        <v>28.349999999999998</v>
      </c>
    </row>
    <row r="143" spans="1:15" x14ac:dyDescent="0.25">
      <c r="A143" s="101" t="str">
        <f>'Data Vlaue (Cr)'!C138</f>
        <v>M&amp;MFIN</v>
      </c>
      <c r="B143" s="50">
        <f>VLOOKUP($A143,'Data Vlaue (Cr)'!$C:$FB,8)</f>
        <v>257.5</v>
      </c>
      <c r="C143" s="50">
        <f>VLOOKUP($A143,'Data Vlaue (Cr)'!$C:$FB,11)*100</f>
        <v>-0.06</v>
      </c>
      <c r="D143" s="50">
        <f>VLOOKUP($A143,'Data Vlaue (Cr)'!$C:$FB,143)</f>
        <v>329.91</v>
      </c>
      <c r="E143" s="50">
        <f>VLOOKUP($A143,'Data Vlaue (Cr)'!$C:$FB,144)</f>
        <v>425.81</v>
      </c>
      <c r="F143" s="50">
        <f>VLOOKUP($A143,'Data Vlaue (Cr)'!$C:$FB,146)*100</f>
        <v>-22.52</v>
      </c>
      <c r="G143" s="49">
        <f>VLOOKUP($A143,'Data Vlaue (Cr)'!$C:$FB,43)</f>
        <v>0</v>
      </c>
      <c r="H143" s="49">
        <f>VLOOKUP($A143,'Data Vlaue (Cr)'!$C:$FB,44)</f>
        <v>0</v>
      </c>
      <c r="I143" s="49">
        <f>VLOOKUP($A143,'Data Vlaue (Cr)'!$C:$FB,46)*100</f>
        <v>6.92</v>
      </c>
      <c r="J143" s="51">
        <f>VLOOKUP($A143,'Data Vlaue (Cr)'!$C:$FB,59)</f>
        <v>0</v>
      </c>
      <c r="K143" s="51">
        <f>VLOOKUP($A143,'Data Vlaue (Cr)'!$C:$FB,60)</f>
        <v>0</v>
      </c>
      <c r="L143" s="51">
        <f>VLOOKUP($A143,'Data Vlaue (Cr)'!$C:$FB,62)*100</f>
        <v>-42.02</v>
      </c>
      <c r="M143" s="51">
        <f>VLOOKUP($A143,'Data Vlaue (Cr)'!$C:$FB,63)</f>
        <v>0</v>
      </c>
      <c r="N143" s="51">
        <f>VLOOKUP($A143,'Data Vlaue (Cr)'!$C:$FB,64)</f>
        <v>0</v>
      </c>
      <c r="O143" s="51">
        <f>VLOOKUP($A143,'Data Vlaue (Cr)'!$C:$FB,66)*100</f>
        <v>-32.14</v>
      </c>
    </row>
    <row r="144" spans="1:15" x14ac:dyDescent="0.25">
      <c r="A144" s="101" t="str">
        <f>'Data Vlaue (Cr)'!C139</f>
        <v>MANAPPURAM</v>
      </c>
      <c r="B144" s="50">
        <f>VLOOKUP($A144,'Data Vlaue (Cr)'!$C:$FB,8)</f>
        <v>253.05</v>
      </c>
      <c r="C144" s="50">
        <f>VLOOKUP($A144,'Data Vlaue (Cr)'!$C:$FB,11)*100</f>
        <v>-1.3599999999999999</v>
      </c>
      <c r="D144" s="50">
        <f>VLOOKUP($A144,'Data Vlaue (Cr)'!$C:$FB,143)</f>
        <v>877.52</v>
      </c>
      <c r="E144" s="50">
        <f>VLOOKUP($A144,'Data Vlaue (Cr)'!$C:$FB,144)</f>
        <v>1182.83</v>
      </c>
      <c r="F144" s="50">
        <f>VLOOKUP($A144,'Data Vlaue (Cr)'!$C:$FB,146)*100</f>
        <v>-25.81</v>
      </c>
      <c r="G144" s="49">
        <f>VLOOKUP($A144,'Data Vlaue (Cr)'!$C:$FB,43)</f>
        <v>370</v>
      </c>
      <c r="H144" s="49">
        <f>VLOOKUP($A144,'Data Vlaue (Cr)'!$C:$FB,44)</f>
        <v>460</v>
      </c>
      <c r="I144" s="49">
        <f>VLOOKUP($A144,'Data Vlaue (Cr)'!$C:$FB,46)*100</f>
        <v>-19.5</v>
      </c>
      <c r="J144" s="51">
        <f>VLOOKUP($A144,'Data Vlaue (Cr)'!$C:$FB,59)</f>
        <v>230</v>
      </c>
      <c r="K144" s="51">
        <f>VLOOKUP($A144,'Data Vlaue (Cr)'!$C:$FB,60)</f>
        <v>338</v>
      </c>
      <c r="L144" s="51">
        <f>VLOOKUP($A144,'Data Vlaue (Cr)'!$C:$FB,62)*100</f>
        <v>-31.95</v>
      </c>
      <c r="M144" s="51">
        <f>VLOOKUP($A144,'Data Vlaue (Cr)'!$C:$FB,63)</f>
        <v>267</v>
      </c>
      <c r="N144" s="51">
        <f>VLOOKUP($A144,'Data Vlaue (Cr)'!$C:$FB,64)</f>
        <v>365</v>
      </c>
      <c r="O144" s="51">
        <f>VLOOKUP($A144,'Data Vlaue (Cr)'!$C:$FB,66)*100</f>
        <v>-26.740000000000002</v>
      </c>
    </row>
    <row r="145" spans="1:15" x14ac:dyDescent="0.25">
      <c r="A145" s="101" t="str">
        <f>'Data Vlaue (Cr)'!C140</f>
        <v>MANKIND</v>
      </c>
      <c r="B145" s="50">
        <f>VLOOKUP($A145,'Data Vlaue (Cr)'!$C:$FB,8)</f>
        <v>2567.1999999999998</v>
      </c>
      <c r="C145" s="50">
        <f>VLOOKUP($A145,'Data Vlaue (Cr)'!$C:$FB,11)*100</f>
        <v>-0.32</v>
      </c>
      <c r="D145" s="50">
        <f>VLOOKUP($A145,'Data Vlaue (Cr)'!$C:$FB,143)</f>
        <v>1248.92</v>
      </c>
      <c r="E145" s="50">
        <f>VLOOKUP($A145,'Data Vlaue (Cr)'!$C:$FB,144)</f>
        <v>1116.75</v>
      </c>
      <c r="F145" s="50">
        <f>VLOOKUP($A145,'Data Vlaue (Cr)'!$C:$FB,146)*100</f>
        <v>11.84</v>
      </c>
      <c r="G145" s="49">
        <f>VLOOKUP($A145,'Data Vlaue (Cr)'!$C:$FB,43)</f>
        <v>498</v>
      </c>
      <c r="H145" s="49">
        <f>VLOOKUP($A145,'Data Vlaue (Cr)'!$C:$FB,44)</f>
        <v>416</v>
      </c>
      <c r="I145" s="49">
        <f>VLOOKUP($A145,'Data Vlaue (Cr)'!$C:$FB,46)*100</f>
        <v>19.689999999999998</v>
      </c>
      <c r="J145" s="51">
        <f>VLOOKUP($A145,'Data Vlaue (Cr)'!$C:$FB,59)</f>
        <v>475</v>
      </c>
      <c r="K145" s="51">
        <f>VLOOKUP($A145,'Data Vlaue (Cr)'!$C:$FB,60)</f>
        <v>499</v>
      </c>
      <c r="L145" s="51">
        <f>VLOOKUP($A145,'Data Vlaue (Cr)'!$C:$FB,62)*100</f>
        <v>-4.87</v>
      </c>
      <c r="M145" s="51">
        <f>VLOOKUP($A145,'Data Vlaue (Cr)'!$C:$FB,63)</f>
        <v>247</v>
      </c>
      <c r="N145" s="51">
        <f>VLOOKUP($A145,'Data Vlaue (Cr)'!$C:$FB,64)</f>
        <v>168</v>
      </c>
      <c r="O145" s="51">
        <f>VLOOKUP($A145,'Data Vlaue (Cr)'!$C:$FB,66)*100</f>
        <v>47.11</v>
      </c>
    </row>
    <row r="146" spans="1:15" x14ac:dyDescent="0.25">
      <c r="A146" s="101" t="str">
        <f>'Data Vlaue (Cr)'!C141</f>
        <v>MARICO</v>
      </c>
      <c r="B146" s="50">
        <f>VLOOKUP($A146,'Data Vlaue (Cr)'!$C:$FB,8)</f>
        <v>709.8</v>
      </c>
      <c r="C146" s="50">
        <f>VLOOKUP($A146,'Data Vlaue (Cr)'!$C:$FB,11)*100</f>
        <v>0.96</v>
      </c>
      <c r="D146" s="50">
        <f>VLOOKUP($A146,'Data Vlaue (Cr)'!$C:$FB,143)</f>
        <v>1036.8900000000001</v>
      </c>
      <c r="E146" s="50">
        <f>VLOOKUP($A146,'Data Vlaue (Cr)'!$C:$FB,144)</f>
        <v>1110.81</v>
      </c>
      <c r="F146" s="50">
        <f>VLOOKUP($A146,'Data Vlaue (Cr)'!$C:$FB,146)*100</f>
        <v>-6.65</v>
      </c>
      <c r="G146" s="49">
        <f>VLOOKUP($A146,'Data Vlaue (Cr)'!$C:$FB,43)</f>
        <v>499</v>
      </c>
      <c r="H146" s="49">
        <f>VLOOKUP($A146,'Data Vlaue (Cr)'!$C:$FB,44)</f>
        <v>762</v>
      </c>
      <c r="I146" s="49">
        <f>VLOOKUP($A146,'Data Vlaue (Cr)'!$C:$FB,46)*100</f>
        <v>-34.44</v>
      </c>
      <c r="J146" s="51">
        <f>VLOOKUP($A146,'Data Vlaue (Cr)'!$C:$FB,59)</f>
        <v>386</v>
      </c>
      <c r="K146" s="51">
        <f>VLOOKUP($A146,'Data Vlaue (Cr)'!$C:$FB,60)</f>
        <v>225</v>
      </c>
      <c r="L146" s="51">
        <f>VLOOKUP($A146,'Data Vlaue (Cr)'!$C:$FB,62)*100</f>
        <v>71.13000000000001</v>
      </c>
      <c r="M146" s="51">
        <f>VLOOKUP($A146,'Data Vlaue (Cr)'!$C:$FB,63)</f>
        <v>136</v>
      </c>
      <c r="N146" s="51">
        <f>VLOOKUP($A146,'Data Vlaue (Cr)'!$C:$FB,64)</f>
        <v>123</v>
      </c>
      <c r="O146" s="51">
        <f>VLOOKUP($A146,'Data Vlaue (Cr)'!$C:$FB,66)*100</f>
        <v>10.299999999999999</v>
      </c>
    </row>
    <row r="147" spans="1:15" x14ac:dyDescent="0.25">
      <c r="A147" s="101" t="str">
        <f>'Data Vlaue (Cr)'!C142</f>
        <v>MARUTI</v>
      </c>
      <c r="B147" s="50">
        <f>VLOOKUP($A147,'Data Vlaue (Cr)'!$C:$FB,8)</f>
        <v>12608</v>
      </c>
      <c r="C147" s="50">
        <f>VLOOKUP($A147,'Data Vlaue (Cr)'!$C:$FB,11)*100</f>
        <v>-0.08</v>
      </c>
      <c r="D147" s="50">
        <f>VLOOKUP($A147,'Data Vlaue (Cr)'!$C:$FB,143)</f>
        <v>15868.13</v>
      </c>
      <c r="E147" s="50">
        <f>VLOOKUP($A147,'Data Vlaue (Cr)'!$C:$FB,144)</f>
        <v>12079.64</v>
      </c>
      <c r="F147" s="50">
        <f>VLOOKUP($A147,'Data Vlaue (Cr)'!$C:$FB,146)*100</f>
        <v>31.36</v>
      </c>
      <c r="G147" s="49">
        <f>VLOOKUP($A147,'Data Vlaue (Cr)'!$C:$FB,43)</f>
        <v>2747</v>
      </c>
      <c r="H147" s="49">
        <f>VLOOKUP($A147,'Data Vlaue (Cr)'!$C:$FB,44)</f>
        <v>2766</v>
      </c>
      <c r="I147" s="49">
        <f>VLOOKUP($A147,'Data Vlaue (Cr)'!$C:$FB,46)*100</f>
        <v>-0.71000000000000008</v>
      </c>
      <c r="J147" s="51">
        <f>VLOOKUP($A147,'Data Vlaue (Cr)'!$C:$FB,59)</f>
        <v>9012</v>
      </c>
      <c r="K147" s="51">
        <f>VLOOKUP($A147,'Data Vlaue (Cr)'!$C:$FB,60)</f>
        <v>6712</v>
      </c>
      <c r="L147" s="51">
        <f>VLOOKUP($A147,'Data Vlaue (Cr)'!$C:$FB,62)*100</f>
        <v>34.270000000000003</v>
      </c>
      <c r="M147" s="51">
        <f>VLOOKUP($A147,'Data Vlaue (Cr)'!$C:$FB,63)</f>
        <v>3876</v>
      </c>
      <c r="N147" s="51">
        <f>VLOOKUP($A147,'Data Vlaue (Cr)'!$C:$FB,64)</f>
        <v>2469</v>
      </c>
      <c r="O147" s="51">
        <f>VLOOKUP($A147,'Data Vlaue (Cr)'!$C:$FB,66)*100</f>
        <v>56.98</v>
      </c>
    </row>
    <row r="148" spans="1:15" x14ac:dyDescent="0.25">
      <c r="A148" s="101" t="str">
        <f>'Data Vlaue (Cr)'!C143</f>
        <v>MAXHEALTH</v>
      </c>
      <c r="B148" s="50">
        <f>VLOOKUP($A148,'Data Vlaue (Cr)'!$C:$FB,8)</f>
        <v>1246</v>
      </c>
      <c r="C148" s="50">
        <f>VLOOKUP($A148,'Data Vlaue (Cr)'!$C:$FB,11)*100</f>
        <v>-1.47</v>
      </c>
      <c r="D148" s="50">
        <f>VLOOKUP($A148,'Data Vlaue (Cr)'!$C:$FB,143)</f>
        <v>1036.83</v>
      </c>
      <c r="E148" s="50">
        <f>VLOOKUP($A148,'Data Vlaue (Cr)'!$C:$FB,144)</f>
        <v>1400.73</v>
      </c>
      <c r="F148" s="50">
        <f>VLOOKUP($A148,'Data Vlaue (Cr)'!$C:$FB,146)*100</f>
        <v>-25.979999999999997</v>
      </c>
      <c r="G148" s="49">
        <f>VLOOKUP($A148,'Data Vlaue (Cr)'!$C:$FB,43)</f>
        <v>694</v>
      </c>
      <c r="H148" s="49">
        <f>VLOOKUP($A148,'Data Vlaue (Cr)'!$C:$FB,44)</f>
        <v>970</v>
      </c>
      <c r="I148" s="49">
        <f>VLOOKUP($A148,'Data Vlaue (Cr)'!$C:$FB,46)*100</f>
        <v>-28.37</v>
      </c>
      <c r="J148" s="51">
        <f>VLOOKUP($A148,'Data Vlaue (Cr)'!$C:$FB,59)</f>
        <v>212</v>
      </c>
      <c r="K148" s="51">
        <f>VLOOKUP($A148,'Data Vlaue (Cr)'!$C:$FB,60)</f>
        <v>282</v>
      </c>
      <c r="L148" s="51">
        <f>VLOOKUP($A148,'Data Vlaue (Cr)'!$C:$FB,62)*100</f>
        <v>-24.7</v>
      </c>
      <c r="M148" s="51">
        <f>VLOOKUP($A148,'Data Vlaue (Cr)'!$C:$FB,63)</f>
        <v>114</v>
      </c>
      <c r="N148" s="51">
        <f>VLOOKUP($A148,'Data Vlaue (Cr)'!$C:$FB,64)</f>
        <v>122</v>
      </c>
      <c r="O148" s="51">
        <f>VLOOKUP($A148,'Data Vlaue (Cr)'!$C:$FB,66)*100</f>
        <v>-7.04</v>
      </c>
    </row>
    <row r="149" spans="1:15" x14ac:dyDescent="0.25">
      <c r="A149" s="101" t="str">
        <f>'Data Vlaue (Cr)'!C144</f>
        <v>MAZDOCK</v>
      </c>
      <c r="B149" s="50">
        <f>VLOOKUP($A149,'Data Vlaue (Cr)'!$C:$FB,8)</f>
        <v>2771.2</v>
      </c>
      <c r="C149" s="50">
        <f>VLOOKUP($A149,'Data Vlaue (Cr)'!$C:$FB,11)*100</f>
        <v>0.42</v>
      </c>
      <c r="D149" s="50">
        <f>VLOOKUP($A149,'Data Vlaue (Cr)'!$C:$FB,143)</f>
        <v>2719.13</v>
      </c>
      <c r="E149" s="50">
        <f>VLOOKUP($A149,'Data Vlaue (Cr)'!$C:$FB,144)</f>
        <v>2898.72</v>
      </c>
      <c r="F149" s="50">
        <f>VLOOKUP($A149,'Data Vlaue (Cr)'!$C:$FB,146)*100</f>
        <v>-6.2</v>
      </c>
      <c r="G149" s="49">
        <f>VLOOKUP($A149,'Data Vlaue (Cr)'!$C:$FB,43)</f>
        <v>664</v>
      </c>
      <c r="H149" s="49">
        <f>VLOOKUP($A149,'Data Vlaue (Cr)'!$C:$FB,44)</f>
        <v>789</v>
      </c>
      <c r="I149" s="49">
        <f>VLOOKUP($A149,'Data Vlaue (Cr)'!$C:$FB,46)*100</f>
        <v>-15.879999999999999</v>
      </c>
      <c r="J149" s="51">
        <f>VLOOKUP($A149,'Data Vlaue (Cr)'!$C:$FB,59)</f>
        <v>1473</v>
      </c>
      <c r="K149" s="51">
        <f>VLOOKUP($A149,'Data Vlaue (Cr)'!$C:$FB,60)</f>
        <v>1502</v>
      </c>
      <c r="L149" s="51">
        <f>VLOOKUP($A149,'Data Vlaue (Cr)'!$C:$FB,62)*100</f>
        <v>-1.87</v>
      </c>
      <c r="M149" s="51">
        <f>VLOOKUP($A149,'Data Vlaue (Cr)'!$C:$FB,63)</f>
        <v>463</v>
      </c>
      <c r="N149" s="51">
        <f>VLOOKUP($A149,'Data Vlaue (Cr)'!$C:$FB,64)</f>
        <v>530</v>
      </c>
      <c r="O149" s="51">
        <f>VLOOKUP($A149,'Data Vlaue (Cr)'!$C:$FB,66)*100</f>
        <v>-12.55</v>
      </c>
    </row>
    <row r="150" spans="1:15" x14ac:dyDescent="0.25">
      <c r="A150" s="101" t="str">
        <f>'Data Vlaue (Cr)'!C145</f>
        <v>MCX</v>
      </c>
      <c r="B150" s="50">
        <f>VLOOKUP($A150,'Data Vlaue (Cr)'!$C:$FB,8)</f>
        <v>7693</v>
      </c>
      <c r="C150" s="50">
        <f>VLOOKUP($A150,'Data Vlaue (Cr)'!$C:$FB,11)*100</f>
        <v>-1.21</v>
      </c>
      <c r="D150" s="50">
        <f>VLOOKUP($A150,'Data Vlaue (Cr)'!$C:$FB,143)</f>
        <v>5541.97</v>
      </c>
      <c r="E150" s="50">
        <f>VLOOKUP($A150,'Data Vlaue (Cr)'!$C:$FB,144)</f>
        <v>6352.87</v>
      </c>
      <c r="F150" s="50">
        <f>VLOOKUP($A150,'Data Vlaue (Cr)'!$C:$FB,146)*100</f>
        <v>-12.76</v>
      </c>
      <c r="G150" s="49">
        <f>VLOOKUP($A150,'Data Vlaue (Cr)'!$C:$FB,43)</f>
        <v>1134</v>
      </c>
      <c r="H150" s="49">
        <f>VLOOKUP($A150,'Data Vlaue (Cr)'!$C:$FB,44)</f>
        <v>1110</v>
      </c>
      <c r="I150" s="49">
        <f>VLOOKUP($A150,'Data Vlaue (Cr)'!$C:$FB,46)*100</f>
        <v>2.11</v>
      </c>
      <c r="J150" s="51">
        <f>VLOOKUP($A150,'Data Vlaue (Cr)'!$C:$FB,59)</f>
        <v>2645</v>
      </c>
      <c r="K150" s="51">
        <f>VLOOKUP($A150,'Data Vlaue (Cr)'!$C:$FB,60)</f>
        <v>2971</v>
      </c>
      <c r="L150" s="51">
        <f>VLOOKUP($A150,'Data Vlaue (Cr)'!$C:$FB,62)*100</f>
        <v>-10.979999999999999</v>
      </c>
      <c r="M150" s="51">
        <f>VLOOKUP($A150,'Data Vlaue (Cr)'!$C:$FB,63)</f>
        <v>1532</v>
      </c>
      <c r="N150" s="51">
        <f>VLOOKUP($A150,'Data Vlaue (Cr)'!$C:$FB,64)</f>
        <v>2027</v>
      </c>
      <c r="O150" s="51">
        <f>VLOOKUP($A150,'Data Vlaue (Cr)'!$C:$FB,66)*100</f>
        <v>-24.44</v>
      </c>
    </row>
    <row r="151" spans="1:15" x14ac:dyDescent="0.25">
      <c r="A151" s="101" t="str">
        <f>'Data Vlaue (Cr)'!C146</f>
        <v>MFSL</v>
      </c>
      <c r="B151" s="50">
        <f>VLOOKUP($A151,'Data Vlaue (Cr)'!$C:$FB,8)</f>
        <v>1501.4</v>
      </c>
      <c r="C151" s="50">
        <f>VLOOKUP($A151,'Data Vlaue (Cr)'!$C:$FB,11)*100</f>
        <v>-0.44999999999999996</v>
      </c>
      <c r="D151" s="50">
        <f>VLOOKUP($A151,'Data Vlaue (Cr)'!$C:$FB,143)</f>
        <v>654.95000000000005</v>
      </c>
      <c r="E151" s="50">
        <f>VLOOKUP($A151,'Data Vlaue (Cr)'!$C:$FB,144)</f>
        <v>1057.44</v>
      </c>
      <c r="F151" s="50">
        <f>VLOOKUP($A151,'Data Vlaue (Cr)'!$C:$FB,146)*100</f>
        <v>-38.06</v>
      </c>
      <c r="G151" s="49">
        <f>VLOOKUP($A151,'Data Vlaue (Cr)'!$C:$FB,43)</f>
        <v>361</v>
      </c>
      <c r="H151" s="49">
        <f>VLOOKUP($A151,'Data Vlaue (Cr)'!$C:$FB,44)</f>
        <v>596</v>
      </c>
      <c r="I151" s="49">
        <f>VLOOKUP($A151,'Data Vlaue (Cr)'!$C:$FB,46)*100</f>
        <v>-39.43</v>
      </c>
      <c r="J151" s="51">
        <f>VLOOKUP($A151,'Data Vlaue (Cr)'!$C:$FB,59)</f>
        <v>121</v>
      </c>
      <c r="K151" s="51">
        <f>VLOOKUP($A151,'Data Vlaue (Cr)'!$C:$FB,60)</f>
        <v>311</v>
      </c>
      <c r="L151" s="51">
        <f>VLOOKUP($A151,'Data Vlaue (Cr)'!$C:$FB,62)*100</f>
        <v>-61.18</v>
      </c>
      <c r="M151" s="51">
        <f>VLOOKUP($A151,'Data Vlaue (Cr)'!$C:$FB,63)</f>
        <v>168</v>
      </c>
      <c r="N151" s="51">
        <f>VLOOKUP($A151,'Data Vlaue (Cr)'!$C:$FB,64)</f>
        <v>143</v>
      </c>
      <c r="O151" s="51">
        <f>VLOOKUP($A151,'Data Vlaue (Cr)'!$C:$FB,66)*100</f>
        <v>17.91</v>
      </c>
    </row>
    <row r="152" spans="1:15" x14ac:dyDescent="0.25">
      <c r="A152" s="101" t="str">
        <f>'Data Vlaue (Cr)'!C147</f>
        <v>MGL</v>
      </c>
      <c r="B152" s="50">
        <f>VLOOKUP($A152,'Data Vlaue (Cr)'!$C:$FB,8)</f>
        <v>1358.1</v>
      </c>
      <c r="C152" s="50">
        <f>VLOOKUP($A152,'Data Vlaue (Cr)'!$C:$FB,11)*100</f>
        <v>-3.84</v>
      </c>
      <c r="D152" s="50">
        <f>VLOOKUP($A152,'Data Vlaue (Cr)'!$C:$FB,143)</f>
        <v>420.37</v>
      </c>
      <c r="E152" s="50">
        <f>VLOOKUP($A152,'Data Vlaue (Cr)'!$C:$FB,144)</f>
        <v>725.83</v>
      </c>
      <c r="F152" s="50">
        <f>VLOOKUP($A152,'Data Vlaue (Cr)'!$C:$FB,146)*100</f>
        <v>-42.08</v>
      </c>
      <c r="G152" s="49">
        <f>VLOOKUP($A152,'Data Vlaue (Cr)'!$C:$FB,43)</f>
        <v>0</v>
      </c>
      <c r="H152" s="49">
        <f>VLOOKUP($A152,'Data Vlaue (Cr)'!$C:$FB,44)</f>
        <v>0</v>
      </c>
      <c r="I152" s="49">
        <f>VLOOKUP($A152,'Data Vlaue (Cr)'!$C:$FB,46)*100</f>
        <v>1.5</v>
      </c>
      <c r="J152" s="51">
        <f>VLOOKUP($A152,'Data Vlaue (Cr)'!$C:$FB,59)</f>
        <v>0</v>
      </c>
      <c r="K152" s="51">
        <f>VLOOKUP($A152,'Data Vlaue (Cr)'!$C:$FB,60)</f>
        <v>0</v>
      </c>
      <c r="L152" s="51">
        <f>VLOOKUP($A152,'Data Vlaue (Cr)'!$C:$FB,62)*100</f>
        <v>-51.080000000000005</v>
      </c>
      <c r="M152" s="51">
        <f>VLOOKUP($A152,'Data Vlaue (Cr)'!$C:$FB,63)</f>
        <v>0</v>
      </c>
      <c r="N152" s="51">
        <f>VLOOKUP($A152,'Data Vlaue (Cr)'!$C:$FB,64)</f>
        <v>0</v>
      </c>
      <c r="O152" s="51">
        <f>VLOOKUP($A152,'Data Vlaue (Cr)'!$C:$FB,66)*100</f>
        <v>-44.690000000000005</v>
      </c>
    </row>
    <row r="153" spans="1:15" x14ac:dyDescent="0.25">
      <c r="A153" s="101" t="str">
        <f>'Data Vlaue (Cr)'!C148</f>
        <v>MIDCPNIFTY</v>
      </c>
      <c r="B153" s="50">
        <f>VLOOKUP($A153,'Data Vlaue (Cr)'!$C:$FB,8)</f>
        <v>12867.1</v>
      </c>
      <c r="C153" s="50">
        <f>VLOOKUP($A153,'Data Vlaue (Cr)'!$C:$FB,11)*100</f>
        <v>-1.0999999999999999</v>
      </c>
      <c r="D153" s="50">
        <f>VLOOKUP($A153,'Data Vlaue (Cr)'!$C:$FB,143)</f>
        <v>1988018.67</v>
      </c>
      <c r="E153" s="50">
        <f>VLOOKUP($A153,'Data Vlaue (Cr)'!$C:$FB,144)</f>
        <v>546048.30000000005</v>
      </c>
      <c r="F153" s="50">
        <f>VLOOKUP($A153,'Data Vlaue (Cr)'!$C:$FB,146)*100</f>
        <v>264.07</v>
      </c>
      <c r="G153" s="49">
        <f>VLOOKUP($A153,'Data Vlaue (Cr)'!$C:$FB,43)</f>
        <v>3050</v>
      </c>
      <c r="H153" s="49">
        <f>VLOOKUP($A153,'Data Vlaue (Cr)'!$C:$FB,44)</f>
        <v>1793</v>
      </c>
      <c r="I153" s="49">
        <f>VLOOKUP($A153,'Data Vlaue (Cr)'!$C:$FB,46)*100</f>
        <v>70.09</v>
      </c>
      <c r="J153" s="51">
        <f>VLOOKUP($A153,'Data Vlaue (Cr)'!$C:$FB,59)</f>
        <v>1035613</v>
      </c>
      <c r="K153" s="51">
        <f>VLOOKUP($A153,'Data Vlaue (Cr)'!$C:$FB,60)</f>
        <v>285149</v>
      </c>
      <c r="L153" s="51">
        <f>VLOOKUP($A153,'Data Vlaue (Cr)'!$C:$FB,62)*100</f>
        <v>263.18</v>
      </c>
      <c r="M153" s="51">
        <f>VLOOKUP($A153,'Data Vlaue (Cr)'!$C:$FB,63)</f>
        <v>948137</v>
      </c>
      <c r="N153" s="51">
        <f>VLOOKUP($A153,'Data Vlaue (Cr)'!$C:$FB,64)</f>
        <v>252761</v>
      </c>
      <c r="O153" s="51">
        <f>VLOOKUP($A153,'Data Vlaue (Cr)'!$C:$FB,66)*100</f>
        <v>275.11</v>
      </c>
    </row>
    <row r="154" spans="1:15" x14ac:dyDescent="0.25">
      <c r="A154" s="101" t="str">
        <f>'Data Vlaue (Cr)'!C149</f>
        <v>MOTHERSON</v>
      </c>
      <c r="B154" s="50">
        <f>VLOOKUP($A154,'Data Vlaue (Cr)'!$C:$FB,8)</f>
        <v>97.17</v>
      </c>
      <c r="C154" s="50">
        <f>VLOOKUP($A154,'Data Vlaue (Cr)'!$C:$FB,11)*100</f>
        <v>-1.77</v>
      </c>
      <c r="D154" s="50">
        <f>VLOOKUP($A154,'Data Vlaue (Cr)'!$C:$FB,143)</f>
        <v>1361.61</v>
      </c>
      <c r="E154" s="50">
        <f>VLOOKUP($A154,'Data Vlaue (Cr)'!$C:$FB,144)</f>
        <v>1642.17</v>
      </c>
      <c r="F154" s="50">
        <f>VLOOKUP($A154,'Data Vlaue (Cr)'!$C:$FB,146)*100</f>
        <v>-17.080000000000002</v>
      </c>
      <c r="G154" s="49">
        <f>VLOOKUP($A154,'Data Vlaue (Cr)'!$C:$FB,43)</f>
        <v>846</v>
      </c>
      <c r="H154" s="49">
        <f>VLOOKUP($A154,'Data Vlaue (Cr)'!$C:$FB,44)</f>
        <v>947</v>
      </c>
      <c r="I154" s="49">
        <f>VLOOKUP($A154,'Data Vlaue (Cr)'!$C:$FB,46)*100</f>
        <v>-10.71</v>
      </c>
      <c r="J154" s="51">
        <f>VLOOKUP($A154,'Data Vlaue (Cr)'!$C:$FB,59)</f>
        <v>251</v>
      </c>
      <c r="K154" s="51">
        <f>VLOOKUP($A154,'Data Vlaue (Cr)'!$C:$FB,60)</f>
        <v>378</v>
      </c>
      <c r="L154" s="51">
        <f>VLOOKUP($A154,'Data Vlaue (Cr)'!$C:$FB,62)*100</f>
        <v>-33.650000000000006</v>
      </c>
      <c r="M154" s="51">
        <f>VLOOKUP($A154,'Data Vlaue (Cr)'!$C:$FB,63)</f>
        <v>239</v>
      </c>
      <c r="N154" s="51">
        <f>VLOOKUP($A154,'Data Vlaue (Cr)'!$C:$FB,64)</f>
        <v>252</v>
      </c>
      <c r="O154" s="51">
        <f>VLOOKUP($A154,'Data Vlaue (Cr)'!$C:$FB,66)*100</f>
        <v>-5.52</v>
      </c>
    </row>
    <row r="155" spans="1:15" x14ac:dyDescent="0.25">
      <c r="A155" s="101" t="str">
        <f>'Data Vlaue (Cr)'!C150</f>
        <v>MPHASIS</v>
      </c>
      <c r="B155" s="50">
        <f>VLOOKUP($A155,'Data Vlaue (Cr)'!$C:$FB,8)</f>
        <v>2790.2</v>
      </c>
      <c r="C155" s="50">
        <f>VLOOKUP($A155,'Data Vlaue (Cr)'!$C:$FB,11)*100</f>
        <v>-0.57999999999999996</v>
      </c>
      <c r="D155" s="50">
        <f>VLOOKUP($A155,'Data Vlaue (Cr)'!$C:$FB,143)</f>
        <v>1504</v>
      </c>
      <c r="E155" s="50">
        <f>VLOOKUP($A155,'Data Vlaue (Cr)'!$C:$FB,144)</f>
        <v>2794.64</v>
      </c>
      <c r="F155" s="50">
        <f>VLOOKUP($A155,'Data Vlaue (Cr)'!$C:$FB,146)*100</f>
        <v>-46.18</v>
      </c>
      <c r="G155" s="49">
        <f>VLOOKUP($A155,'Data Vlaue (Cr)'!$C:$FB,43)</f>
        <v>731</v>
      </c>
      <c r="H155" s="49">
        <f>VLOOKUP($A155,'Data Vlaue (Cr)'!$C:$FB,44)</f>
        <v>836</v>
      </c>
      <c r="I155" s="49">
        <f>VLOOKUP($A155,'Data Vlaue (Cr)'!$C:$FB,46)*100</f>
        <v>-12.559999999999999</v>
      </c>
      <c r="J155" s="51">
        <f>VLOOKUP($A155,'Data Vlaue (Cr)'!$C:$FB,59)</f>
        <v>480</v>
      </c>
      <c r="K155" s="51">
        <f>VLOOKUP($A155,'Data Vlaue (Cr)'!$C:$FB,60)</f>
        <v>1379</v>
      </c>
      <c r="L155" s="51">
        <f>VLOOKUP($A155,'Data Vlaue (Cr)'!$C:$FB,62)*100</f>
        <v>-65.169999999999987</v>
      </c>
      <c r="M155" s="51">
        <f>VLOOKUP($A155,'Data Vlaue (Cr)'!$C:$FB,63)</f>
        <v>283</v>
      </c>
      <c r="N155" s="51">
        <f>VLOOKUP($A155,'Data Vlaue (Cr)'!$C:$FB,64)</f>
        <v>541</v>
      </c>
      <c r="O155" s="51">
        <f>VLOOKUP($A155,'Data Vlaue (Cr)'!$C:$FB,66)*100</f>
        <v>-47.72</v>
      </c>
    </row>
    <row r="156" spans="1:15" x14ac:dyDescent="0.25">
      <c r="A156" s="101" t="str">
        <f>'Data Vlaue (Cr)'!C151</f>
        <v>MUTHOOTFIN</v>
      </c>
      <c r="B156" s="50">
        <f>VLOOKUP($A156,'Data Vlaue (Cr)'!$C:$FB,8)</f>
        <v>2612.3000000000002</v>
      </c>
      <c r="C156" s="50">
        <f>VLOOKUP($A156,'Data Vlaue (Cr)'!$C:$FB,11)*100</f>
        <v>-0.79</v>
      </c>
      <c r="D156" s="50">
        <f>VLOOKUP($A156,'Data Vlaue (Cr)'!$C:$FB,143)</f>
        <v>1648.87</v>
      </c>
      <c r="E156" s="50">
        <f>VLOOKUP($A156,'Data Vlaue (Cr)'!$C:$FB,144)</f>
        <v>1330.63</v>
      </c>
      <c r="F156" s="50">
        <f>VLOOKUP($A156,'Data Vlaue (Cr)'!$C:$FB,146)*100</f>
        <v>23.919999999999998</v>
      </c>
      <c r="G156" s="49">
        <f>VLOOKUP($A156,'Data Vlaue (Cr)'!$C:$FB,43)</f>
        <v>810</v>
      </c>
      <c r="H156" s="49">
        <f>VLOOKUP($A156,'Data Vlaue (Cr)'!$C:$FB,44)</f>
        <v>659</v>
      </c>
      <c r="I156" s="49">
        <f>VLOOKUP($A156,'Data Vlaue (Cr)'!$C:$FB,46)*100</f>
        <v>22.86</v>
      </c>
      <c r="J156" s="51">
        <f>VLOOKUP($A156,'Data Vlaue (Cr)'!$C:$FB,59)</f>
        <v>574</v>
      </c>
      <c r="K156" s="51">
        <f>VLOOKUP($A156,'Data Vlaue (Cr)'!$C:$FB,60)</f>
        <v>430</v>
      </c>
      <c r="L156" s="51">
        <f>VLOOKUP($A156,'Data Vlaue (Cr)'!$C:$FB,62)*100</f>
        <v>33.33</v>
      </c>
      <c r="M156" s="51">
        <f>VLOOKUP($A156,'Data Vlaue (Cr)'!$C:$FB,63)</f>
        <v>248</v>
      </c>
      <c r="N156" s="51">
        <f>VLOOKUP($A156,'Data Vlaue (Cr)'!$C:$FB,64)</f>
        <v>230</v>
      </c>
      <c r="O156" s="51">
        <f>VLOOKUP($A156,'Data Vlaue (Cr)'!$C:$FB,66)*100</f>
        <v>7.870000000000001</v>
      </c>
    </row>
    <row r="157" spans="1:15" x14ac:dyDescent="0.25">
      <c r="A157" s="101" t="str">
        <f>'Data Vlaue (Cr)'!C152</f>
        <v>NATIONALUM</v>
      </c>
      <c r="B157" s="50">
        <f>VLOOKUP($A157,'Data Vlaue (Cr)'!$C:$FB,8)</f>
        <v>185.06</v>
      </c>
      <c r="C157" s="50">
        <f>VLOOKUP($A157,'Data Vlaue (Cr)'!$C:$FB,11)*100</f>
        <v>-1.1100000000000001</v>
      </c>
      <c r="D157" s="50">
        <f>VLOOKUP($A157,'Data Vlaue (Cr)'!$C:$FB,143)</f>
        <v>1842.94</v>
      </c>
      <c r="E157" s="50">
        <f>VLOOKUP($A157,'Data Vlaue (Cr)'!$C:$FB,144)</f>
        <v>1417.88</v>
      </c>
      <c r="F157" s="50">
        <f>VLOOKUP($A157,'Data Vlaue (Cr)'!$C:$FB,146)*100</f>
        <v>29.98</v>
      </c>
      <c r="G157" s="49">
        <f>VLOOKUP($A157,'Data Vlaue (Cr)'!$C:$FB,43)</f>
        <v>848</v>
      </c>
      <c r="H157" s="49">
        <f>VLOOKUP($A157,'Data Vlaue (Cr)'!$C:$FB,44)</f>
        <v>845</v>
      </c>
      <c r="I157" s="49">
        <f>VLOOKUP($A157,'Data Vlaue (Cr)'!$C:$FB,46)*100</f>
        <v>0.44</v>
      </c>
      <c r="J157" s="51">
        <f>VLOOKUP($A157,'Data Vlaue (Cr)'!$C:$FB,59)</f>
        <v>523</v>
      </c>
      <c r="K157" s="51">
        <f>VLOOKUP($A157,'Data Vlaue (Cr)'!$C:$FB,60)</f>
        <v>343</v>
      </c>
      <c r="L157" s="51">
        <f>VLOOKUP($A157,'Data Vlaue (Cr)'!$C:$FB,62)*100</f>
        <v>52.42</v>
      </c>
      <c r="M157" s="51">
        <f>VLOOKUP($A157,'Data Vlaue (Cr)'!$C:$FB,63)</f>
        <v>425</v>
      </c>
      <c r="N157" s="51">
        <f>VLOOKUP($A157,'Data Vlaue (Cr)'!$C:$FB,64)</f>
        <v>197</v>
      </c>
      <c r="O157" s="51">
        <f>VLOOKUP($A157,'Data Vlaue (Cr)'!$C:$FB,66)*100</f>
        <v>116.13</v>
      </c>
    </row>
    <row r="158" spans="1:15" x14ac:dyDescent="0.25">
      <c r="A158" s="101" t="str">
        <f>'Data Vlaue (Cr)'!C153</f>
        <v>NAUKRI</v>
      </c>
      <c r="B158" s="50">
        <f>VLOOKUP($A158,'Data Vlaue (Cr)'!$C:$FB,8)</f>
        <v>1392.3</v>
      </c>
      <c r="C158" s="50">
        <f>VLOOKUP($A158,'Data Vlaue (Cr)'!$C:$FB,11)*100</f>
        <v>-0.24</v>
      </c>
      <c r="D158" s="50">
        <f>VLOOKUP($A158,'Data Vlaue (Cr)'!$C:$FB,143)</f>
        <v>654.6</v>
      </c>
      <c r="E158" s="50">
        <f>VLOOKUP($A158,'Data Vlaue (Cr)'!$C:$FB,144)</f>
        <v>1975.7</v>
      </c>
      <c r="F158" s="50">
        <f>VLOOKUP($A158,'Data Vlaue (Cr)'!$C:$FB,146)*100</f>
        <v>-66.86999999999999</v>
      </c>
      <c r="G158" s="49">
        <f>VLOOKUP($A158,'Data Vlaue (Cr)'!$C:$FB,43)</f>
        <v>429</v>
      </c>
      <c r="H158" s="49">
        <f>VLOOKUP($A158,'Data Vlaue (Cr)'!$C:$FB,44)</f>
        <v>1059</v>
      </c>
      <c r="I158" s="49">
        <f>VLOOKUP($A158,'Data Vlaue (Cr)'!$C:$FB,46)*100</f>
        <v>-59.48</v>
      </c>
      <c r="J158" s="51">
        <f>VLOOKUP($A158,'Data Vlaue (Cr)'!$C:$FB,59)</f>
        <v>136</v>
      </c>
      <c r="K158" s="51">
        <f>VLOOKUP($A158,'Data Vlaue (Cr)'!$C:$FB,60)</f>
        <v>542</v>
      </c>
      <c r="L158" s="51">
        <f>VLOOKUP($A158,'Data Vlaue (Cr)'!$C:$FB,62)*100</f>
        <v>-74.98</v>
      </c>
      <c r="M158" s="51">
        <f>VLOOKUP($A158,'Data Vlaue (Cr)'!$C:$FB,63)</f>
        <v>82</v>
      </c>
      <c r="N158" s="51">
        <f>VLOOKUP($A158,'Data Vlaue (Cr)'!$C:$FB,64)</f>
        <v>364</v>
      </c>
      <c r="O158" s="51">
        <f>VLOOKUP($A158,'Data Vlaue (Cr)'!$C:$FB,66)*100</f>
        <v>-77.39</v>
      </c>
    </row>
    <row r="159" spans="1:15" x14ac:dyDescent="0.25">
      <c r="A159" s="101" t="str">
        <f>'Data Vlaue (Cr)'!C154</f>
        <v>NBCC</v>
      </c>
      <c r="B159" s="50">
        <f>VLOOKUP($A159,'Data Vlaue (Cr)'!$C:$FB,8)</f>
        <v>108.18</v>
      </c>
      <c r="C159" s="50">
        <f>VLOOKUP($A159,'Data Vlaue (Cr)'!$C:$FB,11)*100</f>
        <v>-0.59</v>
      </c>
      <c r="D159" s="50">
        <f>VLOOKUP($A159,'Data Vlaue (Cr)'!$C:$FB,143)</f>
        <v>680.28</v>
      </c>
      <c r="E159" s="50">
        <f>VLOOKUP($A159,'Data Vlaue (Cr)'!$C:$FB,144)</f>
        <v>465.46</v>
      </c>
      <c r="F159" s="50">
        <f>VLOOKUP($A159,'Data Vlaue (Cr)'!$C:$FB,146)*100</f>
        <v>46.150000000000006</v>
      </c>
      <c r="G159" s="49">
        <f>VLOOKUP($A159,'Data Vlaue (Cr)'!$C:$FB,43)</f>
        <v>533</v>
      </c>
      <c r="H159" s="49">
        <f>VLOOKUP($A159,'Data Vlaue (Cr)'!$C:$FB,44)</f>
        <v>364</v>
      </c>
      <c r="I159" s="49">
        <f>VLOOKUP($A159,'Data Vlaue (Cr)'!$C:$FB,46)*100</f>
        <v>46.36</v>
      </c>
      <c r="J159" s="51">
        <f>VLOOKUP($A159,'Data Vlaue (Cr)'!$C:$FB,59)</f>
        <v>78</v>
      </c>
      <c r="K159" s="51">
        <f>VLOOKUP($A159,'Data Vlaue (Cr)'!$C:$FB,60)</f>
        <v>58</v>
      </c>
      <c r="L159" s="51">
        <f>VLOOKUP($A159,'Data Vlaue (Cr)'!$C:$FB,62)*100</f>
        <v>33.54</v>
      </c>
      <c r="M159" s="51">
        <f>VLOOKUP($A159,'Data Vlaue (Cr)'!$C:$FB,63)</f>
        <v>62</v>
      </c>
      <c r="N159" s="51">
        <f>VLOOKUP($A159,'Data Vlaue (Cr)'!$C:$FB,64)</f>
        <v>35</v>
      </c>
      <c r="O159" s="51">
        <f>VLOOKUP($A159,'Data Vlaue (Cr)'!$C:$FB,66)*100</f>
        <v>76.259999999999991</v>
      </c>
    </row>
    <row r="160" spans="1:15" x14ac:dyDescent="0.25">
      <c r="A160" s="101" t="str">
        <f>'Data Vlaue (Cr)'!C155</f>
        <v>NCC</v>
      </c>
      <c r="B160" s="50">
        <f>VLOOKUP($A160,'Data Vlaue (Cr)'!$C:$FB,8)</f>
        <v>217.71</v>
      </c>
      <c r="C160" s="50">
        <f>VLOOKUP($A160,'Data Vlaue (Cr)'!$C:$FB,11)*100</f>
        <v>-2.29</v>
      </c>
      <c r="D160" s="50">
        <f>VLOOKUP($A160,'Data Vlaue (Cr)'!$C:$FB,143)</f>
        <v>379.92</v>
      </c>
      <c r="E160" s="50">
        <f>VLOOKUP($A160,'Data Vlaue (Cr)'!$C:$FB,144)</f>
        <v>481.43</v>
      </c>
      <c r="F160" s="50">
        <f>VLOOKUP($A160,'Data Vlaue (Cr)'!$C:$FB,146)*100</f>
        <v>-21.09</v>
      </c>
      <c r="G160" s="49">
        <f>VLOOKUP($A160,'Data Vlaue (Cr)'!$C:$FB,43)</f>
        <v>230</v>
      </c>
      <c r="H160" s="49">
        <f>VLOOKUP($A160,'Data Vlaue (Cr)'!$C:$FB,44)</f>
        <v>301</v>
      </c>
      <c r="I160" s="49">
        <f>VLOOKUP($A160,'Data Vlaue (Cr)'!$C:$FB,46)*100</f>
        <v>-23.69</v>
      </c>
      <c r="J160" s="51">
        <f>VLOOKUP($A160,'Data Vlaue (Cr)'!$C:$FB,59)</f>
        <v>88</v>
      </c>
      <c r="K160" s="51">
        <f>VLOOKUP($A160,'Data Vlaue (Cr)'!$C:$FB,60)</f>
        <v>112</v>
      </c>
      <c r="L160" s="51">
        <f>VLOOKUP($A160,'Data Vlaue (Cr)'!$C:$FB,62)*100</f>
        <v>-21.18</v>
      </c>
      <c r="M160" s="51">
        <f>VLOOKUP($A160,'Data Vlaue (Cr)'!$C:$FB,63)</f>
        <v>52</v>
      </c>
      <c r="N160" s="51">
        <f>VLOOKUP($A160,'Data Vlaue (Cr)'!$C:$FB,64)</f>
        <v>51</v>
      </c>
      <c r="O160" s="51">
        <f>VLOOKUP($A160,'Data Vlaue (Cr)'!$C:$FB,66)*100</f>
        <v>2.4299999999999997</v>
      </c>
    </row>
    <row r="161" spans="1:15" x14ac:dyDescent="0.25">
      <c r="A161" s="101" t="str">
        <f>'Data Vlaue (Cr)'!C156</f>
        <v>NESTLEIND</v>
      </c>
      <c r="B161" s="50">
        <f>VLOOKUP($A161,'Data Vlaue (Cr)'!$C:$FB,8)</f>
        <v>2247.6999999999998</v>
      </c>
      <c r="C161" s="50">
        <f>VLOOKUP($A161,'Data Vlaue (Cr)'!$C:$FB,11)*100</f>
        <v>0.73</v>
      </c>
      <c r="D161" s="50">
        <f>VLOOKUP($A161,'Data Vlaue (Cr)'!$C:$FB,143)</f>
        <v>1991.47</v>
      </c>
      <c r="E161" s="50">
        <f>VLOOKUP($A161,'Data Vlaue (Cr)'!$C:$FB,144)</f>
        <v>2181.7800000000002</v>
      </c>
      <c r="F161" s="50">
        <f>VLOOKUP($A161,'Data Vlaue (Cr)'!$C:$FB,146)*100</f>
        <v>-8.7200000000000006</v>
      </c>
      <c r="G161" s="49">
        <f>VLOOKUP($A161,'Data Vlaue (Cr)'!$C:$FB,43)</f>
        <v>778</v>
      </c>
      <c r="H161" s="49">
        <f>VLOOKUP($A161,'Data Vlaue (Cr)'!$C:$FB,44)</f>
        <v>1354</v>
      </c>
      <c r="I161" s="49">
        <f>VLOOKUP($A161,'Data Vlaue (Cr)'!$C:$FB,46)*100</f>
        <v>-42.53</v>
      </c>
      <c r="J161" s="51">
        <f>VLOOKUP($A161,'Data Vlaue (Cr)'!$C:$FB,59)</f>
        <v>827</v>
      </c>
      <c r="K161" s="51">
        <f>VLOOKUP($A161,'Data Vlaue (Cr)'!$C:$FB,60)</f>
        <v>621</v>
      </c>
      <c r="L161" s="51">
        <f>VLOOKUP($A161,'Data Vlaue (Cr)'!$C:$FB,62)*100</f>
        <v>33.119999999999997</v>
      </c>
      <c r="M161" s="51">
        <f>VLOOKUP($A161,'Data Vlaue (Cr)'!$C:$FB,63)</f>
        <v>357</v>
      </c>
      <c r="N161" s="51">
        <f>VLOOKUP($A161,'Data Vlaue (Cr)'!$C:$FB,64)</f>
        <v>190</v>
      </c>
      <c r="O161" s="51">
        <f>VLOOKUP($A161,'Data Vlaue (Cr)'!$C:$FB,66)*100</f>
        <v>88</v>
      </c>
    </row>
    <row r="162" spans="1:15" x14ac:dyDescent="0.25">
      <c r="A162" s="101" t="str">
        <f>'Data Vlaue (Cr)'!C157</f>
        <v>NHPC</v>
      </c>
      <c r="B162" s="50">
        <f>VLOOKUP($A162,'Data Vlaue (Cr)'!$C:$FB,8)</f>
        <v>83.25</v>
      </c>
      <c r="C162" s="50">
        <f>VLOOKUP($A162,'Data Vlaue (Cr)'!$C:$FB,11)*100</f>
        <v>-1.43</v>
      </c>
      <c r="D162" s="50">
        <f>VLOOKUP($A162,'Data Vlaue (Cr)'!$C:$FB,143)</f>
        <v>356.56</v>
      </c>
      <c r="E162" s="50">
        <f>VLOOKUP($A162,'Data Vlaue (Cr)'!$C:$FB,144)</f>
        <v>369.39</v>
      </c>
      <c r="F162" s="50">
        <f>VLOOKUP($A162,'Data Vlaue (Cr)'!$C:$FB,146)*100</f>
        <v>-3.47</v>
      </c>
      <c r="G162" s="49">
        <f>VLOOKUP($A162,'Data Vlaue (Cr)'!$C:$FB,43)</f>
        <v>251</v>
      </c>
      <c r="H162" s="49">
        <f>VLOOKUP($A162,'Data Vlaue (Cr)'!$C:$FB,44)</f>
        <v>291</v>
      </c>
      <c r="I162" s="49">
        <f>VLOOKUP($A162,'Data Vlaue (Cr)'!$C:$FB,46)*100</f>
        <v>-13.780000000000001</v>
      </c>
      <c r="J162" s="51">
        <f>VLOOKUP($A162,'Data Vlaue (Cr)'!$C:$FB,59)</f>
        <v>66</v>
      </c>
      <c r="K162" s="51">
        <f>VLOOKUP($A162,'Data Vlaue (Cr)'!$C:$FB,60)</f>
        <v>47</v>
      </c>
      <c r="L162" s="51">
        <f>VLOOKUP($A162,'Data Vlaue (Cr)'!$C:$FB,62)*100</f>
        <v>40.57</v>
      </c>
      <c r="M162" s="51">
        <f>VLOOKUP($A162,'Data Vlaue (Cr)'!$C:$FB,63)</f>
        <v>34</v>
      </c>
      <c r="N162" s="51">
        <f>VLOOKUP($A162,'Data Vlaue (Cr)'!$C:$FB,64)</f>
        <v>24</v>
      </c>
      <c r="O162" s="51">
        <f>VLOOKUP($A162,'Data Vlaue (Cr)'!$C:$FB,66)*100</f>
        <v>41.94</v>
      </c>
    </row>
    <row r="163" spans="1:15" x14ac:dyDescent="0.25">
      <c r="A163" s="101" t="str">
        <f>'Data Vlaue (Cr)'!C158</f>
        <v>NIFTY</v>
      </c>
      <c r="B163" s="50">
        <f>VLOOKUP($A163,'Data Vlaue (Cr)'!$C:$FB,8)</f>
        <v>24768.35</v>
      </c>
      <c r="C163" s="50">
        <f>VLOOKUP($A163,'Data Vlaue (Cr)'!$C:$FB,11)*100</f>
        <v>-0.35000000000000003</v>
      </c>
      <c r="D163" s="50">
        <f>VLOOKUP($A163,'Data Vlaue (Cr)'!$C:$FB,143)</f>
        <v>54664912.030000001</v>
      </c>
      <c r="E163" s="50">
        <f>VLOOKUP($A163,'Data Vlaue (Cr)'!$C:$FB,144)</f>
        <v>18329730.129999999</v>
      </c>
      <c r="F163" s="50">
        <f>VLOOKUP($A163,'Data Vlaue (Cr)'!$C:$FB,146)*100</f>
        <v>198.23</v>
      </c>
      <c r="G163" s="49">
        <f>VLOOKUP($A163,'Data Vlaue (Cr)'!$C:$FB,43)</f>
        <v>40249</v>
      </c>
      <c r="H163" s="49">
        <f>VLOOKUP($A163,'Data Vlaue (Cr)'!$C:$FB,44)</f>
        <v>25099</v>
      </c>
      <c r="I163" s="49">
        <f>VLOOKUP($A163,'Data Vlaue (Cr)'!$C:$FB,46)*100</f>
        <v>60.36</v>
      </c>
      <c r="J163" s="51">
        <f>VLOOKUP($A163,'Data Vlaue (Cr)'!$C:$FB,59)</f>
        <v>28386843</v>
      </c>
      <c r="K163" s="51">
        <f>VLOOKUP($A163,'Data Vlaue (Cr)'!$C:$FB,60)</f>
        <v>9964600</v>
      </c>
      <c r="L163" s="51">
        <f>VLOOKUP($A163,'Data Vlaue (Cr)'!$C:$FB,62)*100</f>
        <v>184.88</v>
      </c>
      <c r="M163" s="51">
        <f>VLOOKUP($A163,'Data Vlaue (Cr)'!$C:$FB,63)</f>
        <v>26322066</v>
      </c>
      <c r="N163" s="51">
        <f>VLOOKUP($A163,'Data Vlaue (Cr)'!$C:$FB,64)</f>
        <v>8300567</v>
      </c>
      <c r="O163" s="51">
        <f>VLOOKUP($A163,'Data Vlaue (Cr)'!$C:$FB,66)*100</f>
        <v>217.11</v>
      </c>
    </row>
    <row r="164" spans="1:15" x14ac:dyDescent="0.25">
      <c r="A164" s="101" t="str">
        <f>'Data Vlaue (Cr)'!C159</f>
        <v>NIFTYNXT50</v>
      </c>
      <c r="B164" s="50">
        <f>VLOOKUP($A164,'Data Vlaue (Cr)'!$C:$FB,8)</f>
        <v>67096.149999999994</v>
      </c>
      <c r="C164" s="50">
        <f>VLOOKUP($A164,'Data Vlaue (Cr)'!$C:$FB,11)*100</f>
        <v>-0.5</v>
      </c>
      <c r="D164" s="50">
        <f>VLOOKUP($A164,'Data Vlaue (Cr)'!$C:$FB,143)</f>
        <v>3319.07</v>
      </c>
      <c r="E164" s="50">
        <f>VLOOKUP($A164,'Data Vlaue (Cr)'!$C:$FB,144)</f>
        <v>715.56</v>
      </c>
      <c r="F164" s="50">
        <f>VLOOKUP($A164,'Data Vlaue (Cr)'!$C:$FB,146)*100</f>
        <v>363.84</v>
      </c>
      <c r="G164" s="49">
        <f>VLOOKUP($A164,'Data Vlaue (Cr)'!$C:$FB,43)</f>
        <v>163</v>
      </c>
      <c r="H164" s="49">
        <f>VLOOKUP($A164,'Data Vlaue (Cr)'!$C:$FB,44)</f>
        <v>70</v>
      </c>
      <c r="I164" s="49">
        <f>VLOOKUP($A164,'Data Vlaue (Cr)'!$C:$FB,46)*100</f>
        <v>131.03</v>
      </c>
      <c r="J164" s="51">
        <f>VLOOKUP($A164,'Data Vlaue (Cr)'!$C:$FB,59)</f>
        <v>1805</v>
      </c>
      <c r="K164" s="51">
        <f>VLOOKUP($A164,'Data Vlaue (Cr)'!$C:$FB,60)</f>
        <v>484</v>
      </c>
      <c r="L164" s="51">
        <f>VLOOKUP($A164,'Data Vlaue (Cr)'!$C:$FB,62)*100</f>
        <v>273.07</v>
      </c>
      <c r="M164" s="51">
        <f>VLOOKUP($A164,'Data Vlaue (Cr)'!$C:$FB,63)</f>
        <v>1348</v>
      </c>
      <c r="N164" s="51">
        <f>VLOOKUP($A164,'Data Vlaue (Cr)'!$C:$FB,64)</f>
        <v>152</v>
      </c>
      <c r="O164" s="51">
        <f>VLOOKUP($A164,'Data Vlaue (Cr)'!$C:$FB,66)*100</f>
        <v>785.43000000000006</v>
      </c>
    </row>
    <row r="165" spans="1:15" x14ac:dyDescent="0.25">
      <c r="A165" s="101" t="str">
        <f>'Data Vlaue (Cr)'!C160</f>
        <v>NMDC</v>
      </c>
      <c r="B165" s="50">
        <f>VLOOKUP($A165,'Data Vlaue (Cr)'!$C:$FB,8)</f>
        <v>70.790000000000006</v>
      </c>
      <c r="C165" s="50">
        <f>VLOOKUP($A165,'Data Vlaue (Cr)'!$C:$FB,11)*100</f>
        <v>-1.76</v>
      </c>
      <c r="D165" s="50">
        <f>VLOOKUP($A165,'Data Vlaue (Cr)'!$C:$FB,143)</f>
        <v>2712.15</v>
      </c>
      <c r="E165" s="50">
        <f>VLOOKUP($A165,'Data Vlaue (Cr)'!$C:$FB,144)</f>
        <v>1509.14</v>
      </c>
      <c r="F165" s="50">
        <f>VLOOKUP($A165,'Data Vlaue (Cr)'!$C:$FB,146)*100</f>
        <v>79.72</v>
      </c>
      <c r="G165" s="49">
        <f>VLOOKUP($A165,'Data Vlaue (Cr)'!$C:$FB,43)</f>
        <v>1683</v>
      </c>
      <c r="H165" s="49">
        <f>VLOOKUP($A165,'Data Vlaue (Cr)'!$C:$FB,44)</f>
        <v>776</v>
      </c>
      <c r="I165" s="49">
        <f>VLOOKUP($A165,'Data Vlaue (Cr)'!$C:$FB,46)*100</f>
        <v>116.89</v>
      </c>
      <c r="J165" s="51">
        <f>VLOOKUP($A165,'Data Vlaue (Cr)'!$C:$FB,59)</f>
        <v>536</v>
      </c>
      <c r="K165" s="51">
        <f>VLOOKUP($A165,'Data Vlaue (Cr)'!$C:$FB,60)</f>
        <v>410</v>
      </c>
      <c r="L165" s="51">
        <f>VLOOKUP($A165,'Data Vlaue (Cr)'!$C:$FB,62)*100</f>
        <v>30.61</v>
      </c>
      <c r="M165" s="51">
        <f>VLOOKUP($A165,'Data Vlaue (Cr)'!$C:$FB,63)</f>
        <v>426</v>
      </c>
      <c r="N165" s="51">
        <f>VLOOKUP($A165,'Data Vlaue (Cr)'!$C:$FB,64)</f>
        <v>268</v>
      </c>
      <c r="O165" s="51">
        <f>VLOOKUP($A165,'Data Vlaue (Cr)'!$C:$FB,66)*100</f>
        <v>58.97</v>
      </c>
    </row>
    <row r="166" spans="1:15" x14ac:dyDescent="0.25">
      <c r="A166" s="101" t="str">
        <f>'Data Vlaue (Cr)'!C161</f>
        <v>NTPC</v>
      </c>
      <c r="B166" s="50">
        <f>VLOOKUP($A166,'Data Vlaue (Cr)'!$C:$FB,8)</f>
        <v>334.25</v>
      </c>
      <c r="C166" s="50">
        <f>VLOOKUP($A166,'Data Vlaue (Cr)'!$C:$FB,11)*100</f>
        <v>-1.34</v>
      </c>
      <c r="D166" s="50">
        <f>VLOOKUP($A166,'Data Vlaue (Cr)'!$C:$FB,143)</f>
        <v>2409.65</v>
      </c>
      <c r="E166" s="50">
        <f>VLOOKUP($A166,'Data Vlaue (Cr)'!$C:$FB,144)</f>
        <v>7640.39</v>
      </c>
      <c r="F166" s="50">
        <f>VLOOKUP($A166,'Data Vlaue (Cr)'!$C:$FB,146)*100</f>
        <v>-68.459999999999994</v>
      </c>
      <c r="G166" s="49">
        <f>VLOOKUP($A166,'Data Vlaue (Cr)'!$C:$FB,43)</f>
        <v>1151</v>
      </c>
      <c r="H166" s="49">
        <f>VLOOKUP($A166,'Data Vlaue (Cr)'!$C:$FB,44)</f>
        <v>2236</v>
      </c>
      <c r="I166" s="49">
        <f>VLOOKUP($A166,'Data Vlaue (Cr)'!$C:$FB,46)*100</f>
        <v>-48.53</v>
      </c>
      <c r="J166" s="51">
        <f>VLOOKUP($A166,'Data Vlaue (Cr)'!$C:$FB,59)</f>
        <v>666</v>
      </c>
      <c r="K166" s="51">
        <f>VLOOKUP($A166,'Data Vlaue (Cr)'!$C:$FB,60)</f>
        <v>3746</v>
      </c>
      <c r="L166" s="51">
        <f>VLOOKUP($A166,'Data Vlaue (Cr)'!$C:$FB,62)*100</f>
        <v>-82.23</v>
      </c>
      <c r="M166" s="51">
        <f>VLOOKUP($A166,'Data Vlaue (Cr)'!$C:$FB,63)</f>
        <v>561</v>
      </c>
      <c r="N166" s="51">
        <f>VLOOKUP($A166,'Data Vlaue (Cr)'!$C:$FB,64)</f>
        <v>1531</v>
      </c>
      <c r="O166" s="51">
        <f>VLOOKUP($A166,'Data Vlaue (Cr)'!$C:$FB,66)*100</f>
        <v>-63.32</v>
      </c>
    </row>
    <row r="167" spans="1:15" x14ac:dyDescent="0.25">
      <c r="A167" s="101" t="str">
        <f>'Data Vlaue (Cr)'!C162</f>
        <v>NYKAA</v>
      </c>
      <c r="B167" s="50">
        <f>VLOOKUP($A167,'Data Vlaue (Cr)'!$C:$FB,8)</f>
        <v>209.62</v>
      </c>
      <c r="C167" s="50">
        <f>VLOOKUP($A167,'Data Vlaue (Cr)'!$C:$FB,11)*100</f>
        <v>-1.97</v>
      </c>
      <c r="D167" s="50">
        <f>VLOOKUP($A167,'Data Vlaue (Cr)'!$C:$FB,143)</f>
        <v>918.62</v>
      </c>
      <c r="E167" s="50">
        <f>VLOOKUP($A167,'Data Vlaue (Cr)'!$C:$FB,144)</f>
        <v>1070.2</v>
      </c>
      <c r="F167" s="50">
        <f>VLOOKUP($A167,'Data Vlaue (Cr)'!$C:$FB,146)*100</f>
        <v>-14.16</v>
      </c>
      <c r="G167" s="49">
        <f>VLOOKUP($A167,'Data Vlaue (Cr)'!$C:$FB,43)</f>
        <v>590</v>
      </c>
      <c r="H167" s="49">
        <f>VLOOKUP($A167,'Data Vlaue (Cr)'!$C:$FB,44)</f>
        <v>685</v>
      </c>
      <c r="I167" s="49">
        <f>VLOOKUP($A167,'Data Vlaue (Cr)'!$C:$FB,46)*100</f>
        <v>-13.88</v>
      </c>
      <c r="J167" s="51">
        <f>VLOOKUP($A167,'Data Vlaue (Cr)'!$C:$FB,59)</f>
        <v>220</v>
      </c>
      <c r="K167" s="51">
        <f>VLOOKUP($A167,'Data Vlaue (Cr)'!$C:$FB,60)</f>
        <v>271</v>
      </c>
      <c r="L167" s="51">
        <f>VLOOKUP($A167,'Data Vlaue (Cr)'!$C:$FB,62)*100</f>
        <v>-18.7</v>
      </c>
      <c r="M167" s="51">
        <f>VLOOKUP($A167,'Data Vlaue (Cr)'!$C:$FB,63)</f>
        <v>94</v>
      </c>
      <c r="N167" s="51">
        <f>VLOOKUP($A167,'Data Vlaue (Cr)'!$C:$FB,64)</f>
        <v>96</v>
      </c>
      <c r="O167" s="51">
        <f>VLOOKUP($A167,'Data Vlaue (Cr)'!$C:$FB,66)*100</f>
        <v>-1.72</v>
      </c>
    </row>
    <row r="168" spans="1:15" x14ac:dyDescent="0.25">
      <c r="A168" s="101" t="str">
        <f>'Data Vlaue (Cr)'!C163</f>
        <v>OBEROIRLTY</v>
      </c>
      <c r="B168" s="50">
        <f>VLOOKUP($A168,'Data Vlaue (Cr)'!$C:$FB,8)</f>
        <v>1630.1</v>
      </c>
      <c r="C168" s="50">
        <f>VLOOKUP($A168,'Data Vlaue (Cr)'!$C:$FB,11)*100</f>
        <v>-1.0900000000000001</v>
      </c>
      <c r="D168" s="50">
        <f>VLOOKUP($A168,'Data Vlaue (Cr)'!$C:$FB,143)</f>
        <v>1319.43</v>
      </c>
      <c r="E168" s="50">
        <f>VLOOKUP($A168,'Data Vlaue (Cr)'!$C:$FB,144)</f>
        <v>1032.82</v>
      </c>
      <c r="F168" s="50">
        <f>VLOOKUP($A168,'Data Vlaue (Cr)'!$C:$FB,146)*100</f>
        <v>27.750000000000004</v>
      </c>
      <c r="G168" s="49">
        <f>VLOOKUP($A168,'Data Vlaue (Cr)'!$C:$FB,43)</f>
        <v>570</v>
      </c>
      <c r="H168" s="49">
        <f>VLOOKUP($A168,'Data Vlaue (Cr)'!$C:$FB,44)</f>
        <v>566</v>
      </c>
      <c r="I168" s="49">
        <f>VLOOKUP($A168,'Data Vlaue (Cr)'!$C:$FB,46)*100</f>
        <v>0.74</v>
      </c>
      <c r="J168" s="51">
        <f>VLOOKUP($A168,'Data Vlaue (Cr)'!$C:$FB,59)</f>
        <v>451</v>
      </c>
      <c r="K168" s="51">
        <f>VLOOKUP($A168,'Data Vlaue (Cr)'!$C:$FB,60)</f>
        <v>286</v>
      </c>
      <c r="L168" s="51">
        <f>VLOOKUP($A168,'Data Vlaue (Cr)'!$C:$FB,62)*100</f>
        <v>57.78</v>
      </c>
      <c r="M168" s="51">
        <f>VLOOKUP($A168,'Data Vlaue (Cr)'!$C:$FB,63)</f>
        <v>254</v>
      </c>
      <c r="N168" s="51">
        <f>VLOOKUP($A168,'Data Vlaue (Cr)'!$C:$FB,64)</f>
        <v>141</v>
      </c>
      <c r="O168" s="51">
        <f>VLOOKUP($A168,'Data Vlaue (Cr)'!$C:$FB,66)*100</f>
        <v>79.900000000000006</v>
      </c>
    </row>
    <row r="169" spans="1:15" x14ac:dyDescent="0.25">
      <c r="A169" s="101" t="str">
        <f>'Data Vlaue (Cr)'!C164</f>
        <v>OFSS</v>
      </c>
      <c r="B169" s="50">
        <f>VLOOKUP($A169,'Data Vlaue (Cr)'!$C:$FB,8)</f>
        <v>8475</v>
      </c>
      <c r="C169" s="50">
        <f>VLOOKUP($A169,'Data Vlaue (Cr)'!$C:$FB,11)*100</f>
        <v>-1.1100000000000001</v>
      </c>
      <c r="D169" s="50">
        <f>VLOOKUP($A169,'Data Vlaue (Cr)'!$C:$FB,143)</f>
        <v>1664.23</v>
      </c>
      <c r="E169" s="50">
        <f>VLOOKUP($A169,'Data Vlaue (Cr)'!$C:$FB,144)</f>
        <v>1480.46</v>
      </c>
      <c r="F169" s="50">
        <f>VLOOKUP($A169,'Data Vlaue (Cr)'!$C:$FB,146)*100</f>
        <v>12.41</v>
      </c>
      <c r="G169" s="49">
        <f>VLOOKUP($A169,'Data Vlaue (Cr)'!$C:$FB,43)</f>
        <v>644</v>
      </c>
      <c r="H169" s="49">
        <f>VLOOKUP($A169,'Data Vlaue (Cr)'!$C:$FB,44)</f>
        <v>596</v>
      </c>
      <c r="I169" s="49">
        <f>VLOOKUP($A169,'Data Vlaue (Cr)'!$C:$FB,46)*100</f>
        <v>7.91</v>
      </c>
      <c r="J169" s="51">
        <f>VLOOKUP($A169,'Data Vlaue (Cr)'!$C:$FB,59)</f>
        <v>616</v>
      </c>
      <c r="K169" s="51">
        <f>VLOOKUP($A169,'Data Vlaue (Cr)'!$C:$FB,60)</f>
        <v>641</v>
      </c>
      <c r="L169" s="51">
        <f>VLOOKUP($A169,'Data Vlaue (Cr)'!$C:$FB,62)*100</f>
        <v>-3.9</v>
      </c>
      <c r="M169" s="51">
        <f>VLOOKUP($A169,'Data Vlaue (Cr)'!$C:$FB,63)</f>
        <v>358</v>
      </c>
      <c r="N169" s="51">
        <f>VLOOKUP($A169,'Data Vlaue (Cr)'!$C:$FB,64)</f>
        <v>193</v>
      </c>
      <c r="O169" s="51">
        <f>VLOOKUP($A169,'Data Vlaue (Cr)'!$C:$FB,66)*100</f>
        <v>85.350000000000009</v>
      </c>
    </row>
    <row r="170" spans="1:15" x14ac:dyDescent="0.25">
      <c r="A170" s="101" t="str">
        <f>'Data Vlaue (Cr)'!C165</f>
        <v>OIL</v>
      </c>
      <c r="B170" s="50">
        <f>VLOOKUP($A170,'Data Vlaue (Cr)'!$C:$FB,8)</f>
        <v>440</v>
      </c>
      <c r="C170" s="50">
        <f>VLOOKUP($A170,'Data Vlaue (Cr)'!$C:$FB,11)*100</f>
        <v>-1.08</v>
      </c>
      <c r="D170" s="50">
        <f>VLOOKUP($A170,'Data Vlaue (Cr)'!$C:$FB,143)</f>
        <v>551.26</v>
      </c>
      <c r="E170" s="50">
        <f>VLOOKUP($A170,'Data Vlaue (Cr)'!$C:$FB,144)</f>
        <v>995.69</v>
      </c>
      <c r="F170" s="50">
        <f>VLOOKUP($A170,'Data Vlaue (Cr)'!$C:$FB,146)*100</f>
        <v>-44.64</v>
      </c>
      <c r="G170" s="49">
        <f>VLOOKUP($A170,'Data Vlaue (Cr)'!$C:$FB,43)</f>
        <v>347</v>
      </c>
      <c r="H170" s="49">
        <f>VLOOKUP($A170,'Data Vlaue (Cr)'!$C:$FB,44)</f>
        <v>441</v>
      </c>
      <c r="I170" s="49">
        <f>VLOOKUP($A170,'Data Vlaue (Cr)'!$C:$FB,46)*100</f>
        <v>-21.240000000000002</v>
      </c>
      <c r="J170" s="51">
        <f>VLOOKUP($A170,'Data Vlaue (Cr)'!$C:$FB,59)</f>
        <v>135</v>
      </c>
      <c r="K170" s="51">
        <f>VLOOKUP($A170,'Data Vlaue (Cr)'!$C:$FB,60)</f>
        <v>374</v>
      </c>
      <c r="L170" s="51">
        <f>VLOOKUP($A170,'Data Vlaue (Cr)'!$C:$FB,62)*100</f>
        <v>-63.949999999999996</v>
      </c>
      <c r="M170" s="51">
        <f>VLOOKUP($A170,'Data Vlaue (Cr)'!$C:$FB,63)</f>
        <v>60</v>
      </c>
      <c r="N170" s="51">
        <f>VLOOKUP($A170,'Data Vlaue (Cr)'!$C:$FB,64)</f>
        <v>156</v>
      </c>
      <c r="O170" s="51">
        <f>VLOOKUP($A170,'Data Vlaue (Cr)'!$C:$FB,66)*100</f>
        <v>-61.140000000000008</v>
      </c>
    </row>
    <row r="171" spans="1:15" x14ac:dyDescent="0.25">
      <c r="A171" s="101" t="str">
        <f>'Data Vlaue (Cr)'!C166</f>
        <v>ONGC</v>
      </c>
      <c r="B171" s="50">
        <f>VLOOKUP($A171,'Data Vlaue (Cr)'!$C:$FB,8)</f>
        <v>241</v>
      </c>
      <c r="C171" s="50">
        <f>VLOOKUP($A171,'Data Vlaue (Cr)'!$C:$FB,11)*100</f>
        <v>-0.33</v>
      </c>
      <c r="D171" s="50">
        <f>VLOOKUP($A171,'Data Vlaue (Cr)'!$C:$FB,143)</f>
        <v>2096.5</v>
      </c>
      <c r="E171" s="50">
        <f>VLOOKUP($A171,'Data Vlaue (Cr)'!$C:$FB,144)</f>
        <v>2833.94</v>
      </c>
      <c r="F171" s="50">
        <f>VLOOKUP($A171,'Data Vlaue (Cr)'!$C:$FB,146)*100</f>
        <v>-26.02</v>
      </c>
      <c r="G171" s="49">
        <f>VLOOKUP($A171,'Data Vlaue (Cr)'!$C:$FB,43)</f>
        <v>1275</v>
      </c>
      <c r="H171" s="49">
        <f>VLOOKUP($A171,'Data Vlaue (Cr)'!$C:$FB,44)</f>
        <v>1478</v>
      </c>
      <c r="I171" s="49">
        <f>VLOOKUP($A171,'Data Vlaue (Cr)'!$C:$FB,46)*100</f>
        <v>-13.719999999999999</v>
      </c>
      <c r="J171" s="51">
        <f>VLOOKUP($A171,'Data Vlaue (Cr)'!$C:$FB,59)</f>
        <v>488</v>
      </c>
      <c r="K171" s="51">
        <f>VLOOKUP($A171,'Data Vlaue (Cr)'!$C:$FB,60)</f>
        <v>927</v>
      </c>
      <c r="L171" s="51">
        <f>VLOOKUP($A171,'Data Vlaue (Cr)'!$C:$FB,62)*100</f>
        <v>-47.43</v>
      </c>
      <c r="M171" s="51">
        <f>VLOOKUP($A171,'Data Vlaue (Cr)'!$C:$FB,63)</f>
        <v>305</v>
      </c>
      <c r="N171" s="51">
        <f>VLOOKUP($A171,'Data Vlaue (Cr)'!$C:$FB,64)</f>
        <v>391</v>
      </c>
      <c r="O171" s="51">
        <f>VLOOKUP($A171,'Data Vlaue (Cr)'!$C:$FB,66)*100</f>
        <v>-21.95</v>
      </c>
    </row>
    <row r="172" spans="1:15" x14ac:dyDescent="0.25">
      <c r="A172" s="101" t="str">
        <f>'Data Vlaue (Cr)'!C167</f>
        <v>PAGEIND</v>
      </c>
      <c r="B172" s="50">
        <f>VLOOKUP($A172,'Data Vlaue (Cr)'!$C:$FB,8)</f>
        <v>48805</v>
      </c>
      <c r="C172" s="50">
        <f>VLOOKUP($A172,'Data Vlaue (Cr)'!$C:$FB,11)*100</f>
        <v>1.01</v>
      </c>
      <c r="D172" s="50">
        <f>VLOOKUP($A172,'Data Vlaue (Cr)'!$C:$FB,143)</f>
        <v>1397.87</v>
      </c>
      <c r="E172" s="50">
        <f>VLOOKUP($A172,'Data Vlaue (Cr)'!$C:$FB,144)</f>
        <v>3731.39</v>
      </c>
      <c r="F172" s="50">
        <f>VLOOKUP($A172,'Data Vlaue (Cr)'!$C:$FB,146)*100</f>
        <v>-62.539999999999992</v>
      </c>
      <c r="G172" s="49">
        <f>VLOOKUP($A172,'Data Vlaue (Cr)'!$C:$FB,43)</f>
        <v>642</v>
      </c>
      <c r="H172" s="49">
        <f>VLOOKUP($A172,'Data Vlaue (Cr)'!$C:$FB,44)</f>
        <v>1398</v>
      </c>
      <c r="I172" s="49">
        <f>VLOOKUP($A172,'Data Vlaue (Cr)'!$C:$FB,46)*100</f>
        <v>-54.069999999999993</v>
      </c>
      <c r="J172" s="51">
        <f>VLOOKUP($A172,'Data Vlaue (Cr)'!$C:$FB,59)</f>
        <v>549</v>
      </c>
      <c r="K172" s="51">
        <f>VLOOKUP($A172,'Data Vlaue (Cr)'!$C:$FB,60)</f>
        <v>1789</v>
      </c>
      <c r="L172" s="51">
        <f>VLOOKUP($A172,'Data Vlaue (Cr)'!$C:$FB,62)*100</f>
        <v>-69.3</v>
      </c>
      <c r="M172" s="51">
        <f>VLOOKUP($A172,'Data Vlaue (Cr)'!$C:$FB,63)</f>
        <v>141</v>
      </c>
      <c r="N172" s="51">
        <f>VLOOKUP($A172,'Data Vlaue (Cr)'!$C:$FB,64)</f>
        <v>361</v>
      </c>
      <c r="O172" s="51">
        <f>VLOOKUP($A172,'Data Vlaue (Cr)'!$C:$FB,66)*100</f>
        <v>-60.940000000000005</v>
      </c>
    </row>
    <row r="173" spans="1:15" x14ac:dyDescent="0.25">
      <c r="A173" s="101" t="str">
        <f>'Data Vlaue (Cr)'!C168</f>
        <v>PATANJALI</v>
      </c>
      <c r="B173" s="50">
        <f>VLOOKUP($A173,'Data Vlaue (Cr)'!$C:$FB,8)</f>
        <v>1873.7</v>
      </c>
      <c r="C173" s="50">
        <f>VLOOKUP($A173,'Data Vlaue (Cr)'!$C:$FB,11)*100</f>
        <v>-1.38</v>
      </c>
      <c r="D173" s="50">
        <f>VLOOKUP($A173,'Data Vlaue (Cr)'!$C:$FB,143)</f>
        <v>2312.5500000000002</v>
      </c>
      <c r="E173" s="50">
        <f>VLOOKUP($A173,'Data Vlaue (Cr)'!$C:$FB,144)</f>
        <v>2265.81</v>
      </c>
      <c r="F173" s="50">
        <f>VLOOKUP($A173,'Data Vlaue (Cr)'!$C:$FB,146)*100</f>
        <v>2.06</v>
      </c>
      <c r="G173" s="49">
        <f>VLOOKUP($A173,'Data Vlaue (Cr)'!$C:$FB,43)</f>
        <v>1385</v>
      </c>
      <c r="H173" s="49">
        <f>VLOOKUP($A173,'Data Vlaue (Cr)'!$C:$FB,44)</f>
        <v>1053</v>
      </c>
      <c r="I173" s="49">
        <f>VLOOKUP($A173,'Data Vlaue (Cr)'!$C:$FB,46)*100</f>
        <v>31.580000000000002</v>
      </c>
      <c r="J173" s="51">
        <f>VLOOKUP($A173,'Data Vlaue (Cr)'!$C:$FB,59)</f>
        <v>599</v>
      </c>
      <c r="K173" s="51">
        <f>VLOOKUP($A173,'Data Vlaue (Cr)'!$C:$FB,60)</f>
        <v>851</v>
      </c>
      <c r="L173" s="51">
        <f>VLOOKUP($A173,'Data Vlaue (Cr)'!$C:$FB,62)*100</f>
        <v>-29.630000000000003</v>
      </c>
      <c r="M173" s="51">
        <f>VLOOKUP($A173,'Data Vlaue (Cr)'!$C:$FB,63)</f>
        <v>311</v>
      </c>
      <c r="N173" s="51">
        <f>VLOOKUP($A173,'Data Vlaue (Cr)'!$C:$FB,64)</f>
        <v>311</v>
      </c>
      <c r="O173" s="51">
        <f>VLOOKUP($A173,'Data Vlaue (Cr)'!$C:$FB,66)*100</f>
        <v>0.22</v>
      </c>
    </row>
    <row r="174" spans="1:15" x14ac:dyDescent="0.25">
      <c r="A174" s="101" t="str">
        <f>'Data Vlaue (Cr)'!C169</f>
        <v>PAYTM</v>
      </c>
      <c r="B174" s="50">
        <f>VLOOKUP($A174,'Data Vlaue (Cr)'!$C:$FB,8)</f>
        <v>1089.3499999999999</v>
      </c>
      <c r="C174" s="50">
        <f>VLOOKUP($A174,'Data Vlaue (Cr)'!$C:$FB,11)*100</f>
        <v>1.9800000000000002</v>
      </c>
      <c r="D174" s="50">
        <f>VLOOKUP($A174,'Data Vlaue (Cr)'!$C:$FB,143)</f>
        <v>5196.08</v>
      </c>
      <c r="E174" s="50">
        <f>VLOOKUP($A174,'Data Vlaue (Cr)'!$C:$FB,144)</f>
        <v>4494.8500000000004</v>
      </c>
      <c r="F174" s="50">
        <f>VLOOKUP($A174,'Data Vlaue (Cr)'!$C:$FB,146)*100</f>
        <v>15.6</v>
      </c>
      <c r="G174" s="49">
        <f>VLOOKUP($A174,'Data Vlaue (Cr)'!$C:$FB,43)</f>
        <v>1661</v>
      </c>
      <c r="H174" s="49">
        <f>VLOOKUP($A174,'Data Vlaue (Cr)'!$C:$FB,44)</f>
        <v>1788</v>
      </c>
      <c r="I174" s="49">
        <f>VLOOKUP($A174,'Data Vlaue (Cr)'!$C:$FB,46)*100</f>
        <v>-7.1099999999999994</v>
      </c>
      <c r="J174" s="51">
        <f>VLOOKUP($A174,'Data Vlaue (Cr)'!$C:$FB,59)</f>
        <v>2437</v>
      </c>
      <c r="K174" s="51">
        <f>VLOOKUP($A174,'Data Vlaue (Cr)'!$C:$FB,60)</f>
        <v>1778</v>
      </c>
      <c r="L174" s="51">
        <f>VLOOKUP($A174,'Data Vlaue (Cr)'!$C:$FB,62)*100</f>
        <v>37.03</v>
      </c>
      <c r="M174" s="51">
        <f>VLOOKUP($A174,'Data Vlaue (Cr)'!$C:$FB,63)</f>
        <v>1052</v>
      </c>
      <c r="N174" s="51">
        <f>VLOOKUP($A174,'Data Vlaue (Cr)'!$C:$FB,64)</f>
        <v>967</v>
      </c>
      <c r="O174" s="51">
        <f>VLOOKUP($A174,'Data Vlaue (Cr)'!$C:$FB,66)*100</f>
        <v>8.81</v>
      </c>
    </row>
    <row r="175" spans="1:15" x14ac:dyDescent="0.25">
      <c r="A175" s="101" t="str">
        <f>'Data Vlaue (Cr)'!C170</f>
        <v>PEL</v>
      </c>
      <c r="B175" s="50">
        <f>VLOOKUP($A175,'Data Vlaue (Cr)'!$C:$FB,8)</f>
        <v>1251.8</v>
      </c>
      <c r="C175" s="50">
        <f>VLOOKUP($A175,'Data Vlaue (Cr)'!$C:$FB,11)*100</f>
        <v>-2.78</v>
      </c>
      <c r="D175" s="50">
        <f>VLOOKUP($A175,'Data Vlaue (Cr)'!$C:$FB,143)</f>
        <v>1572.21</v>
      </c>
      <c r="E175" s="50">
        <f>VLOOKUP($A175,'Data Vlaue (Cr)'!$C:$FB,144)</f>
        <v>6915.89</v>
      </c>
      <c r="F175" s="50">
        <f>VLOOKUP($A175,'Data Vlaue (Cr)'!$C:$FB,146)*100</f>
        <v>-77.27000000000001</v>
      </c>
      <c r="G175" s="49">
        <f>VLOOKUP($A175,'Data Vlaue (Cr)'!$C:$FB,43)</f>
        <v>0</v>
      </c>
      <c r="H175" s="49">
        <f>VLOOKUP($A175,'Data Vlaue (Cr)'!$C:$FB,44)</f>
        <v>0</v>
      </c>
      <c r="I175" s="49">
        <f>VLOOKUP($A175,'Data Vlaue (Cr)'!$C:$FB,46)*100</f>
        <v>-46.93</v>
      </c>
      <c r="J175" s="51">
        <f>VLOOKUP($A175,'Data Vlaue (Cr)'!$C:$FB,59)</f>
        <v>0</v>
      </c>
      <c r="K175" s="51">
        <f>VLOOKUP($A175,'Data Vlaue (Cr)'!$C:$FB,60)</f>
        <v>0</v>
      </c>
      <c r="L175" s="51">
        <f>VLOOKUP($A175,'Data Vlaue (Cr)'!$C:$FB,62)*100</f>
        <v>-78.600000000000009</v>
      </c>
      <c r="M175" s="51">
        <f>VLOOKUP($A175,'Data Vlaue (Cr)'!$C:$FB,63)</f>
        <v>0</v>
      </c>
      <c r="N175" s="51">
        <f>VLOOKUP($A175,'Data Vlaue (Cr)'!$C:$FB,64)</f>
        <v>0</v>
      </c>
      <c r="O175" s="51">
        <f>VLOOKUP($A175,'Data Vlaue (Cr)'!$C:$FB,66)*100</f>
        <v>-81.239999999999995</v>
      </c>
    </row>
    <row r="176" spans="1:15" x14ac:dyDescent="0.25">
      <c r="A176" s="101" t="str">
        <f>'Data Vlaue (Cr)'!C171</f>
        <v>PERSISTENT</v>
      </c>
      <c r="B176" s="50">
        <f>VLOOKUP($A176,'Data Vlaue (Cr)'!$C:$FB,8)</f>
        <v>5160.5</v>
      </c>
      <c r="C176" s="50">
        <f>VLOOKUP($A176,'Data Vlaue (Cr)'!$C:$FB,11)*100</f>
        <v>-0.04</v>
      </c>
      <c r="D176" s="50">
        <f>VLOOKUP($A176,'Data Vlaue (Cr)'!$C:$FB,143)</f>
        <v>3200.76</v>
      </c>
      <c r="E176" s="50">
        <f>VLOOKUP($A176,'Data Vlaue (Cr)'!$C:$FB,144)</f>
        <v>3696.51</v>
      </c>
      <c r="F176" s="50">
        <f>VLOOKUP($A176,'Data Vlaue (Cr)'!$C:$FB,146)*100</f>
        <v>-13.41</v>
      </c>
      <c r="G176" s="49">
        <f>VLOOKUP($A176,'Data Vlaue (Cr)'!$C:$FB,43)</f>
        <v>898</v>
      </c>
      <c r="H176" s="49">
        <f>VLOOKUP($A176,'Data Vlaue (Cr)'!$C:$FB,44)</f>
        <v>857</v>
      </c>
      <c r="I176" s="49">
        <f>VLOOKUP($A176,'Data Vlaue (Cr)'!$C:$FB,46)*100</f>
        <v>4.9000000000000004</v>
      </c>
      <c r="J176" s="51">
        <f>VLOOKUP($A176,'Data Vlaue (Cr)'!$C:$FB,59)</f>
        <v>1482</v>
      </c>
      <c r="K176" s="51">
        <f>VLOOKUP($A176,'Data Vlaue (Cr)'!$C:$FB,60)</f>
        <v>2014</v>
      </c>
      <c r="L176" s="51">
        <f>VLOOKUP($A176,'Data Vlaue (Cr)'!$C:$FB,62)*100</f>
        <v>-26.39</v>
      </c>
      <c r="M176" s="51">
        <f>VLOOKUP($A176,'Data Vlaue (Cr)'!$C:$FB,63)</f>
        <v>723</v>
      </c>
      <c r="N176" s="51">
        <f>VLOOKUP($A176,'Data Vlaue (Cr)'!$C:$FB,64)</f>
        <v>704</v>
      </c>
      <c r="O176" s="51">
        <f>VLOOKUP($A176,'Data Vlaue (Cr)'!$C:$FB,66)*100</f>
        <v>2.63</v>
      </c>
    </row>
    <row r="177" spans="1:15" x14ac:dyDescent="0.25">
      <c r="A177" s="101" t="str">
        <f>'Data Vlaue (Cr)'!C172</f>
        <v>PETRONET</v>
      </c>
      <c r="B177" s="50">
        <f>VLOOKUP($A177,'Data Vlaue (Cr)'!$C:$FB,8)</f>
        <v>288.2</v>
      </c>
      <c r="C177" s="50">
        <f>VLOOKUP($A177,'Data Vlaue (Cr)'!$C:$FB,11)*100</f>
        <v>-1.32</v>
      </c>
      <c r="D177" s="50">
        <f>VLOOKUP($A177,'Data Vlaue (Cr)'!$C:$FB,143)</f>
        <v>1439.86</v>
      </c>
      <c r="E177" s="50">
        <f>VLOOKUP($A177,'Data Vlaue (Cr)'!$C:$FB,144)</f>
        <v>1094.25</v>
      </c>
      <c r="F177" s="50">
        <f>VLOOKUP($A177,'Data Vlaue (Cr)'!$C:$FB,146)*100</f>
        <v>31.580000000000002</v>
      </c>
      <c r="G177" s="49">
        <f>VLOOKUP($A177,'Data Vlaue (Cr)'!$C:$FB,43)</f>
        <v>528</v>
      </c>
      <c r="H177" s="49">
        <f>VLOOKUP($A177,'Data Vlaue (Cr)'!$C:$FB,44)</f>
        <v>641</v>
      </c>
      <c r="I177" s="49">
        <f>VLOOKUP($A177,'Data Vlaue (Cr)'!$C:$FB,46)*100</f>
        <v>-17.62</v>
      </c>
      <c r="J177" s="51">
        <f>VLOOKUP($A177,'Data Vlaue (Cr)'!$C:$FB,59)</f>
        <v>485</v>
      </c>
      <c r="K177" s="51">
        <f>VLOOKUP($A177,'Data Vlaue (Cr)'!$C:$FB,60)</f>
        <v>233</v>
      </c>
      <c r="L177" s="51">
        <f>VLOOKUP($A177,'Data Vlaue (Cr)'!$C:$FB,62)*100</f>
        <v>108.59</v>
      </c>
      <c r="M177" s="51">
        <f>VLOOKUP($A177,'Data Vlaue (Cr)'!$C:$FB,63)</f>
        <v>362</v>
      </c>
      <c r="N177" s="51">
        <f>VLOOKUP($A177,'Data Vlaue (Cr)'!$C:$FB,64)</f>
        <v>191</v>
      </c>
      <c r="O177" s="51">
        <f>VLOOKUP($A177,'Data Vlaue (Cr)'!$C:$FB,66)*100</f>
        <v>89.5</v>
      </c>
    </row>
    <row r="178" spans="1:15" x14ac:dyDescent="0.25">
      <c r="A178" s="101" t="str">
        <f>'Data Vlaue (Cr)'!C173</f>
        <v>PFC</v>
      </c>
      <c r="B178" s="50">
        <f>VLOOKUP($A178,'Data Vlaue (Cr)'!$C:$FB,8)</f>
        <v>409.95</v>
      </c>
      <c r="C178" s="50">
        <f>VLOOKUP($A178,'Data Vlaue (Cr)'!$C:$FB,11)*100</f>
        <v>-0.47000000000000003</v>
      </c>
      <c r="D178" s="50">
        <f>VLOOKUP($A178,'Data Vlaue (Cr)'!$C:$FB,143)</f>
        <v>2821.31</v>
      </c>
      <c r="E178" s="50">
        <f>VLOOKUP($A178,'Data Vlaue (Cr)'!$C:$FB,144)</f>
        <v>2990.16</v>
      </c>
      <c r="F178" s="50">
        <f>VLOOKUP($A178,'Data Vlaue (Cr)'!$C:$FB,146)*100</f>
        <v>-5.65</v>
      </c>
      <c r="G178" s="49">
        <f>VLOOKUP($A178,'Data Vlaue (Cr)'!$C:$FB,43)</f>
        <v>1376</v>
      </c>
      <c r="H178" s="49">
        <f>VLOOKUP($A178,'Data Vlaue (Cr)'!$C:$FB,44)</f>
        <v>1524</v>
      </c>
      <c r="I178" s="49">
        <f>VLOOKUP($A178,'Data Vlaue (Cr)'!$C:$FB,46)*100</f>
        <v>-9.69</v>
      </c>
      <c r="J178" s="51">
        <f>VLOOKUP($A178,'Data Vlaue (Cr)'!$C:$FB,59)</f>
        <v>787</v>
      </c>
      <c r="K178" s="51">
        <f>VLOOKUP($A178,'Data Vlaue (Cr)'!$C:$FB,60)</f>
        <v>789</v>
      </c>
      <c r="L178" s="51">
        <f>VLOOKUP($A178,'Data Vlaue (Cr)'!$C:$FB,62)*100</f>
        <v>-0.27</v>
      </c>
      <c r="M178" s="51">
        <f>VLOOKUP($A178,'Data Vlaue (Cr)'!$C:$FB,63)</f>
        <v>606</v>
      </c>
      <c r="N178" s="51">
        <f>VLOOKUP($A178,'Data Vlaue (Cr)'!$C:$FB,64)</f>
        <v>602</v>
      </c>
      <c r="O178" s="51">
        <f>VLOOKUP($A178,'Data Vlaue (Cr)'!$C:$FB,66)*100</f>
        <v>0.63</v>
      </c>
    </row>
    <row r="179" spans="1:15" x14ac:dyDescent="0.25">
      <c r="A179" s="101" t="str">
        <f>'Data Vlaue (Cr)'!C174</f>
        <v>PGEL</v>
      </c>
      <c r="B179" s="50">
        <f>VLOOKUP($A179,'Data Vlaue (Cr)'!$C:$FB,8)</f>
        <v>811.65</v>
      </c>
      <c r="C179" s="50">
        <f>VLOOKUP($A179,'Data Vlaue (Cr)'!$C:$FB,11)*100</f>
        <v>0.77999999999999992</v>
      </c>
      <c r="D179" s="50">
        <f>VLOOKUP($A179,'Data Vlaue (Cr)'!$C:$FB,143)</f>
        <v>815.9</v>
      </c>
      <c r="E179" s="50">
        <f>VLOOKUP($A179,'Data Vlaue (Cr)'!$C:$FB,144)</f>
        <v>628.84</v>
      </c>
      <c r="F179" s="50">
        <f>VLOOKUP($A179,'Data Vlaue (Cr)'!$C:$FB,146)*100</f>
        <v>29.75</v>
      </c>
      <c r="G179" s="49">
        <f>VLOOKUP($A179,'Data Vlaue (Cr)'!$C:$FB,43)</f>
        <v>494</v>
      </c>
      <c r="H179" s="49">
        <f>VLOOKUP($A179,'Data Vlaue (Cr)'!$C:$FB,44)</f>
        <v>364</v>
      </c>
      <c r="I179" s="49">
        <f>VLOOKUP($A179,'Data Vlaue (Cr)'!$C:$FB,46)*100</f>
        <v>35.74</v>
      </c>
      <c r="J179" s="51">
        <f>VLOOKUP($A179,'Data Vlaue (Cr)'!$C:$FB,59)</f>
        <v>252</v>
      </c>
      <c r="K179" s="51">
        <f>VLOOKUP($A179,'Data Vlaue (Cr)'!$C:$FB,60)</f>
        <v>200</v>
      </c>
      <c r="L179" s="51">
        <f>VLOOKUP($A179,'Data Vlaue (Cr)'!$C:$FB,62)*100</f>
        <v>25.990000000000002</v>
      </c>
      <c r="M179" s="51">
        <f>VLOOKUP($A179,'Data Vlaue (Cr)'!$C:$FB,63)</f>
        <v>64</v>
      </c>
      <c r="N179" s="51">
        <f>VLOOKUP($A179,'Data Vlaue (Cr)'!$C:$FB,64)</f>
        <v>65</v>
      </c>
      <c r="O179" s="51">
        <f>VLOOKUP($A179,'Data Vlaue (Cr)'!$C:$FB,66)*100</f>
        <v>-2.0299999999999998</v>
      </c>
    </row>
    <row r="180" spans="1:15" x14ac:dyDescent="0.25">
      <c r="A180" s="101" t="str">
        <f>'Data Vlaue (Cr)'!C175</f>
        <v>PHOENIXLTD</v>
      </c>
      <c r="B180" s="50">
        <f>VLOOKUP($A180,'Data Vlaue (Cr)'!$C:$FB,8)</f>
        <v>1484</v>
      </c>
      <c r="C180" s="50">
        <f>VLOOKUP($A180,'Data Vlaue (Cr)'!$C:$FB,11)*100</f>
        <v>-1.1900000000000002</v>
      </c>
      <c r="D180" s="50">
        <f>VLOOKUP($A180,'Data Vlaue (Cr)'!$C:$FB,143)</f>
        <v>481.61</v>
      </c>
      <c r="E180" s="50">
        <f>VLOOKUP($A180,'Data Vlaue (Cr)'!$C:$FB,144)</f>
        <v>593.99</v>
      </c>
      <c r="F180" s="50">
        <f>VLOOKUP($A180,'Data Vlaue (Cr)'!$C:$FB,146)*100</f>
        <v>-18.920000000000002</v>
      </c>
      <c r="G180" s="49">
        <f>VLOOKUP($A180,'Data Vlaue (Cr)'!$C:$FB,43)</f>
        <v>334</v>
      </c>
      <c r="H180" s="49">
        <f>VLOOKUP($A180,'Data Vlaue (Cr)'!$C:$FB,44)</f>
        <v>382</v>
      </c>
      <c r="I180" s="49">
        <f>VLOOKUP($A180,'Data Vlaue (Cr)'!$C:$FB,46)*100</f>
        <v>-12.55</v>
      </c>
      <c r="J180" s="51">
        <f>VLOOKUP($A180,'Data Vlaue (Cr)'!$C:$FB,59)</f>
        <v>101</v>
      </c>
      <c r="K180" s="51">
        <f>VLOOKUP($A180,'Data Vlaue (Cr)'!$C:$FB,60)</f>
        <v>159</v>
      </c>
      <c r="L180" s="51">
        <f>VLOOKUP($A180,'Data Vlaue (Cr)'!$C:$FB,62)*100</f>
        <v>-36.86</v>
      </c>
      <c r="M180" s="51">
        <f>VLOOKUP($A180,'Data Vlaue (Cr)'!$C:$FB,63)</f>
        <v>42</v>
      </c>
      <c r="N180" s="51">
        <f>VLOOKUP($A180,'Data Vlaue (Cr)'!$C:$FB,64)</f>
        <v>38</v>
      </c>
      <c r="O180" s="51">
        <f>VLOOKUP($A180,'Data Vlaue (Cr)'!$C:$FB,66)*100</f>
        <v>11.53</v>
      </c>
    </row>
    <row r="181" spans="1:15" x14ac:dyDescent="0.25">
      <c r="A181" s="101" t="str">
        <f>'Data Vlaue (Cr)'!C176</f>
        <v>PIDILITIND</v>
      </c>
      <c r="B181" s="50">
        <f>VLOOKUP($A181,'Data Vlaue (Cr)'!$C:$FB,8)</f>
        <v>2869.8</v>
      </c>
      <c r="C181" s="50">
        <f>VLOOKUP($A181,'Data Vlaue (Cr)'!$C:$FB,11)*100</f>
        <v>-0.15</v>
      </c>
      <c r="D181" s="50">
        <f>VLOOKUP($A181,'Data Vlaue (Cr)'!$C:$FB,143)</f>
        <v>799.84</v>
      </c>
      <c r="E181" s="50">
        <f>VLOOKUP($A181,'Data Vlaue (Cr)'!$C:$FB,144)</f>
        <v>916.31</v>
      </c>
      <c r="F181" s="50">
        <f>VLOOKUP($A181,'Data Vlaue (Cr)'!$C:$FB,146)*100</f>
        <v>-12.709999999999999</v>
      </c>
      <c r="G181" s="49">
        <f>VLOOKUP($A181,'Data Vlaue (Cr)'!$C:$FB,43)</f>
        <v>388</v>
      </c>
      <c r="H181" s="49">
        <f>VLOOKUP($A181,'Data Vlaue (Cr)'!$C:$FB,44)</f>
        <v>668</v>
      </c>
      <c r="I181" s="49">
        <f>VLOOKUP($A181,'Data Vlaue (Cr)'!$C:$FB,46)*100</f>
        <v>-41.959999999999994</v>
      </c>
      <c r="J181" s="51">
        <f>VLOOKUP($A181,'Data Vlaue (Cr)'!$C:$FB,59)</f>
        <v>264</v>
      </c>
      <c r="K181" s="51">
        <f>VLOOKUP($A181,'Data Vlaue (Cr)'!$C:$FB,60)</f>
        <v>183</v>
      </c>
      <c r="L181" s="51">
        <f>VLOOKUP($A181,'Data Vlaue (Cr)'!$C:$FB,62)*100</f>
        <v>44.48</v>
      </c>
      <c r="M181" s="51">
        <f>VLOOKUP($A181,'Data Vlaue (Cr)'!$C:$FB,63)</f>
        <v>140</v>
      </c>
      <c r="N181" s="51">
        <f>VLOOKUP($A181,'Data Vlaue (Cr)'!$C:$FB,64)</f>
        <v>56</v>
      </c>
      <c r="O181" s="51">
        <f>VLOOKUP($A181,'Data Vlaue (Cr)'!$C:$FB,66)*100</f>
        <v>149.22999999999999</v>
      </c>
    </row>
    <row r="182" spans="1:15" x14ac:dyDescent="0.25">
      <c r="A182" s="101" t="str">
        <f>'Data Vlaue (Cr)'!C177</f>
        <v>PIIND</v>
      </c>
      <c r="B182" s="50">
        <f>VLOOKUP($A182,'Data Vlaue (Cr)'!$C:$FB,8)</f>
        <v>4250.8999999999996</v>
      </c>
      <c r="C182" s="50">
        <f>VLOOKUP($A182,'Data Vlaue (Cr)'!$C:$FB,11)*100</f>
        <v>-1.7000000000000002</v>
      </c>
      <c r="D182" s="50">
        <f>VLOOKUP($A182,'Data Vlaue (Cr)'!$C:$FB,143)</f>
        <v>847</v>
      </c>
      <c r="E182" s="50">
        <f>VLOOKUP($A182,'Data Vlaue (Cr)'!$C:$FB,144)</f>
        <v>1842.42</v>
      </c>
      <c r="F182" s="50">
        <f>VLOOKUP($A182,'Data Vlaue (Cr)'!$C:$FB,146)*100</f>
        <v>-54.03</v>
      </c>
      <c r="G182" s="49">
        <f>VLOOKUP($A182,'Data Vlaue (Cr)'!$C:$FB,43)</f>
        <v>332</v>
      </c>
      <c r="H182" s="49">
        <f>VLOOKUP($A182,'Data Vlaue (Cr)'!$C:$FB,44)</f>
        <v>526</v>
      </c>
      <c r="I182" s="49">
        <f>VLOOKUP($A182,'Data Vlaue (Cr)'!$C:$FB,46)*100</f>
        <v>-36.85</v>
      </c>
      <c r="J182" s="51">
        <f>VLOOKUP($A182,'Data Vlaue (Cr)'!$C:$FB,59)</f>
        <v>393</v>
      </c>
      <c r="K182" s="51">
        <f>VLOOKUP($A182,'Data Vlaue (Cr)'!$C:$FB,60)</f>
        <v>1086</v>
      </c>
      <c r="L182" s="51">
        <f>VLOOKUP($A182,'Data Vlaue (Cr)'!$C:$FB,62)*100</f>
        <v>-63.800000000000004</v>
      </c>
      <c r="M182" s="51">
        <f>VLOOKUP($A182,'Data Vlaue (Cr)'!$C:$FB,63)</f>
        <v>113</v>
      </c>
      <c r="N182" s="51">
        <f>VLOOKUP($A182,'Data Vlaue (Cr)'!$C:$FB,64)</f>
        <v>184</v>
      </c>
      <c r="O182" s="51">
        <f>VLOOKUP($A182,'Data Vlaue (Cr)'!$C:$FB,66)*100</f>
        <v>-38.519999999999996</v>
      </c>
    </row>
    <row r="183" spans="1:15" x14ac:dyDescent="0.25">
      <c r="A183" s="101" t="str">
        <f>'Data Vlaue (Cr)'!C178</f>
        <v>PNB</v>
      </c>
      <c r="B183" s="50">
        <f>VLOOKUP($A183,'Data Vlaue (Cr)'!$C:$FB,8)</f>
        <v>105.38</v>
      </c>
      <c r="C183" s="50">
        <f>VLOOKUP($A183,'Data Vlaue (Cr)'!$C:$FB,11)*100</f>
        <v>-2.52</v>
      </c>
      <c r="D183" s="50">
        <f>VLOOKUP($A183,'Data Vlaue (Cr)'!$C:$FB,143)</f>
        <v>8776.42</v>
      </c>
      <c r="E183" s="50">
        <f>VLOOKUP($A183,'Data Vlaue (Cr)'!$C:$FB,144)</f>
        <v>15283.37</v>
      </c>
      <c r="F183" s="50">
        <f>VLOOKUP($A183,'Data Vlaue (Cr)'!$C:$FB,146)*100</f>
        <v>-42.58</v>
      </c>
      <c r="G183" s="49">
        <f>VLOOKUP($A183,'Data Vlaue (Cr)'!$C:$FB,43)</f>
        <v>2295</v>
      </c>
      <c r="H183" s="49">
        <f>VLOOKUP($A183,'Data Vlaue (Cr)'!$C:$FB,44)</f>
        <v>3270</v>
      </c>
      <c r="I183" s="49">
        <f>VLOOKUP($A183,'Data Vlaue (Cr)'!$C:$FB,46)*100</f>
        <v>-29.82</v>
      </c>
      <c r="J183" s="51">
        <f>VLOOKUP($A183,'Data Vlaue (Cr)'!$C:$FB,59)</f>
        <v>3764</v>
      </c>
      <c r="K183" s="51">
        <f>VLOOKUP($A183,'Data Vlaue (Cr)'!$C:$FB,60)</f>
        <v>7296</v>
      </c>
      <c r="L183" s="51">
        <f>VLOOKUP($A183,'Data Vlaue (Cr)'!$C:$FB,62)*100</f>
        <v>-48.41</v>
      </c>
      <c r="M183" s="51">
        <f>VLOOKUP($A183,'Data Vlaue (Cr)'!$C:$FB,63)</f>
        <v>2453</v>
      </c>
      <c r="N183" s="51">
        <f>VLOOKUP($A183,'Data Vlaue (Cr)'!$C:$FB,64)</f>
        <v>3932</v>
      </c>
      <c r="O183" s="51">
        <f>VLOOKUP($A183,'Data Vlaue (Cr)'!$C:$FB,66)*100</f>
        <v>-37.61</v>
      </c>
    </row>
    <row r="184" spans="1:15" x14ac:dyDescent="0.25">
      <c r="A184" s="101" t="str">
        <f>'Data Vlaue (Cr)'!C179</f>
        <v>PNBHOUSING</v>
      </c>
      <c r="B184" s="50">
        <f>VLOOKUP($A184,'Data Vlaue (Cr)'!$C:$FB,8)</f>
        <v>986.2</v>
      </c>
      <c r="C184" s="50">
        <f>VLOOKUP($A184,'Data Vlaue (Cr)'!$C:$FB,11)*100</f>
        <v>-0.06</v>
      </c>
      <c r="D184" s="50">
        <f>VLOOKUP($A184,'Data Vlaue (Cr)'!$C:$FB,143)</f>
        <v>802.35</v>
      </c>
      <c r="E184" s="50">
        <f>VLOOKUP($A184,'Data Vlaue (Cr)'!$C:$FB,144)</f>
        <v>890.68</v>
      </c>
      <c r="F184" s="50">
        <f>VLOOKUP($A184,'Data Vlaue (Cr)'!$C:$FB,146)*100</f>
        <v>-9.92</v>
      </c>
      <c r="G184" s="49">
        <f>VLOOKUP($A184,'Data Vlaue (Cr)'!$C:$FB,43)</f>
        <v>347</v>
      </c>
      <c r="H184" s="49">
        <f>VLOOKUP($A184,'Data Vlaue (Cr)'!$C:$FB,44)</f>
        <v>482</v>
      </c>
      <c r="I184" s="49">
        <f>VLOOKUP($A184,'Data Vlaue (Cr)'!$C:$FB,46)*100</f>
        <v>-28.01</v>
      </c>
      <c r="J184" s="51">
        <f>VLOOKUP($A184,'Data Vlaue (Cr)'!$C:$FB,59)</f>
        <v>276</v>
      </c>
      <c r="K184" s="51">
        <f>VLOOKUP($A184,'Data Vlaue (Cr)'!$C:$FB,60)</f>
        <v>269</v>
      </c>
      <c r="L184" s="51">
        <f>VLOOKUP($A184,'Data Vlaue (Cr)'!$C:$FB,62)*100</f>
        <v>2.5299999999999998</v>
      </c>
      <c r="M184" s="51">
        <f>VLOOKUP($A184,'Data Vlaue (Cr)'!$C:$FB,63)</f>
        <v>149</v>
      </c>
      <c r="N184" s="51">
        <f>VLOOKUP($A184,'Data Vlaue (Cr)'!$C:$FB,64)</f>
        <v>110</v>
      </c>
      <c r="O184" s="51">
        <f>VLOOKUP($A184,'Data Vlaue (Cr)'!$C:$FB,66)*100</f>
        <v>35.5</v>
      </c>
    </row>
    <row r="185" spans="1:15" x14ac:dyDescent="0.25">
      <c r="A185" s="101" t="str">
        <f>'Data Vlaue (Cr)'!C180</f>
        <v>POLICYBZR</v>
      </c>
      <c r="B185" s="50">
        <f>VLOOKUP($A185,'Data Vlaue (Cr)'!$C:$FB,8)</f>
        <v>1812.1</v>
      </c>
      <c r="C185" s="50">
        <f>VLOOKUP($A185,'Data Vlaue (Cr)'!$C:$FB,11)*100</f>
        <v>-0.51</v>
      </c>
      <c r="D185" s="50">
        <f>VLOOKUP($A185,'Data Vlaue (Cr)'!$C:$FB,143)</f>
        <v>1358.76</v>
      </c>
      <c r="E185" s="50">
        <f>VLOOKUP($A185,'Data Vlaue (Cr)'!$C:$FB,144)</f>
        <v>1656.95</v>
      </c>
      <c r="F185" s="50">
        <f>VLOOKUP($A185,'Data Vlaue (Cr)'!$C:$FB,146)*100</f>
        <v>-18</v>
      </c>
      <c r="G185" s="49">
        <f>VLOOKUP($A185,'Data Vlaue (Cr)'!$C:$FB,43)</f>
        <v>666</v>
      </c>
      <c r="H185" s="49">
        <f>VLOOKUP($A185,'Data Vlaue (Cr)'!$C:$FB,44)</f>
        <v>930</v>
      </c>
      <c r="I185" s="49">
        <f>VLOOKUP($A185,'Data Vlaue (Cr)'!$C:$FB,46)*100</f>
        <v>-28.43</v>
      </c>
      <c r="J185" s="51">
        <f>VLOOKUP($A185,'Data Vlaue (Cr)'!$C:$FB,59)</f>
        <v>497</v>
      </c>
      <c r="K185" s="51">
        <f>VLOOKUP($A185,'Data Vlaue (Cr)'!$C:$FB,60)</f>
        <v>567</v>
      </c>
      <c r="L185" s="51">
        <f>VLOOKUP($A185,'Data Vlaue (Cr)'!$C:$FB,62)*100</f>
        <v>-12.29</v>
      </c>
      <c r="M185" s="51">
        <f>VLOOKUP($A185,'Data Vlaue (Cr)'!$C:$FB,63)</f>
        <v>185</v>
      </c>
      <c r="N185" s="51">
        <f>VLOOKUP($A185,'Data Vlaue (Cr)'!$C:$FB,64)</f>
        <v>144</v>
      </c>
      <c r="O185" s="51">
        <f>VLOOKUP($A185,'Data Vlaue (Cr)'!$C:$FB,66)*100</f>
        <v>28.449999999999996</v>
      </c>
    </row>
    <row r="186" spans="1:15" x14ac:dyDescent="0.25">
      <c r="A186" s="101" t="str">
        <f>'Data Vlaue (Cr)'!C181</f>
        <v>POLYCAB</v>
      </c>
      <c r="B186" s="50">
        <f>VLOOKUP($A186,'Data Vlaue (Cr)'!$C:$FB,8)</f>
        <v>6821</v>
      </c>
      <c r="C186" s="50">
        <f>VLOOKUP($A186,'Data Vlaue (Cr)'!$C:$FB,11)*100</f>
        <v>-1.59</v>
      </c>
      <c r="D186" s="50">
        <f>VLOOKUP($A186,'Data Vlaue (Cr)'!$C:$FB,143)</f>
        <v>3554.8</v>
      </c>
      <c r="E186" s="50">
        <f>VLOOKUP($A186,'Data Vlaue (Cr)'!$C:$FB,144)</f>
        <v>2376.8200000000002</v>
      </c>
      <c r="F186" s="50">
        <f>VLOOKUP($A186,'Data Vlaue (Cr)'!$C:$FB,146)*100</f>
        <v>49.559999999999995</v>
      </c>
      <c r="G186" s="49">
        <f>VLOOKUP($A186,'Data Vlaue (Cr)'!$C:$FB,43)</f>
        <v>1323</v>
      </c>
      <c r="H186" s="49">
        <f>VLOOKUP($A186,'Data Vlaue (Cr)'!$C:$FB,44)</f>
        <v>674</v>
      </c>
      <c r="I186" s="49">
        <f>VLOOKUP($A186,'Data Vlaue (Cr)'!$C:$FB,46)*100</f>
        <v>96.47</v>
      </c>
      <c r="J186" s="51">
        <f>VLOOKUP($A186,'Data Vlaue (Cr)'!$C:$FB,59)</f>
        <v>1390</v>
      </c>
      <c r="K186" s="51">
        <f>VLOOKUP($A186,'Data Vlaue (Cr)'!$C:$FB,60)</f>
        <v>971</v>
      </c>
      <c r="L186" s="51">
        <f>VLOOKUP($A186,'Data Vlaue (Cr)'!$C:$FB,62)*100</f>
        <v>43.120000000000005</v>
      </c>
      <c r="M186" s="51">
        <f>VLOOKUP($A186,'Data Vlaue (Cr)'!$C:$FB,63)</f>
        <v>798</v>
      </c>
      <c r="N186" s="51">
        <f>VLOOKUP($A186,'Data Vlaue (Cr)'!$C:$FB,64)</f>
        <v>692</v>
      </c>
      <c r="O186" s="51">
        <f>VLOOKUP($A186,'Data Vlaue (Cr)'!$C:$FB,66)*100</f>
        <v>15.459999999999999</v>
      </c>
    </row>
    <row r="187" spans="1:15" x14ac:dyDescent="0.25">
      <c r="A187" s="101" t="str">
        <f>'Data Vlaue (Cr)'!C182</f>
        <v>POONAWALLA</v>
      </c>
      <c r="B187" s="50">
        <f>VLOOKUP($A187,'Data Vlaue (Cr)'!$C:$FB,8)</f>
        <v>422.25</v>
      </c>
      <c r="C187" s="50">
        <f>VLOOKUP($A187,'Data Vlaue (Cr)'!$C:$FB,11)*100</f>
        <v>1.9900000000000002</v>
      </c>
      <c r="D187" s="50">
        <f>VLOOKUP($A187,'Data Vlaue (Cr)'!$C:$FB,143)</f>
        <v>916.14</v>
      </c>
      <c r="E187" s="50">
        <f>VLOOKUP($A187,'Data Vlaue (Cr)'!$C:$FB,144)</f>
        <v>1282.92</v>
      </c>
      <c r="F187" s="50">
        <f>VLOOKUP($A187,'Data Vlaue (Cr)'!$C:$FB,146)*100</f>
        <v>-28.59</v>
      </c>
      <c r="G187" s="49">
        <f>VLOOKUP($A187,'Data Vlaue (Cr)'!$C:$FB,43)</f>
        <v>428</v>
      </c>
      <c r="H187" s="49">
        <f>VLOOKUP($A187,'Data Vlaue (Cr)'!$C:$FB,44)</f>
        <v>536</v>
      </c>
      <c r="I187" s="49">
        <f>VLOOKUP($A187,'Data Vlaue (Cr)'!$C:$FB,46)*100</f>
        <v>-20.059999999999999</v>
      </c>
      <c r="J187" s="51">
        <f>VLOOKUP($A187,'Data Vlaue (Cr)'!$C:$FB,59)</f>
        <v>323</v>
      </c>
      <c r="K187" s="51">
        <f>VLOOKUP($A187,'Data Vlaue (Cr)'!$C:$FB,60)</f>
        <v>494</v>
      </c>
      <c r="L187" s="51">
        <f>VLOOKUP($A187,'Data Vlaue (Cr)'!$C:$FB,62)*100</f>
        <v>-34.46</v>
      </c>
      <c r="M187" s="51">
        <f>VLOOKUP($A187,'Data Vlaue (Cr)'!$C:$FB,63)</f>
        <v>148</v>
      </c>
      <c r="N187" s="51">
        <f>VLOOKUP($A187,'Data Vlaue (Cr)'!$C:$FB,64)</f>
        <v>244</v>
      </c>
      <c r="O187" s="51">
        <f>VLOOKUP($A187,'Data Vlaue (Cr)'!$C:$FB,66)*100</f>
        <v>-39.229999999999997</v>
      </c>
    </row>
    <row r="188" spans="1:15" x14ac:dyDescent="0.25">
      <c r="A188" s="101" t="str">
        <f>'Data Vlaue (Cr)'!C183</f>
        <v>POWERGRID</v>
      </c>
      <c r="B188" s="50">
        <f>VLOOKUP($A188,'Data Vlaue (Cr)'!$C:$FB,8)</f>
        <v>291</v>
      </c>
      <c r="C188" s="50">
        <f>VLOOKUP($A188,'Data Vlaue (Cr)'!$C:$FB,11)*100</f>
        <v>0.71000000000000008</v>
      </c>
      <c r="D188" s="50">
        <f>VLOOKUP($A188,'Data Vlaue (Cr)'!$C:$FB,143)</f>
        <v>2293.85</v>
      </c>
      <c r="E188" s="50">
        <f>VLOOKUP($A188,'Data Vlaue (Cr)'!$C:$FB,144)</f>
        <v>3661.04</v>
      </c>
      <c r="F188" s="50">
        <f>VLOOKUP($A188,'Data Vlaue (Cr)'!$C:$FB,146)*100</f>
        <v>-37.340000000000003</v>
      </c>
      <c r="G188" s="49">
        <f>VLOOKUP($A188,'Data Vlaue (Cr)'!$C:$FB,43)</f>
        <v>858</v>
      </c>
      <c r="H188" s="49">
        <f>VLOOKUP($A188,'Data Vlaue (Cr)'!$C:$FB,44)</f>
        <v>1303</v>
      </c>
      <c r="I188" s="49">
        <f>VLOOKUP($A188,'Data Vlaue (Cr)'!$C:$FB,46)*100</f>
        <v>-34.19</v>
      </c>
      <c r="J188" s="51">
        <f>VLOOKUP($A188,'Data Vlaue (Cr)'!$C:$FB,59)</f>
        <v>815</v>
      </c>
      <c r="K188" s="51">
        <f>VLOOKUP($A188,'Data Vlaue (Cr)'!$C:$FB,60)</f>
        <v>1230</v>
      </c>
      <c r="L188" s="51">
        <f>VLOOKUP($A188,'Data Vlaue (Cr)'!$C:$FB,62)*100</f>
        <v>-33.69</v>
      </c>
      <c r="M188" s="51">
        <f>VLOOKUP($A188,'Data Vlaue (Cr)'!$C:$FB,63)</f>
        <v>587</v>
      </c>
      <c r="N188" s="51">
        <f>VLOOKUP($A188,'Data Vlaue (Cr)'!$C:$FB,64)</f>
        <v>1083</v>
      </c>
      <c r="O188" s="51">
        <f>VLOOKUP($A188,'Data Vlaue (Cr)'!$C:$FB,66)*100</f>
        <v>-45.81</v>
      </c>
    </row>
    <row r="189" spans="1:15" x14ac:dyDescent="0.25">
      <c r="A189" s="101" t="str">
        <f>'Data Vlaue (Cr)'!C231</f>
        <v>ZYDUSLIFE</v>
      </c>
      <c r="B189" s="50">
        <f>VLOOKUP($A189,'Data Vlaue (Cr)'!$C:$FB,8)</f>
        <v>969.8</v>
      </c>
      <c r="C189" s="50">
        <f>VLOOKUP($A189,'Data Vlaue (Cr)'!$C:$FB,11)*100</f>
        <v>-2.5499999999999998</v>
      </c>
      <c r="D189" s="50">
        <f>VLOOKUP($A189,'Data Vlaue (Cr)'!$C:$FB,143)</f>
        <v>1263.54</v>
      </c>
      <c r="E189" s="50">
        <f>VLOOKUP($A189,'Data Vlaue (Cr)'!$C:$FB,144)</f>
        <v>879.69</v>
      </c>
      <c r="F189" s="50">
        <f>VLOOKUP($A189,'Data Vlaue (Cr)'!$C:$FB,146)*100</f>
        <v>43.63</v>
      </c>
      <c r="G189" s="49">
        <f>VLOOKUP($A189,'Data Vlaue (Cr)'!$C:$FB,43)</f>
        <v>621</v>
      </c>
      <c r="H189" s="49">
        <f>VLOOKUP($A189,'Data Vlaue (Cr)'!$C:$FB,44)</f>
        <v>447</v>
      </c>
      <c r="I189" s="49">
        <f>VLOOKUP($A189,'Data Vlaue (Cr)'!$C:$FB,46)*100</f>
        <v>38.909999999999997</v>
      </c>
      <c r="J189" s="51">
        <f>VLOOKUP($A189,'Data Vlaue (Cr)'!$C:$FB,59)</f>
        <v>281</v>
      </c>
      <c r="K189" s="51">
        <f>VLOOKUP($A189,'Data Vlaue (Cr)'!$C:$FB,60)</f>
        <v>280</v>
      </c>
      <c r="L189" s="51">
        <f>VLOOKUP($A189,'Data Vlaue (Cr)'!$C:$FB,62)*100</f>
        <v>0.25</v>
      </c>
      <c r="M189" s="51">
        <f>VLOOKUP($A189,'Data Vlaue (Cr)'!$C:$FB,63)</f>
        <v>348</v>
      </c>
      <c r="N189" s="51">
        <f>VLOOKUP($A189,'Data Vlaue (Cr)'!$C:$FB,64)</f>
        <v>124</v>
      </c>
      <c r="O189" s="51">
        <f>VLOOKUP($A189,'Data Vlaue (Cr)'!$C:$FB,66)*100</f>
        <v>179.99</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75690507.550000042</v>
      </c>
      <c r="E212" s="131">
        <f>SUM(E7:E211)</f>
        <v>22892564.860000007</v>
      </c>
      <c r="F212" s="132">
        <f>(D212-E212)/E212</f>
        <v>2.306335834926625</v>
      </c>
      <c r="G212" s="131">
        <f>SUM(G7:G211)</f>
        <v>253387</v>
      </c>
      <c r="H212" s="131">
        <f>SUM(H7:H211)</f>
        <v>241485</v>
      </c>
      <c r="I212" s="132">
        <f>(G212-H212)/H212</f>
        <v>4.9286705178375467E-2</v>
      </c>
      <c r="J212" s="131">
        <f>SUM(J7:J211)</f>
        <v>39555341</v>
      </c>
      <c r="K212" s="131">
        <f>SUM(K7:K211)</f>
        <v>12347661</v>
      </c>
      <c r="L212" s="132">
        <f>(J212-K212)/K212</f>
        <v>2.2034683329903535</v>
      </c>
      <c r="M212" s="131">
        <f>SUM(M7:M211)</f>
        <v>35956794</v>
      </c>
      <c r="N212" s="131">
        <f>SUM(N7:N211)</f>
        <v>10218671</v>
      </c>
      <c r="O212" s="132">
        <f>(M212-N212)/N212</f>
        <v>2.5187348726659269</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45869</v>
      </c>
      <c r="C6" s="34" t="s">
        <v>328</v>
      </c>
      <c r="D6" s="21">
        <f>B6</f>
        <v>45869</v>
      </c>
      <c r="E6" s="34" t="s">
        <v>322</v>
      </c>
      <c r="F6" s="34" t="s">
        <v>328</v>
      </c>
      <c r="G6" s="21">
        <f>D6</f>
        <v>45869</v>
      </c>
      <c r="H6" s="34" t="s">
        <v>322</v>
      </c>
      <c r="I6" s="34" t="s">
        <v>328</v>
      </c>
      <c r="J6" s="21">
        <f>D6</f>
        <v>45869</v>
      </c>
      <c r="K6" s="34" t="s">
        <v>322</v>
      </c>
      <c r="L6" s="34" t="s">
        <v>328</v>
      </c>
      <c r="M6" s="21">
        <f>D6</f>
        <v>45869</v>
      </c>
      <c r="N6" s="34" t="s">
        <v>322</v>
      </c>
      <c r="O6" s="34" t="s">
        <v>328</v>
      </c>
    </row>
    <row r="7" spans="1:15" x14ac:dyDescent="0.25">
      <c r="A7" s="101" t="str">
        <f>'Data shares'!C2</f>
        <v>360ONE</v>
      </c>
      <c r="B7" s="50">
        <f>VLOOKUP($A7,'Data shares'!$C:$FB,7)</f>
        <v>1052.7</v>
      </c>
      <c r="C7" s="50">
        <f>VLOOKUP($A7,'Data shares'!$C:$FB,10)*100</f>
        <v>-0.71000000000000008</v>
      </c>
      <c r="D7" s="49">
        <f>VLOOKUP($A7,'Data shares'!$C:$FB,66)</f>
        <v>6015000</v>
      </c>
      <c r="E7" s="49">
        <f>VLOOKUP($A7,'Data shares'!$C:$FB,67)</f>
        <v>5044000</v>
      </c>
      <c r="F7" s="50">
        <f>VLOOKUP($A7,'Data shares'!$C:$FB,69)*100</f>
        <v>19.25</v>
      </c>
      <c r="G7" s="49">
        <f>VLOOKUP($A7,'Data shares'!$C:$FB,42)</f>
        <v>4464000</v>
      </c>
      <c r="H7" s="49">
        <f>VLOOKUP($A7,'Data shares'!$C:$FB,43)</f>
        <v>2191500</v>
      </c>
      <c r="I7" s="50">
        <f>VLOOKUP($A7,'Data shares'!$C:$FB,45)*100</f>
        <v>103.69999999999999</v>
      </c>
      <c r="J7" s="49">
        <f>VLOOKUP($A7,'Data shares'!$C:$FB,58)</f>
        <v>1108000</v>
      </c>
      <c r="K7" s="49">
        <f>VLOOKUP($A7,'Data shares'!$C:$FB,59)</f>
        <v>2386500</v>
      </c>
      <c r="L7" s="50">
        <f>VLOOKUP($A7,'Data shares'!$C:$FB,61)*100</f>
        <v>-53.569999999999993</v>
      </c>
      <c r="M7" s="49">
        <f>VLOOKUP($A7,'Data shares'!$C:$FB,62)</f>
        <v>443000</v>
      </c>
      <c r="N7" s="49">
        <f>VLOOKUP($A7,'Data shares'!$C:$FB,63)</f>
        <v>466000</v>
      </c>
      <c r="O7" s="140">
        <f>VLOOKUP($A7,'Data shares'!$C:$FB,65)*100</f>
        <v>-4.9399999999999995</v>
      </c>
    </row>
    <row r="8" spans="1:15" x14ac:dyDescent="0.25">
      <c r="A8" s="101" t="str">
        <f>'Data shares'!C3</f>
        <v>AARTIIND</v>
      </c>
      <c r="B8" s="50">
        <f>VLOOKUP($A8,'Data shares'!$C:$FB,7)</f>
        <v>420.05</v>
      </c>
      <c r="C8" s="50">
        <f>VLOOKUP($A8,'Data shares'!$C:$FB,10)*100</f>
        <v>-5.71</v>
      </c>
      <c r="D8" s="49">
        <f>VLOOKUP($A8,'Data shares'!$C:$FB,66)</f>
        <v>15111625</v>
      </c>
      <c r="E8" s="49">
        <f>VLOOKUP($A8,'Data shares'!$C:$FB,67)</f>
        <v>11198900</v>
      </c>
      <c r="F8" s="50">
        <f>VLOOKUP($A8,'Data shares'!$C:$FB,69)*100</f>
        <v>34.94</v>
      </c>
      <c r="G8" s="49">
        <f>VLOOKUP($A8,'Data shares'!$C:$FB,42)</f>
        <v>5790250</v>
      </c>
      <c r="H8" s="49">
        <f>VLOOKUP($A8,'Data shares'!$C:$FB,43)</f>
        <v>3085925</v>
      </c>
      <c r="I8" s="50">
        <f>VLOOKUP($A8,'Data shares'!$C:$FB,45)*100</f>
        <v>87.63</v>
      </c>
      <c r="J8" s="49">
        <f>VLOOKUP($A8,'Data shares'!$C:$FB,58)</f>
        <v>5349025</v>
      </c>
      <c r="K8" s="49">
        <f>VLOOKUP($A8,'Data shares'!$C:$FB,59)</f>
        <v>5469600</v>
      </c>
      <c r="L8" s="50">
        <f>VLOOKUP($A8,'Data shares'!$C:$FB,61)*100</f>
        <v>-2.1999999999999997</v>
      </c>
      <c r="M8" s="49">
        <f>VLOOKUP($A8,'Data shares'!$C:$FB,62)</f>
        <v>3972350</v>
      </c>
      <c r="N8" s="49">
        <f>VLOOKUP($A8,'Data shares'!$C:$FB,63)</f>
        <v>2643375</v>
      </c>
      <c r="O8" s="140">
        <f>VLOOKUP($A8,'Data shares'!$C:$FB,65)*100</f>
        <v>50.28</v>
      </c>
    </row>
    <row r="9" spans="1:15" x14ac:dyDescent="0.25">
      <c r="A9" s="101" t="str">
        <f>'Data shares'!C4</f>
        <v>ABB</v>
      </c>
      <c r="B9" s="50">
        <f>VLOOKUP($A9,'Data shares'!$C:$FB,7)</f>
        <v>5510</v>
      </c>
      <c r="C9" s="50">
        <f>VLOOKUP($A9,'Data shares'!$C:$FB,10)*100</f>
        <v>-0.79</v>
      </c>
      <c r="D9" s="49">
        <f>VLOOKUP($A9,'Data shares'!$C:$FB,66)</f>
        <v>3105250</v>
      </c>
      <c r="E9" s="49">
        <f>VLOOKUP($A9,'Data shares'!$C:$FB,67)</f>
        <v>6190500</v>
      </c>
      <c r="F9" s="50">
        <f>VLOOKUP($A9,'Data shares'!$C:$FB,69)*100</f>
        <v>-49.84</v>
      </c>
      <c r="G9" s="49">
        <f>VLOOKUP($A9,'Data shares'!$C:$FB,42)</f>
        <v>1516000</v>
      </c>
      <c r="H9" s="49">
        <f>VLOOKUP($A9,'Data shares'!$C:$FB,43)</f>
        <v>2708000</v>
      </c>
      <c r="I9" s="50">
        <f>VLOOKUP($A9,'Data shares'!$C:$FB,45)*100</f>
        <v>-44.019999999999996</v>
      </c>
      <c r="J9" s="49">
        <f>VLOOKUP($A9,'Data shares'!$C:$FB,58)</f>
        <v>1014125</v>
      </c>
      <c r="K9" s="49">
        <f>VLOOKUP($A9,'Data shares'!$C:$FB,59)</f>
        <v>2053875</v>
      </c>
      <c r="L9" s="50">
        <f>VLOOKUP($A9,'Data shares'!$C:$FB,61)*100</f>
        <v>-50.62</v>
      </c>
      <c r="M9" s="49">
        <f>VLOOKUP($A9,'Data shares'!$C:$FB,62)</f>
        <v>575125</v>
      </c>
      <c r="N9" s="49">
        <f>VLOOKUP($A9,'Data shares'!$C:$FB,63)</f>
        <v>1428625</v>
      </c>
      <c r="O9" s="140">
        <f>VLOOKUP($A9,'Data shares'!$C:$FB,65)*100</f>
        <v>-59.74</v>
      </c>
    </row>
    <row r="10" spans="1:15" x14ac:dyDescent="0.25">
      <c r="A10" s="101" t="str">
        <f>'Data shares'!C5</f>
        <v>ABCAPITAL</v>
      </c>
      <c r="B10" s="50">
        <f>VLOOKUP($A10,'Data shares'!$C:$FB,7)</f>
        <v>256.64999999999998</v>
      </c>
      <c r="C10" s="50">
        <f>VLOOKUP($A10,'Data shares'!$C:$FB,10)*100</f>
        <v>3.16</v>
      </c>
      <c r="D10" s="49">
        <f>VLOOKUP($A10,'Data shares'!$C:$FB,66)</f>
        <v>71954100</v>
      </c>
      <c r="E10" s="49">
        <f>VLOOKUP($A10,'Data shares'!$C:$FB,67)</f>
        <v>53047200</v>
      </c>
      <c r="F10" s="50">
        <f>VLOOKUP($A10,'Data shares'!$C:$FB,69)*100</f>
        <v>35.64</v>
      </c>
      <c r="G10" s="49">
        <f>VLOOKUP($A10,'Data shares'!$C:$FB,42)</f>
        <v>30597000</v>
      </c>
      <c r="H10" s="49">
        <f>VLOOKUP($A10,'Data shares'!$C:$FB,43)</f>
        <v>26908000</v>
      </c>
      <c r="I10" s="50">
        <f>VLOOKUP($A10,'Data shares'!$C:$FB,45)*100</f>
        <v>13.71</v>
      </c>
      <c r="J10" s="49">
        <f>VLOOKUP($A10,'Data shares'!$C:$FB,58)</f>
        <v>27531100</v>
      </c>
      <c r="K10" s="49">
        <f>VLOOKUP($A10,'Data shares'!$C:$FB,59)</f>
        <v>16997300</v>
      </c>
      <c r="L10" s="50">
        <f>VLOOKUP($A10,'Data shares'!$C:$FB,61)*100</f>
        <v>61.970000000000006</v>
      </c>
      <c r="M10" s="49">
        <f>VLOOKUP($A10,'Data shares'!$C:$FB,62)</f>
        <v>13826000</v>
      </c>
      <c r="N10" s="49">
        <f>VLOOKUP($A10,'Data shares'!$C:$FB,63)</f>
        <v>9141900</v>
      </c>
      <c r="O10" s="140">
        <f>VLOOKUP($A10,'Data shares'!$C:$FB,65)*100</f>
        <v>51.239999999999995</v>
      </c>
    </row>
    <row r="11" spans="1:15" x14ac:dyDescent="0.25">
      <c r="A11" s="101" t="str">
        <f>'Data shares'!C6</f>
        <v>ABFRL</v>
      </c>
      <c r="B11" s="50">
        <f>VLOOKUP($A11,'Data shares'!$C:$FB,7)</f>
        <v>72.87</v>
      </c>
      <c r="C11" s="50">
        <f>VLOOKUP($A11,'Data shares'!$C:$FB,10)*100</f>
        <v>-2.3800000000000003</v>
      </c>
      <c r="D11" s="49">
        <f>VLOOKUP($A11,'Data shares'!$C:$FB,66)</f>
        <v>55598400</v>
      </c>
      <c r="E11" s="49">
        <f>VLOOKUP($A11,'Data shares'!$C:$FB,67)</f>
        <v>42000400</v>
      </c>
      <c r="F11" s="50">
        <f>VLOOKUP($A11,'Data shares'!$C:$FB,69)*100</f>
        <v>32.379999999999995</v>
      </c>
      <c r="G11" s="49">
        <f>VLOOKUP($A11,'Data shares'!$C:$FB,42)</f>
        <v>36961600</v>
      </c>
      <c r="H11" s="49">
        <f>VLOOKUP($A11,'Data shares'!$C:$FB,43)</f>
        <v>26197600</v>
      </c>
      <c r="I11" s="50">
        <f>VLOOKUP($A11,'Data shares'!$C:$FB,45)*100</f>
        <v>41.089999999999996</v>
      </c>
      <c r="J11" s="49">
        <f>VLOOKUP($A11,'Data shares'!$C:$FB,58)</f>
        <v>8197800</v>
      </c>
      <c r="K11" s="49">
        <f>VLOOKUP($A11,'Data shares'!$C:$FB,59)</f>
        <v>7428200</v>
      </c>
      <c r="L11" s="50">
        <f>VLOOKUP($A11,'Data shares'!$C:$FB,61)*100</f>
        <v>10.36</v>
      </c>
      <c r="M11" s="49">
        <f>VLOOKUP($A11,'Data shares'!$C:$FB,62)</f>
        <v>10439000</v>
      </c>
      <c r="N11" s="49">
        <f>VLOOKUP($A11,'Data shares'!$C:$FB,63)</f>
        <v>8374600</v>
      </c>
      <c r="O11" s="140">
        <f>VLOOKUP($A11,'Data shares'!$C:$FB,65)*100</f>
        <v>24.65</v>
      </c>
    </row>
    <row r="12" spans="1:15" x14ac:dyDescent="0.25">
      <c r="A12" s="101" t="str">
        <f>'Data shares'!C7</f>
        <v>ACC</v>
      </c>
      <c r="B12" s="50">
        <f>VLOOKUP($A12,'Data shares'!$C:$FB,7)</f>
        <v>1788.4</v>
      </c>
      <c r="C12" s="50">
        <f>VLOOKUP($A12,'Data shares'!$C:$FB,10)*100</f>
        <v>-1.26</v>
      </c>
      <c r="D12" s="49">
        <f>VLOOKUP($A12,'Data shares'!$C:$FB,66)</f>
        <v>3452100</v>
      </c>
      <c r="E12" s="49">
        <f>VLOOKUP($A12,'Data shares'!$C:$FB,67)</f>
        <v>2478900</v>
      </c>
      <c r="F12" s="50">
        <f>VLOOKUP($A12,'Data shares'!$C:$FB,69)*100</f>
        <v>39.26</v>
      </c>
      <c r="G12" s="49">
        <f>VLOOKUP($A12,'Data shares'!$C:$FB,42)</f>
        <v>1547400</v>
      </c>
      <c r="H12" s="49">
        <f>VLOOKUP($A12,'Data shares'!$C:$FB,43)</f>
        <v>809100</v>
      </c>
      <c r="I12" s="50">
        <f>VLOOKUP($A12,'Data shares'!$C:$FB,45)*100</f>
        <v>91.25</v>
      </c>
      <c r="J12" s="49">
        <f>VLOOKUP($A12,'Data shares'!$C:$FB,58)</f>
        <v>1077900</v>
      </c>
      <c r="K12" s="49">
        <f>VLOOKUP($A12,'Data shares'!$C:$FB,59)</f>
        <v>1188600</v>
      </c>
      <c r="L12" s="50">
        <f>VLOOKUP($A12,'Data shares'!$C:$FB,61)*100</f>
        <v>-9.31</v>
      </c>
      <c r="M12" s="49">
        <f>VLOOKUP($A12,'Data shares'!$C:$FB,62)</f>
        <v>826800</v>
      </c>
      <c r="N12" s="49">
        <f>VLOOKUP($A12,'Data shares'!$C:$FB,63)</f>
        <v>481200</v>
      </c>
      <c r="O12" s="140">
        <f>VLOOKUP($A12,'Data shares'!$C:$FB,65)*100</f>
        <v>71.819999999999993</v>
      </c>
    </row>
    <row r="13" spans="1:15" x14ac:dyDescent="0.25">
      <c r="A13" s="101" t="str">
        <f>'Data shares'!C8</f>
        <v>ADANIENSOL</v>
      </c>
      <c r="B13" s="50">
        <f>VLOOKUP($A13,'Data shares'!$C:$FB,7)</f>
        <v>808.4</v>
      </c>
      <c r="C13" s="50">
        <f>VLOOKUP($A13,'Data shares'!$C:$FB,10)*100</f>
        <v>-1.8800000000000001</v>
      </c>
      <c r="D13" s="49">
        <f>VLOOKUP($A13,'Data shares'!$C:$FB,66)</f>
        <v>10876275</v>
      </c>
      <c r="E13" s="49">
        <f>VLOOKUP($A13,'Data shares'!$C:$FB,67)</f>
        <v>11847600</v>
      </c>
      <c r="F13" s="50">
        <f>VLOOKUP($A13,'Data shares'!$C:$FB,69)*100</f>
        <v>-8.2000000000000011</v>
      </c>
      <c r="G13" s="49">
        <f>VLOOKUP($A13,'Data shares'!$C:$FB,42)</f>
        <v>6262650</v>
      </c>
      <c r="H13" s="49">
        <f>VLOOKUP($A13,'Data shares'!$C:$FB,43)</f>
        <v>8338275</v>
      </c>
      <c r="I13" s="50">
        <f>VLOOKUP($A13,'Data shares'!$C:$FB,45)*100</f>
        <v>-24.89</v>
      </c>
      <c r="J13" s="49">
        <f>VLOOKUP($A13,'Data shares'!$C:$FB,58)</f>
        <v>2695950</v>
      </c>
      <c r="K13" s="49">
        <f>VLOOKUP($A13,'Data shares'!$C:$FB,59)</f>
        <v>2208600</v>
      </c>
      <c r="L13" s="50">
        <f>VLOOKUP($A13,'Data shares'!$C:$FB,61)*100</f>
        <v>22.07</v>
      </c>
      <c r="M13" s="49">
        <f>VLOOKUP($A13,'Data shares'!$C:$FB,62)</f>
        <v>1917675</v>
      </c>
      <c r="N13" s="49">
        <f>VLOOKUP($A13,'Data shares'!$C:$FB,63)</f>
        <v>1300725</v>
      </c>
      <c r="O13" s="140">
        <f>VLOOKUP($A13,'Data shares'!$C:$FB,65)*100</f>
        <v>47.43</v>
      </c>
    </row>
    <row r="14" spans="1:15" x14ac:dyDescent="0.25">
      <c r="A14" s="101" t="str">
        <f>'Data shares'!C9</f>
        <v>ADANIENT</v>
      </c>
      <c r="B14" s="50">
        <f>VLOOKUP($A14,'Data shares'!$C:$FB,7)</f>
        <v>2430.6999999999998</v>
      </c>
      <c r="C14" s="50">
        <f>VLOOKUP($A14,'Data shares'!$C:$FB,10)*100</f>
        <v>-4.03</v>
      </c>
      <c r="D14" s="49">
        <f>VLOOKUP($A14,'Data shares'!$C:$FB,66)</f>
        <v>39693900</v>
      </c>
      <c r="E14" s="49">
        <f>VLOOKUP($A14,'Data shares'!$C:$FB,67)</f>
        <v>17179800</v>
      </c>
      <c r="F14" s="50">
        <f>VLOOKUP($A14,'Data shares'!$C:$FB,69)*100</f>
        <v>131.05000000000001</v>
      </c>
      <c r="G14" s="49">
        <f>VLOOKUP($A14,'Data shares'!$C:$FB,42)</f>
        <v>10292400</v>
      </c>
      <c r="H14" s="49">
        <f>VLOOKUP($A14,'Data shares'!$C:$FB,43)</f>
        <v>9101100</v>
      </c>
      <c r="I14" s="50">
        <f>VLOOKUP($A14,'Data shares'!$C:$FB,45)*100</f>
        <v>13.089999999999998</v>
      </c>
      <c r="J14" s="49">
        <f>VLOOKUP($A14,'Data shares'!$C:$FB,58)</f>
        <v>18281700</v>
      </c>
      <c r="K14" s="49">
        <f>VLOOKUP($A14,'Data shares'!$C:$FB,59)</f>
        <v>5785800</v>
      </c>
      <c r="L14" s="50">
        <f>VLOOKUP($A14,'Data shares'!$C:$FB,61)*100</f>
        <v>215.98000000000002</v>
      </c>
      <c r="M14" s="49">
        <f>VLOOKUP($A14,'Data shares'!$C:$FB,62)</f>
        <v>11119800</v>
      </c>
      <c r="N14" s="49">
        <f>VLOOKUP($A14,'Data shares'!$C:$FB,63)</f>
        <v>2292900</v>
      </c>
      <c r="O14" s="140">
        <f>VLOOKUP($A14,'Data shares'!$C:$FB,65)*100</f>
        <v>384.96999999999997</v>
      </c>
    </row>
    <row r="15" spans="1:15" x14ac:dyDescent="0.25">
      <c r="A15" s="101" t="str">
        <f>'Data shares'!C10</f>
        <v>ADANIGREEN</v>
      </c>
      <c r="B15" s="50">
        <f>VLOOKUP($A15,'Data shares'!$C:$FB,7)</f>
        <v>984.7</v>
      </c>
      <c r="C15" s="50">
        <f>VLOOKUP($A15,'Data shares'!$C:$FB,10)*100</f>
        <v>-2.48</v>
      </c>
      <c r="D15" s="49">
        <f>VLOOKUP($A15,'Data shares'!$C:$FB,66)</f>
        <v>29225400</v>
      </c>
      <c r="E15" s="49">
        <f>VLOOKUP($A15,'Data shares'!$C:$FB,67)</f>
        <v>26680200</v>
      </c>
      <c r="F15" s="50">
        <f>VLOOKUP($A15,'Data shares'!$C:$FB,69)*100</f>
        <v>9.5399999999999991</v>
      </c>
      <c r="G15" s="49">
        <f>VLOOKUP($A15,'Data shares'!$C:$FB,42)</f>
        <v>11617200</v>
      </c>
      <c r="H15" s="49">
        <f>VLOOKUP($A15,'Data shares'!$C:$FB,43)</f>
        <v>9667800</v>
      </c>
      <c r="I15" s="50">
        <f>VLOOKUP($A15,'Data shares'!$C:$FB,45)*100</f>
        <v>20.16</v>
      </c>
      <c r="J15" s="49">
        <f>VLOOKUP($A15,'Data shares'!$C:$FB,58)</f>
        <v>10369200</v>
      </c>
      <c r="K15" s="49">
        <f>VLOOKUP($A15,'Data shares'!$C:$FB,59)</f>
        <v>10919400</v>
      </c>
      <c r="L15" s="50">
        <f>VLOOKUP($A15,'Data shares'!$C:$FB,61)*100</f>
        <v>-5.04</v>
      </c>
      <c r="M15" s="49">
        <f>VLOOKUP($A15,'Data shares'!$C:$FB,62)</f>
        <v>7239000</v>
      </c>
      <c r="N15" s="49">
        <f>VLOOKUP($A15,'Data shares'!$C:$FB,63)</f>
        <v>6093000</v>
      </c>
      <c r="O15" s="140">
        <f>VLOOKUP($A15,'Data shares'!$C:$FB,65)*100</f>
        <v>18.809999999999999</v>
      </c>
    </row>
    <row r="16" spans="1:15" x14ac:dyDescent="0.25">
      <c r="A16" s="101" t="str">
        <f>'Data shares'!C11</f>
        <v>ADANIPORTS</v>
      </c>
      <c r="B16" s="50">
        <f>VLOOKUP($A16,'Data shares'!$C:$FB,7)</f>
        <v>1373.1</v>
      </c>
      <c r="C16" s="50">
        <f>VLOOKUP($A16,'Data shares'!$C:$FB,10)*100</f>
        <v>-1.5</v>
      </c>
      <c r="D16" s="49">
        <f>VLOOKUP($A16,'Data shares'!$C:$FB,66)</f>
        <v>23902950</v>
      </c>
      <c r="E16" s="49">
        <f>VLOOKUP($A16,'Data shares'!$C:$FB,67)</f>
        <v>22559650</v>
      </c>
      <c r="F16" s="50">
        <f>VLOOKUP($A16,'Data shares'!$C:$FB,69)*100</f>
        <v>5.9499999999999993</v>
      </c>
      <c r="G16" s="49">
        <f>VLOOKUP($A16,'Data shares'!$C:$FB,42)</f>
        <v>9025475</v>
      </c>
      <c r="H16" s="49">
        <f>VLOOKUP($A16,'Data shares'!$C:$FB,43)</f>
        <v>12667300</v>
      </c>
      <c r="I16" s="50">
        <f>VLOOKUP($A16,'Data shares'!$C:$FB,45)*100</f>
        <v>-28.749999999999996</v>
      </c>
      <c r="J16" s="49">
        <f>VLOOKUP($A16,'Data shares'!$C:$FB,58)</f>
        <v>7984750</v>
      </c>
      <c r="K16" s="49">
        <f>VLOOKUP($A16,'Data shares'!$C:$FB,59)</f>
        <v>6247675</v>
      </c>
      <c r="L16" s="50">
        <f>VLOOKUP($A16,'Data shares'!$C:$FB,61)*100</f>
        <v>27.800000000000004</v>
      </c>
      <c r="M16" s="49">
        <f>VLOOKUP($A16,'Data shares'!$C:$FB,62)</f>
        <v>6892725</v>
      </c>
      <c r="N16" s="49">
        <f>VLOOKUP($A16,'Data shares'!$C:$FB,63)</f>
        <v>3644675</v>
      </c>
      <c r="O16" s="140">
        <f>VLOOKUP($A16,'Data shares'!$C:$FB,65)*100</f>
        <v>89.12</v>
      </c>
    </row>
    <row r="17" spans="1:15" x14ac:dyDescent="0.25">
      <c r="A17" s="101" t="str">
        <f>'Data shares'!C12</f>
        <v>ALKEM</v>
      </c>
      <c r="B17" s="50">
        <f>VLOOKUP($A17,'Data shares'!$C:$FB,7)</f>
        <v>5031.1000000000004</v>
      </c>
      <c r="C17" s="50">
        <f>VLOOKUP($A17,'Data shares'!$C:$FB,10)*100</f>
        <v>-1.34</v>
      </c>
      <c r="D17" s="49">
        <f>VLOOKUP($A17,'Data shares'!$C:$FB,66)</f>
        <v>1039250</v>
      </c>
      <c r="E17" s="49">
        <f>VLOOKUP($A17,'Data shares'!$C:$FB,67)</f>
        <v>1466500</v>
      </c>
      <c r="F17" s="50">
        <f>VLOOKUP($A17,'Data shares'!$C:$FB,69)*100</f>
        <v>-29.13</v>
      </c>
      <c r="G17" s="49">
        <f>VLOOKUP($A17,'Data shares'!$C:$FB,42)</f>
        <v>553625</v>
      </c>
      <c r="H17" s="49">
        <f>VLOOKUP($A17,'Data shares'!$C:$FB,43)</f>
        <v>952875</v>
      </c>
      <c r="I17" s="50">
        <f>VLOOKUP($A17,'Data shares'!$C:$FB,45)*100</f>
        <v>-41.9</v>
      </c>
      <c r="J17" s="49">
        <f>VLOOKUP($A17,'Data shares'!$C:$FB,58)</f>
        <v>307500</v>
      </c>
      <c r="K17" s="49">
        <f>VLOOKUP($A17,'Data shares'!$C:$FB,59)</f>
        <v>328000</v>
      </c>
      <c r="L17" s="50">
        <f>VLOOKUP($A17,'Data shares'!$C:$FB,61)*100</f>
        <v>-6.25</v>
      </c>
      <c r="M17" s="49">
        <f>VLOOKUP($A17,'Data shares'!$C:$FB,62)</f>
        <v>178125</v>
      </c>
      <c r="N17" s="49">
        <f>VLOOKUP($A17,'Data shares'!$C:$FB,63)</f>
        <v>185625</v>
      </c>
      <c r="O17" s="140">
        <f>VLOOKUP($A17,'Data shares'!$C:$FB,65)*100</f>
        <v>-4.04</v>
      </c>
    </row>
    <row r="18" spans="1:15" x14ac:dyDescent="0.25">
      <c r="A18" s="101" t="str">
        <f>'Data shares'!C13</f>
        <v>AMBER</v>
      </c>
      <c r="B18" s="50">
        <f>VLOOKUP($A18,'Data shares'!$C:$FB,7)</f>
        <v>7963.5</v>
      </c>
      <c r="C18" s="50">
        <f>VLOOKUP($A18,'Data shares'!$C:$FB,10)*100</f>
        <v>-0.96</v>
      </c>
      <c r="D18" s="49">
        <f>VLOOKUP($A18,'Data shares'!$C:$FB,66)</f>
        <v>2100100</v>
      </c>
      <c r="E18" s="49">
        <f>VLOOKUP($A18,'Data shares'!$C:$FB,67)</f>
        <v>6424200</v>
      </c>
      <c r="F18" s="50">
        <f>VLOOKUP($A18,'Data shares'!$C:$FB,69)*100</f>
        <v>-67.31</v>
      </c>
      <c r="G18" s="49">
        <f>VLOOKUP($A18,'Data shares'!$C:$FB,42)</f>
        <v>505800</v>
      </c>
      <c r="H18" s="49">
        <f>VLOOKUP($A18,'Data shares'!$C:$FB,43)</f>
        <v>758600</v>
      </c>
      <c r="I18" s="50">
        <f>VLOOKUP($A18,'Data shares'!$C:$FB,45)*100</f>
        <v>-33.32</v>
      </c>
      <c r="J18" s="49">
        <f>VLOOKUP($A18,'Data shares'!$C:$FB,58)</f>
        <v>976800</v>
      </c>
      <c r="K18" s="49">
        <f>VLOOKUP($A18,'Data shares'!$C:$FB,59)</f>
        <v>4321500</v>
      </c>
      <c r="L18" s="50">
        <f>VLOOKUP($A18,'Data shares'!$C:$FB,61)*100</f>
        <v>-77.400000000000006</v>
      </c>
      <c r="M18" s="49">
        <f>VLOOKUP($A18,'Data shares'!$C:$FB,62)</f>
        <v>617500</v>
      </c>
      <c r="N18" s="49">
        <f>VLOOKUP($A18,'Data shares'!$C:$FB,63)</f>
        <v>1344100</v>
      </c>
      <c r="O18" s="140">
        <f>VLOOKUP($A18,'Data shares'!$C:$FB,65)*100</f>
        <v>-54.059999999999995</v>
      </c>
    </row>
    <row r="19" spans="1:15" x14ac:dyDescent="0.25">
      <c r="A19" s="101" t="str">
        <f>'Data shares'!C14</f>
        <v>AMBUJACEM</v>
      </c>
      <c r="B19" s="50">
        <f>VLOOKUP($A19,'Data shares'!$C:$FB,7)</f>
        <v>592.70000000000005</v>
      </c>
      <c r="C19" s="50">
        <f>VLOOKUP($A19,'Data shares'!$C:$FB,10)*100</f>
        <v>-4.07</v>
      </c>
      <c r="D19" s="49">
        <f>VLOOKUP($A19,'Data shares'!$C:$FB,66)</f>
        <v>83608350</v>
      </c>
      <c r="E19" s="49">
        <f>VLOOKUP($A19,'Data shares'!$C:$FB,67)</f>
        <v>31023300</v>
      </c>
      <c r="F19" s="50">
        <f>VLOOKUP($A19,'Data shares'!$C:$FB,69)*100</f>
        <v>169.5</v>
      </c>
      <c r="G19" s="49">
        <f>VLOOKUP($A19,'Data shares'!$C:$FB,42)</f>
        <v>27088950</v>
      </c>
      <c r="H19" s="49">
        <f>VLOOKUP($A19,'Data shares'!$C:$FB,43)</f>
        <v>18797100</v>
      </c>
      <c r="I19" s="50">
        <f>VLOOKUP($A19,'Data shares'!$C:$FB,45)*100</f>
        <v>44.11</v>
      </c>
      <c r="J19" s="49">
        <f>VLOOKUP($A19,'Data shares'!$C:$FB,58)</f>
        <v>40169850</v>
      </c>
      <c r="K19" s="49">
        <f>VLOOKUP($A19,'Data shares'!$C:$FB,59)</f>
        <v>8585850</v>
      </c>
      <c r="L19" s="50">
        <f>VLOOKUP($A19,'Data shares'!$C:$FB,61)*100</f>
        <v>367.86</v>
      </c>
      <c r="M19" s="49">
        <f>VLOOKUP($A19,'Data shares'!$C:$FB,62)</f>
        <v>16349550</v>
      </c>
      <c r="N19" s="49">
        <f>VLOOKUP($A19,'Data shares'!$C:$FB,63)</f>
        <v>3640350</v>
      </c>
      <c r="O19" s="140">
        <f>VLOOKUP($A19,'Data shares'!$C:$FB,65)*100</f>
        <v>349.12</v>
      </c>
    </row>
    <row r="20" spans="1:15" x14ac:dyDescent="0.25">
      <c r="A20" s="101" t="str">
        <f>'Data shares'!C15</f>
        <v>ANGELONE</v>
      </c>
      <c r="B20" s="50">
        <f>VLOOKUP($A20,'Data shares'!$C:$FB,7)</f>
        <v>2600.9</v>
      </c>
      <c r="C20" s="50">
        <f>VLOOKUP($A20,'Data shares'!$C:$FB,10)*100</f>
        <v>-1.53</v>
      </c>
      <c r="D20" s="49">
        <f>VLOOKUP($A20,'Data shares'!$C:$FB,66)</f>
        <v>5107250</v>
      </c>
      <c r="E20" s="49">
        <f>VLOOKUP($A20,'Data shares'!$C:$FB,67)</f>
        <v>6639250</v>
      </c>
      <c r="F20" s="50">
        <f>VLOOKUP($A20,'Data shares'!$C:$FB,69)*100</f>
        <v>-23.07</v>
      </c>
      <c r="G20" s="49">
        <f>VLOOKUP($A20,'Data shares'!$C:$FB,42)</f>
        <v>1604000</v>
      </c>
      <c r="H20" s="49">
        <f>VLOOKUP($A20,'Data shares'!$C:$FB,43)</f>
        <v>1907250</v>
      </c>
      <c r="I20" s="50">
        <f>VLOOKUP($A20,'Data shares'!$C:$FB,45)*100</f>
        <v>-15.9</v>
      </c>
      <c r="J20" s="49">
        <f>VLOOKUP($A20,'Data shares'!$C:$FB,58)</f>
        <v>2137250</v>
      </c>
      <c r="K20" s="49">
        <f>VLOOKUP($A20,'Data shares'!$C:$FB,59)</f>
        <v>3022250</v>
      </c>
      <c r="L20" s="50">
        <f>VLOOKUP($A20,'Data shares'!$C:$FB,61)*100</f>
        <v>-29.28</v>
      </c>
      <c r="M20" s="49">
        <f>VLOOKUP($A20,'Data shares'!$C:$FB,62)</f>
        <v>1366000</v>
      </c>
      <c r="N20" s="49">
        <f>VLOOKUP($A20,'Data shares'!$C:$FB,63)</f>
        <v>1709750</v>
      </c>
      <c r="O20" s="140">
        <f>VLOOKUP($A20,'Data shares'!$C:$FB,65)*100</f>
        <v>-20.11</v>
      </c>
    </row>
    <row r="21" spans="1:15" x14ac:dyDescent="0.25">
      <c r="A21" s="101" t="str">
        <f>'Data shares'!C16</f>
        <v>APLAPOLLO</v>
      </c>
      <c r="B21" s="50">
        <f>VLOOKUP($A21,'Data shares'!$C:$FB,7)</f>
        <v>1601.2</v>
      </c>
      <c r="C21" s="50">
        <f>VLOOKUP($A21,'Data shares'!$C:$FB,10)*100</f>
        <v>2.23</v>
      </c>
      <c r="D21" s="49">
        <f>VLOOKUP($A21,'Data shares'!$C:$FB,66)</f>
        <v>9677850</v>
      </c>
      <c r="E21" s="49">
        <f>VLOOKUP($A21,'Data shares'!$C:$FB,67)</f>
        <v>21934850</v>
      </c>
      <c r="F21" s="50">
        <f>VLOOKUP($A21,'Data shares'!$C:$FB,69)*100</f>
        <v>-55.879999999999995</v>
      </c>
      <c r="G21" s="49">
        <f>VLOOKUP($A21,'Data shares'!$C:$FB,42)</f>
        <v>3336900</v>
      </c>
      <c r="H21" s="49">
        <f>VLOOKUP($A21,'Data shares'!$C:$FB,43)</f>
        <v>6347950</v>
      </c>
      <c r="I21" s="50">
        <f>VLOOKUP($A21,'Data shares'!$C:$FB,45)*100</f>
        <v>-47.43</v>
      </c>
      <c r="J21" s="49">
        <f>VLOOKUP($A21,'Data shares'!$C:$FB,58)</f>
        <v>4973500</v>
      </c>
      <c r="K21" s="49">
        <f>VLOOKUP($A21,'Data shares'!$C:$FB,59)</f>
        <v>12246150</v>
      </c>
      <c r="L21" s="50">
        <f>VLOOKUP($A21,'Data shares'!$C:$FB,61)*100</f>
        <v>-59.39</v>
      </c>
      <c r="M21" s="49">
        <f>VLOOKUP($A21,'Data shares'!$C:$FB,62)</f>
        <v>1367450</v>
      </c>
      <c r="N21" s="49">
        <f>VLOOKUP($A21,'Data shares'!$C:$FB,63)</f>
        <v>3340750</v>
      </c>
      <c r="O21" s="140">
        <f>VLOOKUP($A21,'Data shares'!$C:$FB,65)*100</f>
        <v>-59.07</v>
      </c>
    </row>
    <row r="22" spans="1:15" x14ac:dyDescent="0.25">
      <c r="A22" s="101" t="str">
        <f>'Data shares'!C17</f>
        <v>APOLLOHOSP</v>
      </c>
      <c r="B22" s="50">
        <f>VLOOKUP($A22,'Data shares'!$C:$FB,7)</f>
        <v>7498</v>
      </c>
      <c r="C22" s="50">
        <f>VLOOKUP($A22,'Data shares'!$C:$FB,10)*100</f>
        <v>0.64</v>
      </c>
      <c r="D22" s="49">
        <f>VLOOKUP($A22,'Data shares'!$C:$FB,66)</f>
        <v>2873875</v>
      </c>
      <c r="E22" s="49">
        <f>VLOOKUP($A22,'Data shares'!$C:$FB,67)</f>
        <v>3228500</v>
      </c>
      <c r="F22" s="50">
        <f>VLOOKUP($A22,'Data shares'!$C:$FB,69)*100</f>
        <v>-10.979999999999999</v>
      </c>
      <c r="G22" s="49">
        <f>VLOOKUP($A22,'Data shares'!$C:$FB,42)</f>
        <v>1136375</v>
      </c>
      <c r="H22" s="49">
        <f>VLOOKUP($A22,'Data shares'!$C:$FB,43)</f>
        <v>1329000</v>
      </c>
      <c r="I22" s="50">
        <f>VLOOKUP($A22,'Data shares'!$C:$FB,45)*100</f>
        <v>-14.49</v>
      </c>
      <c r="J22" s="49">
        <f>VLOOKUP($A22,'Data shares'!$C:$FB,58)</f>
        <v>1271375</v>
      </c>
      <c r="K22" s="49">
        <f>VLOOKUP($A22,'Data shares'!$C:$FB,59)</f>
        <v>1267125</v>
      </c>
      <c r="L22" s="50">
        <f>VLOOKUP($A22,'Data shares'!$C:$FB,61)*100</f>
        <v>0.33999999999999997</v>
      </c>
      <c r="M22" s="49">
        <f>VLOOKUP($A22,'Data shares'!$C:$FB,62)</f>
        <v>466125</v>
      </c>
      <c r="N22" s="49">
        <f>VLOOKUP($A22,'Data shares'!$C:$FB,63)</f>
        <v>632375</v>
      </c>
      <c r="O22" s="140">
        <f>VLOOKUP($A22,'Data shares'!$C:$FB,65)*100</f>
        <v>-26.290000000000003</v>
      </c>
    </row>
    <row r="23" spans="1:15" x14ac:dyDescent="0.25">
      <c r="A23" s="101" t="str">
        <f>'Data shares'!C18</f>
        <v>ASHOKLEY</v>
      </c>
      <c r="B23" s="50">
        <f>VLOOKUP($A23,'Data shares'!$C:$FB,7)</f>
        <v>121.05</v>
      </c>
      <c r="C23" s="50">
        <f>VLOOKUP($A23,'Data shares'!$C:$FB,10)*100</f>
        <v>-0.70000000000000007</v>
      </c>
      <c r="D23" s="49">
        <f>VLOOKUP($A23,'Data shares'!$C:$FB,66)</f>
        <v>89855000</v>
      </c>
      <c r="E23" s="49">
        <f>VLOOKUP($A23,'Data shares'!$C:$FB,67)</f>
        <v>82985000</v>
      </c>
      <c r="F23" s="50">
        <f>VLOOKUP($A23,'Data shares'!$C:$FB,69)*100</f>
        <v>8.2799999999999994</v>
      </c>
      <c r="G23" s="49">
        <f>VLOOKUP($A23,'Data shares'!$C:$FB,42)</f>
        <v>47915000</v>
      </c>
      <c r="H23" s="49">
        <f>VLOOKUP($A23,'Data shares'!$C:$FB,43)</f>
        <v>51135000</v>
      </c>
      <c r="I23" s="50">
        <f>VLOOKUP($A23,'Data shares'!$C:$FB,45)*100</f>
        <v>-6.3</v>
      </c>
      <c r="J23" s="49">
        <f>VLOOKUP($A23,'Data shares'!$C:$FB,58)</f>
        <v>21050000</v>
      </c>
      <c r="K23" s="49">
        <f>VLOOKUP($A23,'Data shares'!$C:$FB,59)</f>
        <v>18220000</v>
      </c>
      <c r="L23" s="50">
        <f>VLOOKUP($A23,'Data shares'!$C:$FB,61)*100</f>
        <v>15.53</v>
      </c>
      <c r="M23" s="49">
        <f>VLOOKUP($A23,'Data shares'!$C:$FB,62)</f>
        <v>20890000</v>
      </c>
      <c r="N23" s="49">
        <f>VLOOKUP($A23,'Data shares'!$C:$FB,63)</f>
        <v>13630000</v>
      </c>
      <c r="O23" s="140">
        <f>VLOOKUP($A23,'Data shares'!$C:$FB,65)*100</f>
        <v>53.26</v>
      </c>
    </row>
    <row r="24" spans="1:15" x14ac:dyDescent="0.25">
      <c r="A24" s="101" t="str">
        <f>'Data shares'!C19</f>
        <v>ASIANPAINT</v>
      </c>
      <c r="B24" s="50">
        <f>VLOOKUP($A24,'Data shares'!$C:$FB,7)</f>
        <v>2396.1</v>
      </c>
      <c r="C24" s="50">
        <f>VLOOKUP($A24,'Data shares'!$C:$FB,10)*100</f>
        <v>-0.82000000000000006</v>
      </c>
      <c r="D24" s="49">
        <f>VLOOKUP($A24,'Data shares'!$C:$FB,66)</f>
        <v>14867250</v>
      </c>
      <c r="E24" s="49">
        <f>VLOOKUP($A24,'Data shares'!$C:$FB,67)</f>
        <v>45414250</v>
      </c>
      <c r="F24" s="50">
        <f>VLOOKUP($A24,'Data shares'!$C:$FB,69)*100</f>
        <v>-67.259999999999991</v>
      </c>
      <c r="G24" s="49">
        <f>VLOOKUP($A24,'Data shares'!$C:$FB,42)</f>
        <v>4339250</v>
      </c>
      <c r="H24" s="49">
        <f>VLOOKUP($A24,'Data shares'!$C:$FB,43)</f>
        <v>10270250</v>
      </c>
      <c r="I24" s="50">
        <f>VLOOKUP($A24,'Data shares'!$C:$FB,45)*100</f>
        <v>-57.75</v>
      </c>
      <c r="J24" s="49">
        <f>VLOOKUP($A24,'Data shares'!$C:$FB,58)</f>
        <v>6012750</v>
      </c>
      <c r="K24" s="49">
        <f>VLOOKUP($A24,'Data shares'!$C:$FB,59)</f>
        <v>23591000</v>
      </c>
      <c r="L24" s="50">
        <f>VLOOKUP($A24,'Data shares'!$C:$FB,61)*100</f>
        <v>-74.510000000000005</v>
      </c>
      <c r="M24" s="49">
        <f>VLOOKUP($A24,'Data shares'!$C:$FB,62)</f>
        <v>4515250</v>
      </c>
      <c r="N24" s="49">
        <f>VLOOKUP($A24,'Data shares'!$C:$FB,63)</f>
        <v>11553000</v>
      </c>
      <c r="O24" s="140">
        <f>VLOOKUP($A24,'Data shares'!$C:$FB,65)*100</f>
        <v>-60.919999999999995</v>
      </c>
    </row>
    <row r="25" spans="1:15" x14ac:dyDescent="0.25">
      <c r="A25" s="101" t="str">
        <f>'Data shares'!C20</f>
        <v>ASTRAL</v>
      </c>
      <c r="B25" s="50">
        <f>VLOOKUP($A25,'Data shares'!$C:$FB,7)</f>
        <v>1401.2</v>
      </c>
      <c r="C25" s="50">
        <f>VLOOKUP($A25,'Data shares'!$C:$FB,10)*100</f>
        <v>-2.06</v>
      </c>
      <c r="D25" s="49">
        <f>VLOOKUP($A25,'Data shares'!$C:$FB,66)</f>
        <v>4957200</v>
      </c>
      <c r="E25" s="49">
        <f>VLOOKUP($A25,'Data shares'!$C:$FB,67)</f>
        <v>5992500</v>
      </c>
      <c r="F25" s="50">
        <f>VLOOKUP($A25,'Data shares'!$C:$FB,69)*100</f>
        <v>-17.28</v>
      </c>
      <c r="G25" s="49">
        <f>VLOOKUP($A25,'Data shares'!$C:$FB,42)</f>
        <v>2963100</v>
      </c>
      <c r="H25" s="49">
        <f>VLOOKUP($A25,'Data shares'!$C:$FB,43)</f>
        <v>3894275</v>
      </c>
      <c r="I25" s="50">
        <f>VLOOKUP($A25,'Data shares'!$C:$FB,45)*100</f>
        <v>-23.91</v>
      </c>
      <c r="J25" s="49">
        <f>VLOOKUP($A25,'Data shares'!$C:$FB,58)</f>
        <v>1235050</v>
      </c>
      <c r="K25" s="49">
        <f>VLOOKUP($A25,'Data shares'!$C:$FB,59)</f>
        <v>1265225</v>
      </c>
      <c r="L25" s="50">
        <f>VLOOKUP($A25,'Data shares'!$C:$FB,61)*100</f>
        <v>-2.3800000000000003</v>
      </c>
      <c r="M25" s="49">
        <f>VLOOKUP($A25,'Data shares'!$C:$FB,62)</f>
        <v>759050</v>
      </c>
      <c r="N25" s="49">
        <f>VLOOKUP($A25,'Data shares'!$C:$FB,63)</f>
        <v>833000</v>
      </c>
      <c r="O25" s="140">
        <f>VLOOKUP($A25,'Data shares'!$C:$FB,65)*100</f>
        <v>-8.8800000000000008</v>
      </c>
    </row>
    <row r="26" spans="1:15" x14ac:dyDescent="0.25">
      <c r="A26" s="101" t="str">
        <f>'Data shares'!C21</f>
        <v>ATGL</v>
      </c>
      <c r="B26" s="50">
        <f>VLOOKUP($A26,'Data shares'!$C:$FB,7)</f>
        <v>604.1</v>
      </c>
      <c r="C26" s="50">
        <f>VLOOKUP($A26,'Data shares'!$C:$FB,10)*100</f>
        <v>-3.37</v>
      </c>
      <c r="D26" s="49">
        <f>VLOOKUP($A26,'Data shares'!$C:$FB,66)</f>
        <v>6101375</v>
      </c>
      <c r="E26" s="49">
        <f>VLOOKUP($A26,'Data shares'!$C:$FB,67)</f>
        <v>6082125</v>
      </c>
      <c r="F26" s="50">
        <f>VLOOKUP($A26,'Data shares'!$C:$FB,69)*100</f>
        <v>0.32</v>
      </c>
      <c r="G26" s="49">
        <f>VLOOKUP($A26,'Data shares'!$C:$FB,42)</f>
        <v>3696000</v>
      </c>
      <c r="H26" s="49">
        <f>VLOOKUP($A26,'Data shares'!$C:$FB,43)</f>
        <v>3694250</v>
      </c>
      <c r="I26" s="50">
        <f>VLOOKUP($A26,'Data shares'!$C:$FB,45)*100</f>
        <v>0.05</v>
      </c>
      <c r="J26" s="49">
        <f>VLOOKUP($A26,'Data shares'!$C:$FB,58)</f>
        <v>1263500</v>
      </c>
      <c r="K26" s="49">
        <f>VLOOKUP($A26,'Data shares'!$C:$FB,59)</f>
        <v>1808625</v>
      </c>
      <c r="L26" s="50">
        <f>VLOOKUP($A26,'Data shares'!$C:$FB,61)*100</f>
        <v>-30.14</v>
      </c>
      <c r="M26" s="49">
        <f>VLOOKUP($A26,'Data shares'!$C:$FB,62)</f>
        <v>1141875</v>
      </c>
      <c r="N26" s="49">
        <f>VLOOKUP($A26,'Data shares'!$C:$FB,63)</f>
        <v>579250</v>
      </c>
      <c r="O26" s="140">
        <f>VLOOKUP($A26,'Data shares'!$C:$FB,65)*100</f>
        <v>97.13000000000001</v>
      </c>
    </row>
    <row r="27" spans="1:15" x14ac:dyDescent="0.25">
      <c r="A27" s="101" t="str">
        <f>'Data shares'!C22</f>
        <v>AUBANK</v>
      </c>
      <c r="B27" s="50">
        <f>VLOOKUP($A27,'Data shares'!$C:$FB,7)</f>
        <v>741.5</v>
      </c>
      <c r="C27" s="50">
        <f>VLOOKUP($A27,'Data shares'!$C:$FB,10)*100</f>
        <v>-0.64</v>
      </c>
      <c r="D27" s="49">
        <f>VLOOKUP($A27,'Data shares'!$C:$FB,66)</f>
        <v>28798000</v>
      </c>
      <c r="E27" s="49">
        <f>VLOOKUP($A27,'Data shares'!$C:$FB,67)</f>
        <v>41067000</v>
      </c>
      <c r="F27" s="50">
        <f>VLOOKUP($A27,'Data shares'!$C:$FB,69)*100</f>
        <v>-29.880000000000003</v>
      </c>
      <c r="G27" s="49">
        <f>VLOOKUP($A27,'Data shares'!$C:$FB,42)</f>
        <v>14846000</v>
      </c>
      <c r="H27" s="49">
        <f>VLOOKUP($A27,'Data shares'!$C:$FB,43)</f>
        <v>17236000</v>
      </c>
      <c r="I27" s="50">
        <f>VLOOKUP($A27,'Data shares'!$C:$FB,45)*100</f>
        <v>-13.87</v>
      </c>
      <c r="J27" s="49">
        <f>VLOOKUP($A27,'Data shares'!$C:$FB,58)</f>
        <v>9320000</v>
      </c>
      <c r="K27" s="49">
        <f>VLOOKUP($A27,'Data shares'!$C:$FB,59)</f>
        <v>16067000</v>
      </c>
      <c r="L27" s="50">
        <f>VLOOKUP($A27,'Data shares'!$C:$FB,61)*100</f>
        <v>-41.99</v>
      </c>
      <c r="M27" s="49">
        <f>VLOOKUP($A27,'Data shares'!$C:$FB,62)</f>
        <v>4632000</v>
      </c>
      <c r="N27" s="49">
        <f>VLOOKUP($A27,'Data shares'!$C:$FB,63)</f>
        <v>7764000</v>
      </c>
      <c r="O27" s="140">
        <f>VLOOKUP($A27,'Data shares'!$C:$FB,65)*100</f>
        <v>-40.339999999999996</v>
      </c>
    </row>
    <row r="28" spans="1:15" x14ac:dyDescent="0.25">
      <c r="A28" s="101" t="str">
        <f>'Data shares'!C23</f>
        <v>AUROPHARMA</v>
      </c>
      <c r="B28" s="50">
        <f>VLOOKUP($A28,'Data shares'!$C:$FB,7)</f>
        <v>1139.8</v>
      </c>
      <c r="C28" s="50">
        <f>VLOOKUP($A28,'Data shares'!$C:$FB,10)*100</f>
        <v>-1.5699999999999998</v>
      </c>
      <c r="D28" s="49">
        <f>VLOOKUP($A28,'Data shares'!$C:$FB,66)</f>
        <v>21924100</v>
      </c>
      <c r="E28" s="49">
        <f>VLOOKUP($A28,'Data shares'!$C:$FB,67)</f>
        <v>11286550</v>
      </c>
      <c r="F28" s="50">
        <f>VLOOKUP($A28,'Data shares'!$C:$FB,69)*100</f>
        <v>94.25</v>
      </c>
      <c r="G28" s="49">
        <f>VLOOKUP($A28,'Data shares'!$C:$FB,42)</f>
        <v>10082050</v>
      </c>
      <c r="H28" s="49">
        <f>VLOOKUP($A28,'Data shares'!$C:$FB,43)</f>
        <v>6671500</v>
      </c>
      <c r="I28" s="50">
        <f>VLOOKUP($A28,'Data shares'!$C:$FB,45)*100</f>
        <v>51.12</v>
      </c>
      <c r="J28" s="49">
        <f>VLOOKUP($A28,'Data shares'!$C:$FB,58)</f>
        <v>7521800</v>
      </c>
      <c r="K28" s="49">
        <f>VLOOKUP($A28,'Data shares'!$C:$FB,59)</f>
        <v>2498650</v>
      </c>
      <c r="L28" s="50">
        <f>VLOOKUP($A28,'Data shares'!$C:$FB,61)*100</f>
        <v>201.03</v>
      </c>
      <c r="M28" s="49">
        <f>VLOOKUP($A28,'Data shares'!$C:$FB,62)</f>
        <v>4320250</v>
      </c>
      <c r="N28" s="49">
        <f>VLOOKUP($A28,'Data shares'!$C:$FB,63)</f>
        <v>2116400</v>
      </c>
      <c r="O28" s="140">
        <f>VLOOKUP($A28,'Data shares'!$C:$FB,65)*100</f>
        <v>104.13</v>
      </c>
    </row>
    <row r="29" spans="1:15" x14ac:dyDescent="0.25">
      <c r="A29" s="101" t="str">
        <f>'Data shares'!C24</f>
        <v>AXISBANK</v>
      </c>
      <c r="B29" s="50">
        <f>VLOOKUP($A29,'Data shares'!$C:$FB,7)</f>
        <v>1068.4000000000001</v>
      </c>
      <c r="C29" s="50">
        <f>VLOOKUP($A29,'Data shares'!$C:$FB,10)*100</f>
        <v>-0.45999999999999996</v>
      </c>
      <c r="D29" s="49">
        <f>VLOOKUP($A29,'Data shares'!$C:$FB,66)</f>
        <v>67578750</v>
      </c>
      <c r="E29" s="49">
        <f>VLOOKUP($A29,'Data shares'!$C:$FB,67)</f>
        <v>88174375</v>
      </c>
      <c r="F29" s="50">
        <f>VLOOKUP($A29,'Data shares'!$C:$FB,69)*100</f>
        <v>-23.36</v>
      </c>
      <c r="G29" s="49">
        <f>VLOOKUP($A29,'Data shares'!$C:$FB,42)</f>
        <v>29401250</v>
      </c>
      <c r="H29" s="49">
        <f>VLOOKUP($A29,'Data shares'!$C:$FB,43)</f>
        <v>38010000</v>
      </c>
      <c r="I29" s="50">
        <f>VLOOKUP($A29,'Data shares'!$C:$FB,45)*100</f>
        <v>-22.650000000000002</v>
      </c>
      <c r="J29" s="49">
        <f>VLOOKUP($A29,'Data shares'!$C:$FB,58)</f>
        <v>23364375</v>
      </c>
      <c r="K29" s="49">
        <f>VLOOKUP($A29,'Data shares'!$C:$FB,59)</f>
        <v>33304375</v>
      </c>
      <c r="L29" s="50">
        <f>VLOOKUP($A29,'Data shares'!$C:$FB,61)*100</f>
        <v>-29.849999999999998</v>
      </c>
      <c r="M29" s="49">
        <f>VLOOKUP($A29,'Data shares'!$C:$FB,62)</f>
        <v>14813125</v>
      </c>
      <c r="N29" s="49">
        <f>VLOOKUP($A29,'Data shares'!$C:$FB,63)</f>
        <v>16860000</v>
      </c>
      <c r="O29" s="140">
        <f>VLOOKUP($A29,'Data shares'!$C:$FB,65)*100</f>
        <v>-12.139999999999999</v>
      </c>
    </row>
    <row r="30" spans="1:15" x14ac:dyDescent="0.25">
      <c r="A30" s="101" t="str">
        <f>'Data shares'!C25</f>
        <v>BAJAJ-AUTO</v>
      </c>
      <c r="B30" s="50">
        <f>VLOOKUP($A30,'Data shares'!$C:$FB,7)</f>
        <v>8008</v>
      </c>
      <c r="C30" s="50">
        <f>VLOOKUP($A30,'Data shares'!$C:$FB,10)*100</f>
        <v>-0.44</v>
      </c>
      <c r="D30" s="49">
        <f>VLOOKUP($A30,'Data shares'!$C:$FB,66)</f>
        <v>4382250</v>
      </c>
      <c r="E30" s="49">
        <f>VLOOKUP($A30,'Data shares'!$C:$FB,67)</f>
        <v>4138275</v>
      </c>
      <c r="F30" s="50">
        <f>VLOOKUP($A30,'Data shares'!$C:$FB,69)*100</f>
        <v>5.8999999999999995</v>
      </c>
      <c r="G30" s="49">
        <f>VLOOKUP($A30,'Data shares'!$C:$FB,42)</f>
        <v>1395450</v>
      </c>
      <c r="H30" s="49">
        <f>VLOOKUP($A30,'Data shares'!$C:$FB,43)</f>
        <v>1778100</v>
      </c>
      <c r="I30" s="50">
        <f>VLOOKUP($A30,'Data shares'!$C:$FB,45)*100</f>
        <v>-21.52</v>
      </c>
      <c r="J30" s="49">
        <f>VLOOKUP($A30,'Data shares'!$C:$FB,58)</f>
        <v>1663500</v>
      </c>
      <c r="K30" s="49">
        <f>VLOOKUP($A30,'Data shares'!$C:$FB,59)</f>
        <v>1523175</v>
      </c>
      <c r="L30" s="50">
        <f>VLOOKUP($A30,'Data shares'!$C:$FB,61)*100</f>
        <v>9.2100000000000009</v>
      </c>
      <c r="M30" s="49">
        <f>VLOOKUP($A30,'Data shares'!$C:$FB,62)</f>
        <v>1323300</v>
      </c>
      <c r="N30" s="49">
        <f>VLOOKUP($A30,'Data shares'!$C:$FB,63)</f>
        <v>837000</v>
      </c>
      <c r="O30" s="140">
        <f>VLOOKUP($A30,'Data shares'!$C:$FB,65)*100</f>
        <v>58.099999999999994</v>
      </c>
    </row>
    <row r="31" spans="1:15" x14ac:dyDescent="0.25">
      <c r="A31" s="101" t="str">
        <f>'Data shares'!C26</f>
        <v>BAJAJFINSV</v>
      </c>
      <c r="B31" s="50">
        <f>VLOOKUP($A31,'Data shares'!$C:$FB,7)</f>
        <v>1948</v>
      </c>
      <c r="C31" s="50">
        <f>VLOOKUP($A31,'Data shares'!$C:$FB,10)*100</f>
        <v>-0.6</v>
      </c>
      <c r="D31" s="49">
        <f>VLOOKUP($A31,'Data shares'!$C:$FB,66)</f>
        <v>19585000</v>
      </c>
      <c r="E31" s="49">
        <f>VLOOKUP($A31,'Data shares'!$C:$FB,67)</f>
        <v>22249500</v>
      </c>
      <c r="F31" s="50">
        <f>VLOOKUP($A31,'Data shares'!$C:$FB,69)*100</f>
        <v>-11.98</v>
      </c>
      <c r="G31" s="49">
        <f>VLOOKUP($A31,'Data shares'!$C:$FB,42)</f>
        <v>8645000</v>
      </c>
      <c r="H31" s="49">
        <f>VLOOKUP($A31,'Data shares'!$C:$FB,43)</f>
        <v>8801500</v>
      </c>
      <c r="I31" s="50">
        <f>VLOOKUP($A31,'Data shares'!$C:$FB,45)*100</f>
        <v>-1.78</v>
      </c>
      <c r="J31" s="49">
        <f>VLOOKUP($A31,'Data shares'!$C:$FB,58)</f>
        <v>7248500</v>
      </c>
      <c r="K31" s="49">
        <f>VLOOKUP($A31,'Data shares'!$C:$FB,59)</f>
        <v>8763500</v>
      </c>
      <c r="L31" s="50">
        <f>VLOOKUP($A31,'Data shares'!$C:$FB,61)*100</f>
        <v>-17.29</v>
      </c>
      <c r="M31" s="49">
        <f>VLOOKUP($A31,'Data shares'!$C:$FB,62)</f>
        <v>3691500</v>
      </c>
      <c r="N31" s="49">
        <f>VLOOKUP($A31,'Data shares'!$C:$FB,63)</f>
        <v>4684500</v>
      </c>
      <c r="O31" s="140">
        <f>VLOOKUP($A31,'Data shares'!$C:$FB,65)*100</f>
        <v>-21.2</v>
      </c>
    </row>
    <row r="32" spans="1:15" x14ac:dyDescent="0.25">
      <c r="A32" s="101" t="str">
        <f>'Data shares'!C27</f>
        <v>BAJFINANCE</v>
      </c>
      <c r="B32" s="50">
        <f>VLOOKUP($A32,'Data shares'!$C:$FB,7)</f>
        <v>881.2</v>
      </c>
      <c r="C32" s="50">
        <f>VLOOKUP($A32,'Data shares'!$C:$FB,10)*100</f>
        <v>-0.41000000000000003</v>
      </c>
      <c r="D32" s="49">
        <f>VLOOKUP($A32,'Data shares'!$C:$FB,66)</f>
        <v>81753000</v>
      </c>
      <c r="E32" s="49">
        <f>VLOOKUP($A32,'Data shares'!$C:$FB,67)</f>
        <v>85150500</v>
      </c>
      <c r="F32" s="50">
        <f>VLOOKUP($A32,'Data shares'!$C:$FB,69)*100</f>
        <v>-3.9899999999999998</v>
      </c>
      <c r="G32" s="49">
        <f>VLOOKUP($A32,'Data shares'!$C:$FB,42)</f>
        <v>43221000</v>
      </c>
      <c r="H32" s="49">
        <f>VLOOKUP($A32,'Data shares'!$C:$FB,43)</f>
        <v>41097750</v>
      </c>
      <c r="I32" s="50">
        <f>VLOOKUP($A32,'Data shares'!$C:$FB,45)*100</f>
        <v>5.17</v>
      </c>
      <c r="J32" s="49">
        <f>VLOOKUP($A32,'Data shares'!$C:$FB,58)</f>
        <v>24381000</v>
      </c>
      <c r="K32" s="49">
        <f>VLOOKUP($A32,'Data shares'!$C:$FB,59)</f>
        <v>28167750</v>
      </c>
      <c r="L32" s="50">
        <f>VLOOKUP($A32,'Data shares'!$C:$FB,61)*100</f>
        <v>-13.44</v>
      </c>
      <c r="M32" s="49">
        <f>VLOOKUP($A32,'Data shares'!$C:$FB,62)</f>
        <v>14151000</v>
      </c>
      <c r="N32" s="49">
        <f>VLOOKUP($A32,'Data shares'!$C:$FB,63)</f>
        <v>15885000</v>
      </c>
      <c r="O32" s="140">
        <f>VLOOKUP($A32,'Data shares'!$C:$FB,65)*100</f>
        <v>-10.92</v>
      </c>
    </row>
    <row r="33" spans="1:15" x14ac:dyDescent="0.25">
      <c r="A33" s="101" t="str">
        <f>'Data shares'!C28</f>
        <v>BALKRISIND</v>
      </c>
      <c r="B33" s="50">
        <f>VLOOKUP($A33,'Data shares'!$C:$FB,7)</f>
        <v>2676.2</v>
      </c>
      <c r="C33" s="50">
        <f>VLOOKUP($A33,'Data shares'!$C:$FB,10)*100</f>
        <v>-3</v>
      </c>
      <c r="D33" s="49">
        <f>VLOOKUP($A33,'Data shares'!$C:$FB,66)</f>
        <v>2619900</v>
      </c>
      <c r="E33" s="49">
        <f>VLOOKUP($A33,'Data shares'!$C:$FB,67)</f>
        <v>2550600</v>
      </c>
      <c r="F33" s="50">
        <f>VLOOKUP($A33,'Data shares'!$C:$FB,69)*100</f>
        <v>2.7199999999999998</v>
      </c>
      <c r="G33" s="49">
        <f>VLOOKUP($A33,'Data shares'!$C:$FB,42)</f>
        <v>730800</v>
      </c>
      <c r="H33" s="49">
        <f>VLOOKUP($A33,'Data shares'!$C:$FB,43)</f>
        <v>486600</v>
      </c>
      <c r="I33" s="50">
        <f>VLOOKUP($A33,'Data shares'!$C:$FB,45)*100</f>
        <v>50.18</v>
      </c>
      <c r="J33" s="49">
        <f>VLOOKUP($A33,'Data shares'!$C:$FB,58)</f>
        <v>984600</v>
      </c>
      <c r="K33" s="49">
        <f>VLOOKUP($A33,'Data shares'!$C:$FB,59)</f>
        <v>1098300</v>
      </c>
      <c r="L33" s="50">
        <f>VLOOKUP($A33,'Data shares'!$C:$FB,61)*100</f>
        <v>-10.35</v>
      </c>
      <c r="M33" s="49">
        <f>VLOOKUP($A33,'Data shares'!$C:$FB,62)</f>
        <v>904500</v>
      </c>
      <c r="N33" s="49">
        <f>VLOOKUP($A33,'Data shares'!$C:$FB,63)</f>
        <v>965700</v>
      </c>
      <c r="O33" s="140">
        <f>VLOOKUP($A33,'Data shares'!$C:$FB,65)*100</f>
        <v>-6.34</v>
      </c>
    </row>
    <row r="34" spans="1:15" x14ac:dyDescent="0.25">
      <c r="A34" s="101" t="str">
        <f>'Data shares'!C29</f>
        <v>BANDHANBNK</v>
      </c>
      <c r="B34" s="50">
        <f>VLOOKUP($A34,'Data shares'!$C:$FB,7)</f>
        <v>168.08</v>
      </c>
      <c r="C34" s="50">
        <f>VLOOKUP($A34,'Data shares'!$C:$FB,10)*100</f>
        <v>-0.11</v>
      </c>
      <c r="D34" s="49">
        <f>VLOOKUP($A34,'Data shares'!$C:$FB,66)</f>
        <v>79027200</v>
      </c>
      <c r="E34" s="49">
        <f>VLOOKUP($A34,'Data shares'!$C:$FB,67)</f>
        <v>84711600</v>
      </c>
      <c r="F34" s="50">
        <f>VLOOKUP($A34,'Data shares'!$C:$FB,69)*100</f>
        <v>-6.7100000000000009</v>
      </c>
      <c r="G34" s="49">
        <f>VLOOKUP($A34,'Data shares'!$C:$FB,42)</f>
        <v>47134800</v>
      </c>
      <c r="H34" s="49">
        <f>VLOOKUP($A34,'Data shares'!$C:$FB,43)</f>
        <v>43048800</v>
      </c>
      <c r="I34" s="50">
        <f>VLOOKUP($A34,'Data shares'!$C:$FB,45)*100</f>
        <v>9.49</v>
      </c>
      <c r="J34" s="49">
        <f>VLOOKUP($A34,'Data shares'!$C:$FB,58)</f>
        <v>18187200</v>
      </c>
      <c r="K34" s="49">
        <f>VLOOKUP($A34,'Data shares'!$C:$FB,59)</f>
        <v>25423200</v>
      </c>
      <c r="L34" s="50">
        <f>VLOOKUP($A34,'Data shares'!$C:$FB,61)*100</f>
        <v>-28.46</v>
      </c>
      <c r="M34" s="49">
        <f>VLOOKUP($A34,'Data shares'!$C:$FB,62)</f>
        <v>13705200</v>
      </c>
      <c r="N34" s="49">
        <f>VLOOKUP($A34,'Data shares'!$C:$FB,63)</f>
        <v>16239600</v>
      </c>
      <c r="O34" s="140">
        <f>VLOOKUP($A34,'Data shares'!$C:$FB,65)*100</f>
        <v>-15.61</v>
      </c>
    </row>
    <row r="35" spans="1:15" x14ac:dyDescent="0.25">
      <c r="A35" s="101" t="str">
        <f>'Data shares'!C30</f>
        <v>BANKBARODA</v>
      </c>
      <c r="B35" s="50">
        <f>VLOOKUP($A35,'Data shares'!$C:$FB,7)</f>
        <v>237.87</v>
      </c>
      <c r="C35" s="50">
        <f>VLOOKUP($A35,'Data shares'!$C:$FB,10)*100</f>
        <v>-0.75</v>
      </c>
      <c r="D35" s="49">
        <f>VLOOKUP($A35,'Data shares'!$C:$FB,66)</f>
        <v>108450225</v>
      </c>
      <c r="E35" s="49">
        <f>VLOOKUP($A35,'Data shares'!$C:$FB,67)</f>
        <v>117684450</v>
      </c>
      <c r="F35" s="50">
        <f>VLOOKUP($A35,'Data shares'!$C:$FB,69)*100</f>
        <v>-7.85</v>
      </c>
      <c r="G35" s="49">
        <f>VLOOKUP($A35,'Data shares'!$C:$FB,42)</f>
        <v>51058800</v>
      </c>
      <c r="H35" s="49">
        <f>VLOOKUP($A35,'Data shares'!$C:$FB,43)</f>
        <v>54024750</v>
      </c>
      <c r="I35" s="50">
        <f>VLOOKUP($A35,'Data shares'!$C:$FB,45)*100</f>
        <v>-5.4899999999999993</v>
      </c>
      <c r="J35" s="49">
        <f>VLOOKUP($A35,'Data shares'!$C:$FB,58)</f>
        <v>31920525</v>
      </c>
      <c r="K35" s="49">
        <f>VLOOKUP($A35,'Data shares'!$C:$FB,59)</f>
        <v>38270700</v>
      </c>
      <c r="L35" s="50">
        <f>VLOOKUP($A35,'Data shares'!$C:$FB,61)*100</f>
        <v>-16.59</v>
      </c>
      <c r="M35" s="49">
        <f>VLOOKUP($A35,'Data shares'!$C:$FB,62)</f>
        <v>25470900</v>
      </c>
      <c r="N35" s="49">
        <f>VLOOKUP($A35,'Data shares'!$C:$FB,63)</f>
        <v>25389000</v>
      </c>
      <c r="O35" s="140">
        <f>VLOOKUP($A35,'Data shares'!$C:$FB,65)*100</f>
        <v>0.32</v>
      </c>
    </row>
    <row r="36" spans="1:15" x14ac:dyDescent="0.25">
      <c r="A36" s="101" t="str">
        <f>'Data shares'!C31</f>
        <v>BANKINDIA</v>
      </c>
      <c r="B36" s="50">
        <f>VLOOKUP($A36,'Data shares'!$C:$FB,7)</f>
        <v>111.38</v>
      </c>
      <c r="C36" s="50">
        <f>VLOOKUP($A36,'Data shares'!$C:$FB,10)*100</f>
        <v>-2.42</v>
      </c>
      <c r="D36" s="49">
        <f>VLOOKUP($A36,'Data shares'!$C:$FB,66)</f>
        <v>91748800</v>
      </c>
      <c r="E36" s="49">
        <f>VLOOKUP($A36,'Data shares'!$C:$FB,67)</f>
        <v>168688000</v>
      </c>
      <c r="F36" s="50">
        <f>VLOOKUP($A36,'Data shares'!$C:$FB,69)*100</f>
        <v>-45.61</v>
      </c>
      <c r="G36" s="49">
        <f>VLOOKUP($A36,'Data shares'!$C:$FB,42)</f>
        <v>56414800</v>
      </c>
      <c r="H36" s="49">
        <f>VLOOKUP($A36,'Data shares'!$C:$FB,43)</f>
        <v>75316800</v>
      </c>
      <c r="I36" s="50">
        <f>VLOOKUP($A36,'Data shares'!$C:$FB,45)*100</f>
        <v>-25.1</v>
      </c>
      <c r="J36" s="49">
        <f>VLOOKUP($A36,'Data shares'!$C:$FB,58)</f>
        <v>21918000</v>
      </c>
      <c r="K36" s="49">
        <f>VLOOKUP($A36,'Data shares'!$C:$FB,59)</f>
        <v>59540000</v>
      </c>
      <c r="L36" s="50">
        <f>VLOOKUP($A36,'Data shares'!$C:$FB,61)*100</f>
        <v>-63.190000000000005</v>
      </c>
      <c r="M36" s="49">
        <f>VLOOKUP($A36,'Data shares'!$C:$FB,62)</f>
        <v>13416000</v>
      </c>
      <c r="N36" s="49">
        <f>VLOOKUP($A36,'Data shares'!$C:$FB,63)</f>
        <v>33831200</v>
      </c>
      <c r="O36" s="140">
        <f>VLOOKUP($A36,'Data shares'!$C:$FB,65)*100</f>
        <v>-60.34</v>
      </c>
    </row>
    <row r="37" spans="1:15" x14ac:dyDescent="0.25">
      <c r="A37" s="101" t="str">
        <f>'Data shares'!C32</f>
        <v>BANKNIFTY</v>
      </c>
      <c r="B37" s="50">
        <f>VLOOKUP($A37,'Data shares'!$C:$FB,7)</f>
        <v>55961.95</v>
      </c>
      <c r="C37" s="50">
        <f>VLOOKUP($A37,'Data shares'!$C:$FB,10)*100</f>
        <v>-0.33999999999999997</v>
      </c>
      <c r="D37" s="49">
        <f>VLOOKUP($A37,'Data shares'!$C:$FB,66)</f>
        <v>3100447385</v>
      </c>
      <c r="E37" s="49">
        <f>VLOOKUP($A37,'Data shares'!$C:$FB,67)</f>
        <v>571305980</v>
      </c>
      <c r="F37" s="50">
        <f>VLOOKUP($A37,'Data shares'!$C:$FB,69)*100</f>
        <v>442.69</v>
      </c>
      <c r="G37" s="49">
        <f>VLOOKUP($A37,'Data shares'!$C:$FB,42)</f>
        <v>3594605</v>
      </c>
      <c r="H37" s="49">
        <f>VLOOKUP($A37,'Data shares'!$C:$FB,43)</f>
        <v>1496880</v>
      </c>
      <c r="I37" s="50">
        <f>VLOOKUP($A37,'Data shares'!$C:$FB,45)*100</f>
        <v>140.13999999999999</v>
      </c>
      <c r="J37" s="49">
        <f>VLOOKUP($A37,'Data shares'!$C:$FB,58)</f>
        <v>1661730105</v>
      </c>
      <c r="K37" s="49">
        <f>VLOOKUP($A37,'Data shares'!$C:$FB,59)</f>
        <v>309610175</v>
      </c>
      <c r="L37" s="50">
        <f>VLOOKUP($A37,'Data shares'!$C:$FB,61)*100</f>
        <v>436.72</v>
      </c>
      <c r="M37" s="49">
        <f>VLOOKUP($A37,'Data shares'!$C:$FB,62)</f>
        <v>1435122675</v>
      </c>
      <c r="N37" s="49">
        <f>VLOOKUP($A37,'Data shares'!$C:$FB,63)</f>
        <v>260198925</v>
      </c>
      <c r="O37" s="140">
        <f>VLOOKUP($A37,'Data shares'!$C:$FB,65)*100</f>
        <v>451.55</v>
      </c>
    </row>
    <row r="38" spans="1:15" x14ac:dyDescent="0.25">
      <c r="A38" s="101" t="str">
        <f>'Data shares'!C33</f>
        <v>BDL</v>
      </c>
      <c r="B38" s="50">
        <f>VLOOKUP($A38,'Data shares'!$C:$FB,7)</f>
        <v>1619</v>
      </c>
      <c r="C38" s="50">
        <f>VLOOKUP($A38,'Data shares'!$C:$FB,10)*100</f>
        <v>-0.08</v>
      </c>
      <c r="D38" s="49">
        <f>VLOOKUP($A38,'Data shares'!$C:$FB,66)</f>
        <v>7176000</v>
      </c>
      <c r="E38" s="49">
        <f>VLOOKUP($A38,'Data shares'!$C:$FB,67)</f>
        <v>6029075</v>
      </c>
      <c r="F38" s="50">
        <f>VLOOKUP($A38,'Data shares'!$C:$FB,69)*100</f>
        <v>19.02</v>
      </c>
      <c r="G38" s="49">
        <f>VLOOKUP($A38,'Data shares'!$C:$FB,42)</f>
        <v>3249025</v>
      </c>
      <c r="H38" s="49">
        <f>VLOOKUP($A38,'Data shares'!$C:$FB,43)</f>
        <v>2093325</v>
      </c>
      <c r="I38" s="50">
        <f>VLOOKUP($A38,'Data shares'!$C:$FB,45)*100</f>
        <v>55.21</v>
      </c>
      <c r="J38" s="49">
        <f>VLOOKUP($A38,'Data shares'!$C:$FB,58)</f>
        <v>2824250</v>
      </c>
      <c r="K38" s="49">
        <f>VLOOKUP($A38,'Data shares'!$C:$FB,59)</f>
        <v>2931175</v>
      </c>
      <c r="L38" s="50">
        <f>VLOOKUP($A38,'Data shares'!$C:$FB,61)*100</f>
        <v>-3.65</v>
      </c>
      <c r="M38" s="49">
        <f>VLOOKUP($A38,'Data shares'!$C:$FB,62)</f>
        <v>1102725</v>
      </c>
      <c r="N38" s="49">
        <f>VLOOKUP($A38,'Data shares'!$C:$FB,63)</f>
        <v>1004575</v>
      </c>
      <c r="O38" s="140">
        <f>VLOOKUP($A38,'Data shares'!$C:$FB,65)*100</f>
        <v>9.77</v>
      </c>
    </row>
    <row r="39" spans="1:15" x14ac:dyDescent="0.25">
      <c r="A39" s="101" t="str">
        <f>'Data shares'!C34</f>
        <v>BEL</v>
      </c>
      <c r="B39" s="50">
        <f>VLOOKUP($A39,'Data shares'!$C:$FB,7)</f>
        <v>383.1</v>
      </c>
      <c r="C39" s="50">
        <f>VLOOKUP($A39,'Data shares'!$C:$FB,10)*100</f>
        <v>-0.88</v>
      </c>
      <c r="D39" s="49">
        <f>VLOOKUP($A39,'Data shares'!$C:$FB,66)</f>
        <v>216953400</v>
      </c>
      <c r="E39" s="49">
        <f>VLOOKUP($A39,'Data shares'!$C:$FB,67)</f>
        <v>231690750</v>
      </c>
      <c r="F39" s="50">
        <f>VLOOKUP($A39,'Data shares'!$C:$FB,69)*100</f>
        <v>-6.36</v>
      </c>
      <c r="G39" s="49">
        <f>VLOOKUP($A39,'Data shares'!$C:$FB,42)</f>
        <v>66581700</v>
      </c>
      <c r="H39" s="49">
        <f>VLOOKUP($A39,'Data shares'!$C:$FB,43)</f>
        <v>55577850</v>
      </c>
      <c r="I39" s="50">
        <f>VLOOKUP($A39,'Data shares'!$C:$FB,45)*100</f>
        <v>19.8</v>
      </c>
      <c r="J39" s="49">
        <f>VLOOKUP($A39,'Data shares'!$C:$FB,58)</f>
        <v>91539150</v>
      </c>
      <c r="K39" s="49">
        <f>VLOOKUP($A39,'Data shares'!$C:$FB,59)</f>
        <v>128754450</v>
      </c>
      <c r="L39" s="50">
        <f>VLOOKUP($A39,'Data shares'!$C:$FB,61)*100</f>
        <v>-28.9</v>
      </c>
      <c r="M39" s="49">
        <f>VLOOKUP($A39,'Data shares'!$C:$FB,62)</f>
        <v>58832550</v>
      </c>
      <c r="N39" s="49">
        <f>VLOOKUP($A39,'Data shares'!$C:$FB,63)</f>
        <v>47358450</v>
      </c>
      <c r="O39" s="140">
        <f>VLOOKUP($A39,'Data shares'!$C:$FB,65)*100</f>
        <v>24.23</v>
      </c>
    </row>
    <row r="40" spans="1:15" x14ac:dyDescent="0.25">
      <c r="A40" s="101" t="str">
        <f>'Data shares'!C35</f>
        <v>BHARATFORG</v>
      </c>
      <c r="B40" s="50">
        <f>VLOOKUP($A40,'Data shares'!$C:$FB,7)</f>
        <v>1169.0999999999999</v>
      </c>
      <c r="C40" s="50">
        <f>VLOOKUP($A40,'Data shares'!$C:$FB,10)*100</f>
        <v>-1.6400000000000001</v>
      </c>
      <c r="D40" s="49">
        <f>VLOOKUP($A40,'Data shares'!$C:$FB,66)</f>
        <v>15767000</v>
      </c>
      <c r="E40" s="49">
        <f>VLOOKUP($A40,'Data shares'!$C:$FB,67)</f>
        <v>19119500</v>
      </c>
      <c r="F40" s="50">
        <f>VLOOKUP($A40,'Data shares'!$C:$FB,69)*100</f>
        <v>-17.53</v>
      </c>
      <c r="G40" s="49">
        <f>VLOOKUP($A40,'Data shares'!$C:$FB,42)</f>
        <v>7578000</v>
      </c>
      <c r="H40" s="49">
        <f>VLOOKUP($A40,'Data shares'!$C:$FB,43)</f>
        <v>9180000</v>
      </c>
      <c r="I40" s="50">
        <f>VLOOKUP($A40,'Data shares'!$C:$FB,45)*100</f>
        <v>-17.45</v>
      </c>
      <c r="J40" s="49">
        <f>VLOOKUP($A40,'Data shares'!$C:$FB,58)</f>
        <v>4152000</v>
      </c>
      <c r="K40" s="49">
        <f>VLOOKUP($A40,'Data shares'!$C:$FB,59)</f>
        <v>4674000</v>
      </c>
      <c r="L40" s="50">
        <f>VLOOKUP($A40,'Data shares'!$C:$FB,61)*100</f>
        <v>-11.17</v>
      </c>
      <c r="M40" s="49">
        <f>VLOOKUP($A40,'Data shares'!$C:$FB,62)</f>
        <v>4037000</v>
      </c>
      <c r="N40" s="49">
        <f>VLOOKUP($A40,'Data shares'!$C:$FB,63)</f>
        <v>5265500</v>
      </c>
      <c r="O40" s="140">
        <f>VLOOKUP($A40,'Data shares'!$C:$FB,65)*100</f>
        <v>-23.330000000000002</v>
      </c>
    </row>
    <row r="41" spans="1:15" x14ac:dyDescent="0.25">
      <c r="A41" s="101" t="str">
        <f>'Data shares'!C36</f>
        <v>BHARTIARTL</v>
      </c>
      <c r="B41" s="50">
        <f>VLOOKUP($A41,'Data shares'!$C:$FB,7)</f>
        <v>1914.3</v>
      </c>
      <c r="C41" s="50">
        <f>VLOOKUP($A41,'Data shares'!$C:$FB,10)*100</f>
        <v>-0.95</v>
      </c>
      <c r="D41" s="49">
        <f>VLOOKUP($A41,'Data shares'!$C:$FB,66)</f>
        <v>37129800</v>
      </c>
      <c r="E41" s="49">
        <f>VLOOKUP($A41,'Data shares'!$C:$FB,67)</f>
        <v>50939000</v>
      </c>
      <c r="F41" s="50">
        <f>VLOOKUP($A41,'Data shares'!$C:$FB,69)*100</f>
        <v>-27.11</v>
      </c>
      <c r="G41" s="49">
        <f>VLOOKUP($A41,'Data shares'!$C:$FB,42)</f>
        <v>16452575</v>
      </c>
      <c r="H41" s="49">
        <f>VLOOKUP($A41,'Data shares'!$C:$FB,43)</f>
        <v>20044050</v>
      </c>
      <c r="I41" s="50">
        <f>VLOOKUP($A41,'Data shares'!$C:$FB,45)*100</f>
        <v>-17.919999999999998</v>
      </c>
      <c r="J41" s="49">
        <f>VLOOKUP($A41,'Data shares'!$C:$FB,58)</f>
        <v>13553175</v>
      </c>
      <c r="K41" s="49">
        <f>VLOOKUP($A41,'Data shares'!$C:$FB,59)</f>
        <v>21854750</v>
      </c>
      <c r="L41" s="50">
        <f>VLOOKUP($A41,'Data shares'!$C:$FB,61)*100</f>
        <v>-37.99</v>
      </c>
      <c r="M41" s="49">
        <f>VLOOKUP($A41,'Data shares'!$C:$FB,62)</f>
        <v>7124050</v>
      </c>
      <c r="N41" s="49">
        <f>VLOOKUP($A41,'Data shares'!$C:$FB,63)</f>
        <v>9040200</v>
      </c>
      <c r="O41" s="140">
        <f>VLOOKUP($A41,'Data shares'!$C:$FB,65)*100</f>
        <v>-21.2</v>
      </c>
    </row>
    <row r="42" spans="1:15" x14ac:dyDescent="0.25">
      <c r="A42" s="101" t="str">
        <f>'Data shares'!C37</f>
        <v>BHEL</v>
      </c>
      <c r="B42" s="50">
        <f>VLOOKUP($A42,'Data shares'!$C:$FB,7)</f>
        <v>238.45</v>
      </c>
      <c r="C42" s="50">
        <f>VLOOKUP($A42,'Data shares'!$C:$FB,10)*100</f>
        <v>-1.32</v>
      </c>
      <c r="D42" s="49">
        <f>VLOOKUP($A42,'Data shares'!$C:$FB,66)</f>
        <v>78831375</v>
      </c>
      <c r="E42" s="49">
        <f>VLOOKUP($A42,'Data shares'!$C:$FB,67)</f>
        <v>63496125</v>
      </c>
      <c r="F42" s="50">
        <f>VLOOKUP($A42,'Data shares'!$C:$FB,69)*100</f>
        <v>24.15</v>
      </c>
      <c r="G42" s="49">
        <f>VLOOKUP($A42,'Data shares'!$C:$FB,42)</f>
        <v>38750250</v>
      </c>
      <c r="H42" s="49">
        <f>VLOOKUP($A42,'Data shares'!$C:$FB,43)</f>
        <v>34272000</v>
      </c>
      <c r="I42" s="50">
        <f>VLOOKUP($A42,'Data shares'!$C:$FB,45)*100</f>
        <v>13.07</v>
      </c>
      <c r="J42" s="49">
        <f>VLOOKUP($A42,'Data shares'!$C:$FB,58)</f>
        <v>24289125</v>
      </c>
      <c r="K42" s="49">
        <f>VLOOKUP($A42,'Data shares'!$C:$FB,59)</f>
        <v>18787125</v>
      </c>
      <c r="L42" s="50">
        <f>VLOOKUP($A42,'Data shares'!$C:$FB,61)*100</f>
        <v>29.29</v>
      </c>
      <c r="M42" s="49">
        <f>VLOOKUP($A42,'Data shares'!$C:$FB,62)</f>
        <v>15792000</v>
      </c>
      <c r="N42" s="49">
        <f>VLOOKUP($A42,'Data shares'!$C:$FB,63)</f>
        <v>10437000</v>
      </c>
      <c r="O42" s="140">
        <f>VLOOKUP($A42,'Data shares'!$C:$FB,65)*100</f>
        <v>51.31</v>
      </c>
    </row>
    <row r="43" spans="1:15" x14ac:dyDescent="0.25">
      <c r="A43" s="101" t="str">
        <f>'Data shares'!C38</f>
        <v>BIOCON</v>
      </c>
      <c r="B43" s="50">
        <f>VLOOKUP($A43,'Data shares'!$C:$FB,7)</f>
        <v>391.4</v>
      </c>
      <c r="C43" s="50">
        <f>VLOOKUP($A43,'Data shares'!$C:$FB,10)*100</f>
        <v>-1.49</v>
      </c>
      <c r="D43" s="49">
        <f>VLOOKUP($A43,'Data shares'!$C:$FB,66)</f>
        <v>57230000</v>
      </c>
      <c r="E43" s="49">
        <f>VLOOKUP($A43,'Data shares'!$C:$FB,67)</f>
        <v>64237500</v>
      </c>
      <c r="F43" s="50">
        <f>VLOOKUP($A43,'Data shares'!$C:$FB,69)*100</f>
        <v>-10.91</v>
      </c>
      <c r="G43" s="49">
        <f>VLOOKUP($A43,'Data shares'!$C:$FB,42)</f>
        <v>28787500</v>
      </c>
      <c r="H43" s="49">
        <f>VLOOKUP($A43,'Data shares'!$C:$FB,43)</f>
        <v>26525000</v>
      </c>
      <c r="I43" s="50">
        <f>VLOOKUP($A43,'Data shares'!$C:$FB,45)*100</f>
        <v>8.5299999999999994</v>
      </c>
      <c r="J43" s="49">
        <f>VLOOKUP($A43,'Data shares'!$C:$FB,58)</f>
        <v>17157500</v>
      </c>
      <c r="K43" s="49">
        <f>VLOOKUP($A43,'Data shares'!$C:$FB,59)</f>
        <v>26165000</v>
      </c>
      <c r="L43" s="50">
        <f>VLOOKUP($A43,'Data shares'!$C:$FB,61)*100</f>
        <v>-34.43</v>
      </c>
      <c r="M43" s="49">
        <f>VLOOKUP($A43,'Data shares'!$C:$FB,62)</f>
        <v>11285000</v>
      </c>
      <c r="N43" s="49">
        <f>VLOOKUP($A43,'Data shares'!$C:$FB,63)</f>
        <v>11547500</v>
      </c>
      <c r="O43" s="140">
        <f>VLOOKUP($A43,'Data shares'!$C:$FB,65)*100</f>
        <v>-2.27</v>
      </c>
    </row>
    <row r="44" spans="1:15" x14ac:dyDescent="0.25">
      <c r="A44" s="101" t="str">
        <f>'Data shares'!C39</f>
        <v>BLUESTARCO</v>
      </c>
      <c r="B44" s="50">
        <f>VLOOKUP($A44,'Data shares'!$C:$FB,7)</f>
        <v>1738.1</v>
      </c>
      <c r="C44" s="50">
        <f>VLOOKUP($A44,'Data shares'!$C:$FB,10)*100</f>
        <v>-0.95</v>
      </c>
      <c r="D44" s="49">
        <f>VLOOKUP($A44,'Data shares'!$C:$FB,66)</f>
        <v>1975675</v>
      </c>
      <c r="E44" s="49">
        <f>VLOOKUP($A44,'Data shares'!$C:$FB,67)</f>
        <v>2619175</v>
      </c>
      <c r="F44" s="50">
        <f>VLOOKUP($A44,'Data shares'!$C:$FB,69)*100</f>
        <v>-24.57</v>
      </c>
      <c r="G44" s="49">
        <f>VLOOKUP($A44,'Data shares'!$C:$FB,42)</f>
        <v>673400</v>
      </c>
      <c r="H44" s="49">
        <f>VLOOKUP($A44,'Data shares'!$C:$FB,43)</f>
        <v>1339000</v>
      </c>
      <c r="I44" s="50">
        <f>VLOOKUP($A44,'Data shares'!$C:$FB,45)*100</f>
        <v>-49.71</v>
      </c>
      <c r="J44" s="49">
        <f>VLOOKUP($A44,'Data shares'!$C:$FB,58)</f>
        <v>670150</v>
      </c>
      <c r="K44" s="49">
        <f>VLOOKUP($A44,'Data shares'!$C:$FB,59)</f>
        <v>867425</v>
      </c>
      <c r="L44" s="50">
        <f>VLOOKUP($A44,'Data shares'!$C:$FB,61)*100</f>
        <v>-22.74</v>
      </c>
      <c r="M44" s="49">
        <f>VLOOKUP($A44,'Data shares'!$C:$FB,62)</f>
        <v>632125</v>
      </c>
      <c r="N44" s="49">
        <f>VLOOKUP($A44,'Data shares'!$C:$FB,63)</f>
        <v>412750</v>
      </c>
      <c r="O44" s="140">
        <f>VLOOKUP($A44,'Data shares'!$C:$FB,65)*100</f>
        <v>53.15</v>
      </c>
    </row>
    <row r="45" spans="1:15" x14ac:dyDescent="0.25">
      <c r="A45" s="101" t="str">
        <f>'Data shares'!C40</f>
        <v>BOSCHLTD</v>
      </c>
      <c r="B45" s="50">
        <f>VLOOKUP($A45,'Data shares'!$C:$FB,7)</f>
        <v>40385</v>
      </c>
      <c r="C45" s="50">
        <f>VLOOKUP($A45,'Data shares'!$C:$FB,10)*100</f>
        <v>0.80999999999999994</v>
      </c>
      <c r="D45" s="49">
        <f>VLOOKUP($A45,'Data shares'!$C:$FB,66)</f>
        <v>1943200</v>
      </c>
      <c r="E45" s="49">
        <f>VLOOKUP($A45,'Data shares'!$C:$FB,67)</f>
        <v>5320675</v>
      </c>
      <c r="F45" s="50">
        <f>VLOOKUP($A45,'Data shares'!$C:$FB,69)*100</f>
        <v>-63.480000000000004</v>
      </c>
      <c r="G45" s="49">
        <f>VLOOKUP($A45,'Data shares'!$C:$FB,42)</f>
        <v>189750</v>
      </c>
      <c r="H45" s="49">
        <f>VLOOKUP($A45,'Data shares'!$C:$FB,43)</f>
        <v>308375</v>
      </c>
      <c r="I45" s="50">
        <f>VLOOKUP($A45,'Data shares'!$C:$FB,45)*100</f>
        <v>-38.47</v>
      </c>
      <c r="J45" s="49">
        <f>VLOOKUP($A45,'Data shares'!$C:$FB,58)</f>
        <v>1119650</v>
      </c>
      <c r="K45" s="49">
        <f>VLOOKUP($A45,'Data shares'!$C:$FB,59)</f>
        <v>3369250</v>
      </c>
      <c r="L45" s="50">
        <f>VLOOKUP($A45,'Data shares'!$C:$FB,61)*100</f>
        <v>-66.77</v>
      </c>
      <c r="M45" s="49">
        <f>VLOOKUP($A45,'Data shares'!$C:$FB,62)</f>
        <v>633800</v>
      </c>
      <c r="N45" s="49">
        <f>VLOOKUP($A45,'Data shares'!$C:$FB,63)</f>
        <v>1643050</v>
      </c>
      <c r="O45" s="140">
        <f>VLOOKUP($A45,'Data shares'!$C:$FB,65)*100</f>
        <v>-61.429999999999993</v>
      </c>
    </row>
    <row r="46" spans="1:15" x14ac:dyDescent="0.25">
      <c r="A46" s="101" t="str">
        <f>'Data shares'!C41</f>
        <v>BPCL</v>
      </c>
      <c r="B46" s="50">
        <f>VLOOKUP($A46,'Data shares'!$C:$FB,7)</f>
        <v>329.3</v>
      </c>
      <c r="C46" s="50">
        <f>VLOOKUP($A46,'Data shares'!$C:$FB,10)*100</f>
        <v>-2.2999999999999998</v>
      </c>
      <c r="D46" s="49">
        <f>VLOOKUP($A46,'Data shares'!$C:$FB,66)</f>
        <v>74056575</v>
      </c>
      <c r="E46" s="49">
        <f>VLOOKUP($A46,'Data shares'!$C:$FB,67)</f>
        <v>198611925</v>
      </c>
      <c r="F46" s="50">
        <f>VLOOKUP($A46,'Data shares'!$C:$FB,69)*100</f>
        <v>-62.71</v>
      </c>
      <c r="G46" s="49">
        <f>VLOOKUP($A46,'Data shares'!$C:$FB,42)</f>
        <v>21197675</v>
      </c>
      <c r="H46" s="49">
        <f>VLOOKUP($A46,'Data shares'!$C:$FB,43)</f>
        <v>34730375</v>
      </c>
      <c r="I46" s="50">
        <f>VLOOKUP($A46,'Data shares'!$C:$FB,45)*100</f>
        <v>-38.97</v>
      </c>
      <c r="J46" s="49">
        <f>VLOOKUP($A46,'Data shares'!$C:$FB,58)</f>
        <v>34167500</v>
      </c>
      <c r="K46" s="49">
        <f>VLOOKUP($A46,'Data shares'!$C:$FB,59)</f>
        <v>134811525</v>
      </c>
      <c r="L46" s="50">
        <f>VLOOKUP($A46,'Data shares'!$C:$FB,61)*100</f>
        <v>-74.660000000000011</v>
      </c>
      <c r="M46" s="49">
        <f>VLOOKUP($A46,'Data shares'!$C:$FB,62)</f>
        <v>18691400</v>
      </c>
      <c r="N46" s="49">
        <f>VLOOKUP($A46,'Data shares'!$C:$FB,63)</f>
        <v>29070025</v>
      </c>
      <c r="O46" s="140">
        <f>VLOOKUP($A46,'Data shares'!$C:$FB,65)*100</f>
        <v>-35.699999999999996</v>
      </c>
    </row>
    <row r="47" spans="1:15" x14ac:dyDescent="0.25">
      <c r="A47" s="101" t="str">
        <f>'Data shares'!C42</f>
        <v>BRITANNIA</v>
      </c>
      <c r="B47" s="50">
        <f>VLOOKUP($A47,'Data shares'!$C:$FB,7)</f>
        <v>5771</v>
      </c>
      <c r="C47" s="50">
        <f>VLOOKUP($A47,'Data shares'!$C:$FB,10)*100</f>
        <v>0.42</v>
      </c>
      <c r="D47" s="49">
        <f>VLOOKUP($A47,'Data shares'!$C:$FB,66)</f>
        <v>3586750</v>
      </c>
      <c r="E47" s="49">
        <f>VLOOKUP($A47,'Data shares'!$C:$FB,67)</f>
        <v>3424500</v>
      </c>
      <c r="F47" s="50">
        <f>VLOOKUP($A47,'Data shares'!$C:$FB,69)*100</f>
        <v>4.74</v>
      </c>
      <c r="G47" s="49">
        <f>VLOOKUP($A47,'Data shares'!$C:$FB,42)</f>
        <v>1846000</v>
      </c>
      <c r="H47" s="49">
        <f>VLOOKUP($A47,'Data shares'!$C:$FB,43)</f>
        <v>1564250</v>
      </c>
      <c r="I47" s="50">
        <f>VLOOKUP($A47,'Data shares'!$C:$FB,45)*100</f>
        <v>18.010000000000002</v>
      </c>
      <c r="J47" s="49">
        <f>VLOOKUP($A47,'Data shares'!$C:$FB,58)</f>
        <v>1362500</v>
      </c>
      <c r="K47" s="49">
        <f>VLOOKUP($A47,'Data shares'!$C:$FB,59)</f>
        <v>1339000</v>
      </c>
      <c r="L47" s="50">
        <f>VLOOKUP($A47,'Data shares'!$C:$FB,61)*100</f>
        <v>1.76</v>
      </c>
      <c r="M47" s="49">
        <f>VLOOKUP($A47,'Data shares'!$C:$FB,62)</f>
        <v>378250</v>
      </c>
      <c r="N47" s="49">
        <f>VLOOKUP($A47,'Data shares'!$C:$FB,63)</f>
        <v>521250</v>
      </c>
      <c r="O47" s="140">
        <f>VLOOKUP($A47,'Data shares'!$C:$FB,65)*100</f>
        <v>-27.43</v>
      </c>
    </row>
    <row r="48" spans="1:15" x14ac:dyDescent="0.25">
      <c r="A48" s="101" t="str">
        <f>'Data shares'!C43</f>
        <v>BSE</v>
      </c>
      <c r="B48" s="50">
        <f>VLOOKUP($A48,'Data shares'!$C:$FB,7)</f>
        <v>2427.4</v>
      </c>
      <c r="C48" s="50">
        <f>VLOOKUP($A48,'Data shares'!$C:$FB,10)*100</f>
        <v>-1.22</v>
      </c>
      <c r="D48" s="49">
        <f>VLOOKUP($A48,'Data shares'!$C:$FB,66)</f>
        <v>31802625</v>
      </c>
      <c r="E48" s="49">
        <f>VLOOKUP($A48,'Data shares'!$C:$FB,67)</f>
        <v>33396750</v>
      </c>
      <c r="F48" s="50">
        <f>VLOOKUP($A48,'Data shares'!$C:$FB,69)*100</f>
        <v>-4.7699999999999996</v>
      </c>
      <c r="G48" s="49">
        <f>VLOOKUP($A48,'Data shares'!$C:$FB,42)</f>
        <v>10577250</v>
      </c>
      <c r="H48" s="49">
        <f>VLOOKUP($A48,'Data shares'!$C:$FB,43)</f>
        <v>7506000</v>
      </c>
      <c r="I48" s="50">
        <f>VLOOKUP($A48,'Data shares'!$C:$FB,45)*100</f>
        <v>40.92</v>
      </c>
      <c r="J48" s="49">
        <f>VLOOKUP($A48,'Data shares'!$C:$FB,58)</f>
        <v>12575625</v>
      </c>
      <c r="K48" s="49">
        <f>VLOOKUP($A48,'Data shares'!$C:$FB,59)</f>
        <v>16963500</v>
      </c>
      <c r="L48" s="50">
        <f>VLOOKUP($A48,'Data shares'!$C:$FB,61)*100</f>
        <v>-25.869999999999997</v>
      </c>
      <c r="M48" s="49">
        <f>VLOOKUP($A48,'Data shares'!$C:$FB,62)</f>
        <v>8649750</v>
      </c>
      <c r="N48" s="49">
        <f>VLOOKUP($A48,'Data shares'!$C:$FB,63)</f>
        <v>8927250</v>
      </c>
      <c r="O48" s="140">
        <f>VLOOKUP($A48,'Data shares'!$C:$FB,65)*100</f>
        <v>-3.11</v>
      </c>
    </row>
    <row r="49" spans="1:15" x14ac:dyDescent="0.25">
      <c r="A49" s="101" t="str">
        <f>'Data shares'!C44</f>
        <v>BSOFT</v>
      </c>
      <c r="B49" s="50">
        <f>VLOOKUP($A49,'Data shares'!$C:$FB,7)</f>
        <v>391.5</v>
      </c>
      <c r="C49" s="50">
        <f>VLOOKUP($A49,'Data shares'!$C:$FB,10)*100</f>
        <v>-5.6099999999999994</v>
      </c>
      <c r="D49" s="49">
        <f>VLOOKUP($A49,'Data shares'!$C:$FB,66)</f>
        <v>10757500</v>
      </c>
      <c r="E49" s="49">
        <f>VLOOKUP($A49,'Data shares'!$C:$FB,67)</f>
        <v>17416100</v>
      </c>
      <c r="F49" s="50">
        <f>VLOOKUP($A49,'Data shares'!$C:$FB,69)*100</f>
        <v>-38.229999999999997</v>
      </c>
      <c r="G49" s="49">
        <f>VLOOKUP($A49,'Data shares'!$C:$FB,42)</f>
        <v>3823300</v>
      </c>
      <c r="H49" s="49">
        <f>VLOOKUP($A49,'Data shares'!$C:$FB,43)</f>
        <v>3513900</v>
      </c>
      <c r="I49" s="50">
        <f>VLOOKUP($A49,'Data shares'!$C:$FB,45)*100</f>
        <v>8.81</v>
      </c>
      <c r="J49" s="49">
        <f>VLOOKUP($A49,'Data shares'!$C:$FB,58)</f>
        <v>3438500</v>
      </c>
      <c r="K49" s="49">
        <f>VLOOKUP($A49,'Data shares'!$C:$FB,59)</f>
        <v>10225800</v>
      </c>
      <c r="L49" s="50">
        <f>VLOOKUP($A49,'Data shares'!$C:$FB,61)*100</f>
        <v>-66.36999999999999</v>
      </c>
      <c r="M49" s="49">
        <f>VLOOKUP($A49,'Data shares'!$C:$FB,62)</f>
        <v>3495700</v>
      </c>
      <c r="N49" s="49">
        <f>VLOOKUP($A49,'Data shares'!$C:$FB,63)</f>
        <v>3676400</v>
      </c>
      <c r="O49" s="140">
        <f>VLOOKUP($A49,'Data shares'!$C:$FB,65)*100</f>
        <v>-4.92</v>
      </c>
    </row>
    <row r="50" spans="1:15" x14ac:dyDescent="0.25">
      <c r="A50" s="101" t="str">
        <f>'Data shares'!C45</f>
        <v>CAMS</v>
      </c>
      <c r="B50" s="50">
        <f>VLOOKUP($A50,'Data shares'!$C:$FB,7)</f>
        <v>3736.8</v>
      </c>
      <c r="C50" s="50">
        <f>VLOOKUP($A50,'Data shares'!$C:$FB,10)*100</f>
        <v>-3.94</v>
      </c>
      <c r="D50" s="49">
        <f>VLOOKUP($A50,'Data shares'!$C:$FB,66)</f>
        <v>8335800</v>
      </c>
      <c r="E50" s="49">
        <f>VLOOKUP($A50,'Data shares'!$C:$FB,67)</f>
        <v>3618750</v>
      </c>
      <c r="F50" s="50">
        <f>VLOOKUP($A50,'Data shares'!$C:$FB,69)*100</f>
        <v>130.35000000000002</v>
      </c>
      <c r="G50" s="49">
        <f>VLOOKUP($A50,'Data shares'!$C:$FB,42)</f>
        <v>2861550</v>
      </c>
      <c r="H50" s="49">
        <f>VLOOKUP($A50,'Data shares'!$C:$FB,43)</f>
        <v>1014600</v>
      </c>
      <c r="I50" s="50">
        <f>VLOOKUP($A50,'Data shares'!$C:$FB,45)*100</f>
        <v>182.04</v>
      </c>
      <c r="J50" s="49">
        <f>VLOOKUP($A50,'Data shares'!$C:$FB,58)</f>
        <v>3019950</v>
      </c>
      <c r="K50" s="49">
        <f>VLOOKUP($A50,'Data shares'!$C:$FB,59)</f>
        <v>1714800</v>
      </c>
      <c r="L50" s="50">
        <f>VLOOKUP($A50,'Data shares'!$C:$FB,61)*100</f>
        <v>76.11</v>
      </c>
      <c r="M50" s="49">
        <f>VLOOKUP($A50,'Data shares'!$C:$FB,62)</f>
        <v>2454300</v>
      </c>
      <c r="N50" s="49">
        <f>VLOOKUP($A50,'Data shares'!$C:$FB,63)</f>
        <v>889350</v>
      </c>
      <c r="O50" s="140">
        <f>VLOOKUP($A50,'Data shares'!$C:$FB,65)*100</f>
        <v>175.97</v>
      </c>
    </row>
    <row r="51" spans="1:15" x14ac:dyDescent="0.25">
      <c r="A51" s="101" t="str">
        <f>'Data shares'!C46</f>
        <v>CANBK</v>
      </c>
      <c r="B51" s="50">
        <f>VLOOKUP($A51,'Data shares'!$C:$FB,7)</f>
        <v>107.25</v>
      </c>
      <c r="C51" s="50">
        <f>VLOOKUP($A51,'Data shares'!$C:$FB,10)*100</f>
        <v>-0.88</v>
      </c>
      <c r="D51" s="49">
        <f>VLOOKUP($A51,'Data shares'!$C:$FB,66)</f>
        <v>343210500</v>
      </c>
      <c r="E51" s="49">
        <f>VLOOKUP($A51,'Data shares'!$C:$FB,67)</f>
        <v>270438750</v>
      </c>
      <c r="F51" s="50">
        <f>VLOOKUP($A51,'Data shares'!$C:$FB,69)*100</f>
        <v>26.91</v>
      </c>
      <c r="G51" s="49">
        <f>VLOOKUP($A51,'Data shares'!$C:$FB,42)</f>
        <v>150376500</v>
      </c>
      <c r="H51" s="49">
        <f>VLOOKUP($A51,'Data shares'!$C:$FB,43)</f>
        <v>107547750</v>
      </c>
      <c r="I51" s="50">
        <f>VLOOKUP($A51,'Data shares'!$C:$FB,45)*100</f>
        <v>39.82</v>
      </c>
      <c r="J51" s="49">
        <f>VLOOKUP($A51,'Data shares'!$C:$FB,58)</f>
        <v>114689250</v>
      </c>
      <c r="K51" s="49">
        <f>VLOOKUP($A51,'Data shares'!$C:$FB,59)</f>
        <v>115580250</v>
      </c>
      <c r="L51" s="50">
        <f>VLOOKUP($A51,'Data shares'!$C:$FB,61)*100</f>
        <v>-0.77</v>
      </c>
      <c r="M51" s="49">
        <f>VLOOKUP($A51,'Data shares'!$C:$FB,62)</f>
        <v>78144750</v>
      </c>
      <c r="N51" s="49">
        <f>VLOOKUP($A51,'Data shares'!$C:$FB,63)</f>
        <v>47310750</v>
      </c>
      <c r="O51" s="140">
        <f>VLOOKUP($A51,'Data shares'!$C:$FB,65)*100</f>
        <v>65.169999999999987</v>
      </c>
    </row>
    <row r="52" spans="1:15" x14ac:dyDescent="0.25">
      <c r="A52" s="101" t="str">
        <f>'Data shares'!C47</f>
        <v>CDSL</v>
      </c>
      <c r="B52" s="50">
        <f>VLOOKUP($A52,'Data shares'!$C:$FB,7)</f>
        <v>1480.8</v>
      </c>
      <c r="C52" s="50">
        <f>VLOOKUP($A52,'Data shares'!$C:$FB,10)*100</f>
        <v>-2.12</v>
      </c>
      <c r="D52" s="49">
        <f>VLOOKUP($A52,'Data shares'!$C:$FB,66)</f>
        <v>20030275</v>
      </c>
      <c r="E52" s="49">
        <f>VLOOKUP($A52,'Data shares'!$C:$FB,67)</f>
        <v>23890600</v>
      </c>
      <c r="F52" s="50">
        <f>VLOOKUP($A52,'Data shares'!$C:$FB,69)*100</f>
        <v>-16.16</v>
      </c>
      <c r="G52" s="49">
        <f>VLOOKUP($A52,'Data shares'!$C:$FB,42)</f>
        <v>7635150</v>
      </c>
      <c r="H52" s="49">
        <f>VLOOKUP($A52,'Data shares'!$C:$FB,43)</f>
        <v>7010525</v>
      </c>
      <c r="I52" s="50">
        <f>VLOOKUP($A52,'Data shares'!$C:$FB,45)*100</f>
        <v>8.91</v>
      </c>
      <c r="J52" s="49">
        <f>VLOOKUP($A52,'Data shares'!$C:$FB,58)</f>
        <v>7356325</v>
      </c>
      <c r="K52" s="49">
        <f>VLOOKUP($A52,'Data shares'!$C:$FB,59)</f>
        <v>10367350</v>
      </c>
      <c r="L52" s="50">
        <f>VLOOKUP($A52,'Data shares'!$C:$FB,61)*100</f>
        <v>-29.04</v>
      </c>
      <c r="M52" s="49">
        <f>VLOOKUP($A52,'Data shares'!$C:$FB,62)</f>
        <v>5038800</v>
      </c>
      <c r="N52" s="49">
        <f>VLOOKUP($A52,'Data shares'!$C:$FB,63)</f>
        <v>6512725</v>
      </c>
      <c r="O52" s="140">
        <f>VLOOKUP($A52,'Data shares'!$C:$FB,65)*100</f>
        <v>-22.63</v>
      </c>
    </row>
    <row r="53" spans="1:15" x14ac:dyDescent="0.25">
      <c r="A53" s="101" t="str">
        <f>'Data shares'!C48</f>
        <v>CESC</v>
      </c>
      <c r="B53" s="50">
        <f>VLOOKUP($A53,'Data shares'!$C:$FB,7)</f>
        <v>169.51</v>
      </c>
      <c r="C53" s="50">
        <f>VLOOKUP($A53,'Data shares'!$C:$FB,10)*100</f>
        <v>-4.0199999999999996</v>
      </c>
      <c r="D53" s="49">
        <f>VLOOKUP($A53,'Data shares'!$C:$FB,66)</f>
        <v>41760000</v>
      </c>
      <c r="E53" s="49">
        <f>VLOOKUP($A53,'Data shares'!$C:$FB,67)</f>
        <v>51946250</v>
      </c>
      <c r="F53" s="50">
        <f>VLOOKUP($A53,'Data shares'!$C:$FB,69)*100</f>
        <v>-19.61</v>
      </c>
      <c r="G53" s="49">
        <f>VLOOKUP($A53,'Data shares'!$C:$FB,42)</f>
        <v>18958750</v>
      </c>
      <c r="H53" s="49">
        <f>VLOOKUP($A53,'Data shares'!$C:$FB,43)</f>
        <v>23725625</v>
      </c>
      <c r="I53" s="50">
        <f>VLOOKUP($A53,'Data shares'!$C:$FB,45)*100</f>
        <v>-20.09</v>
      </c>
      <c r="J53" s="49">
        <f>VLOOKUP($A53,'Data shares'!$C:$FB,58)</f>
        <v>14862500</v>
      </c>
      <c r="K53" s="49">
        <f>VLOOKUP($A53,'Data shares'!$C:$FB,59)</f>
        <v>19861375</v>
      </c>
      <c r="L53" s="50">
        <f>VLOOKUP($A53,'Data shares'!$C:$FB,61)*100</f>
        <v>-25.169999999999998</v>
      </c>
      <c r="M53" s="49">
        <f>VLOOKUP($A53,'Data shares'!$C:$FB,62)</f>
        <v>7938750</v>
      </c>
      <c r="N53" s="49">
        <f>VLOOKUP($A53,'Data shares'!$C:$FB,63)</f>
        <v>8359250</v>
      </c>
      <c r="O53" s="140">
        <f>VLOOKUP($A53,'Data shares'!$C:$FB,65)*100</f>
        <v>-5.0299999999999994</v>
      </c>
    </row>
    <row r="54" spans="1:15" x14ac:dyDescent="0.25">
      <c r="A54" s="101" t="str">
        <f>'Data shares'!C49</f>
        <v>CGPOWER</v>
      </c>
      <c r="B54" s="50">
        <f>VLOOKUP($A54,'Data shares'!$C:$FB,7)</f>
        <v>661.7</v>
      </c>
      <c r="C54" s="50">
        <f>VLOOKUP($A54,'Data shares'!$C:$FB,10)*100</f>
        <v>0.2</v>
      </c>
      <c r="D54" s="49">
        <f>VLOOKUP($A54,'Data shares'!$C:$FB,66)</f>
        <v>12906400</v>
      </c>
      <c r="E54" s="49">
        <f>VLOOKUP($A54,'Data shares'!$C:$FB,67)</f>
        <v>16813000</v>
      </c>
      <c r="F54" s="50">
        <f>VLOOKUP($A54,'Data shares'!$C:$FB,69)*100</f>
        <v>-23.24</v>
      </c>
      <c r="G54" s="49">
        <f>VLOOKUP($A54,'Data shares'!$C:$FB,42)</f>
        <v>7975550</v>
      </c>
      <c r="H54" s="49">
        <f>VLOOKUP($A54,'Data shares'!$C:$FB,43)</f>
        <v>9998550</v>
      </c>
      <c r="I54" s="50">
        <f>VLOOKUP($A54,'Data shares'!$C:$FB,45)*100</f>
        <v>-20.23</v>
      </c>
      <c r="J54" s="49">
        <f>VLOOKUP($A54,'Data shares'!$C:$FB,58)</f>
        <v>3519000</v>
      </c>
      <c r="K54" s="49">
        <f>VLOOKUP($A54,'Data shares'!$C:$FB,59)</f>
        <v>4802500</v>
      </c>
      <c r="L54" s="50">
        <f>VLOOKUP($A54,'Data shares'!$C:$FB,61)*100</f>
        <v>-26.729999999999997</v>
      </c>
      <c r="M54" s="49">
        <f>VLOOKUP($A54,'Data shares'!$C:$FB,62)</f>
        <v>1411850</v>
      </c>
      <c r="N54" s="49">
        <f>VLOOKUP($A54,'Data shares'!$C:$FB,63)</f>
        <v>2011950</v>
      </c>
      <c r="O54" s="140">
        <f>VLOOKUP($A54,'Data shares'!$C:$FB,65)*100</f>
        <v>-29.830000000000002</v>
      </c>
    </row>
    <row r="55" spans="1:15" x14ac:dyDescent="0.25">
      <c r="A55" s="101" t="str">
        <f>'Data shares'!C50</f>
        <v>CHAMBLFERT</v>
      </c>
      <c r="B55" s="50">
        <f>VLOOKUP($A55,'Data shares'!$C:$FB,7)</f>
        <v>514.9</v>
      </c>
      <c r="C55" s="50">
        <f>VLOOKUP($A55,'Data shares'!$C:$FB,10)*100</f>
        <v>-4.33</v>
      </c>
      <c r="D55" s="49">
        <f>VLOOKUP($A55,'Data shares'!$C:$FB,66)</f>
        <v>11697350</v>
      </c>
      <c r="E55" s="49">
        <f>VLOOKUP($A55,'Data shares'!$C:$FB,67)</f>
        <v>16872000</v>
      </c>
      <c r="F55" s="50">
        <f>VLOOKUP($A55,'Data shares'!$C:$FB,69)*100</f>
        <v>-30.669999999999998</v>
      </c>
      <c r="G55" s="49">
        <f>VLOOKUP($A55,'Data shares'!$C:$FB,42)</f>
        <v>6610100</v>
      </c>
      <c r="H55" s="49">
        <f>VLOOKUP($A55,'Data shares'!$C:$FB,43)</f>
        <v>2780650</v>
      </c>
      <c r="I55" s="50">
        <f>VLOOKUP($A55,'Data shares'!$C:$FB,45)*100</f>
        <v>137.72</v>
      </c>
      <c r="J55" s="49">
        <f>VLOOKUP($A55,'Data shares'!$C:$FB,58)</f>
        <v>2980150</v>
      </c>
      <c r="K55" s="49">
        <f>VLOOKUP($A55,'Data shares'!$C:$FB,59)</f>
        <v>12048850</v>
      </c>
      <c r="L55" s="50">
        <f>VLOOKUP($A55,'Data shares'!$C:$FB,61)*100</f>
        <v>-75.27000000000001</v>
      </c>
      <c r="M55" s="49">
        <f>VLOOKUP($A55,'Data shares'!$C:$FB,62)</f>
        <v>2107100</v>
      </c>
      <c r="N55" s="49">
        <f>VLOOKUP($A55,'Data shares'!$C:$FB,63)</f>
        <v>2042500</v>
      </c>
      <c r="O55" s="140">
        <f>VLOOKUP($A55,'Data shares'!$C:$FB,65)*100</f>
        <v>3.16</v>
      </c>
    </row>
    <row r="56" spans="1:15" x14ac:dyDescent="0.25">
      <c r="A56" s="101" t="str">
        <f>'Data shares'!C51</f>
        <v>CHOLAFIN</v>
      </c>
      <c r="B56" s="50">
        <f>VLOOKUP($A56,'Data shares'!$C:$FB,7)</f>
        <v>1443.2</v>
      </c>
      <c r="C56" s="50">
        <f>VLOOKUP($A56,'Data shares'!$C:$FB,10)*100</f>
        <v>-2.36</v>
      </c>
      <c r="D56" s="49">
        <f>VLOOKUP($A56,'Data shares'!$C:$FB,66)</f>
        <v>30255000</v>
      </c>
      <c r="E56" s="49">
        <f>VLOOKUP($A56,'Data shares'!$C:$FB,67)</f>
        <v>14141875</v>
      </c>
      <c r="F56" s="50">
        <f>VLOOKUP($A56,'Data shares'!$C:$FB,69)*100</f>
        <v>113.94</v>
      </c>
      <c r="G56" s="49">
        <f>VLOOKUP($A56,'Data shares'!$C:$FB,42)</f>
        <v>13586250</v>
      </c>
      <c r="H56" s="49">
        <f>VLOOKUP($A56,'Data shares'!$C:$FB,43)</f>
        <v>7418750</v>
      </c>
      <c r="I56" s="50">
        <f>VLOOKUP($A56,'Data shares'!$C:$FB,45)*100</f>
        <v>83.13000000000001</v>
      </c>
      <c r="J56" s="49">
        <f>VLOOKUP($A56,'Data shares'!$C:$FB,58)</f>
        <v>10028750</v>
      </c>
      <c r="K56" s="49">
        <f>VLOOKUP($A56,'Data shares'!$C:$FB,59)</f>
        <v>4839375</v>
      </c>
      <c r="L56" s="50">
        <f>VLOOKUP($A56,'Data shares'!$C:$FB,61)*100</f>
        <v>107.23</v>
      </c>
      <c r="M56" s="49">
        <f>VLOOKUP($A56,'Data shares'!$C:$FB,62)</f>
        <v>6640000</v>
      </c>
      <c r="N56" s="49">
        <f>VLOOKUP($A56,'Data shares'!$C:$FB,63)</f>
        <v>1883750</v>
      </c>
      <c r="O56" s="140">
        <f>VLOOKUP($A56,'Data shares'!$C:$FB,65)*100</f>
        <v>252.49</v>
      </c>
    </row>
    <row r="57" spans="1:15" x14ac:dyDescent="0.25">
      <c r="A57" s="101" t="str">
        <f>'Data shares'!C52</f>
        <v>CIPLA</v>
      </c>
      <c r="B57" s="50">
        <f>VLOOKUP($A57,'Data shares'!$C:$FB,7)</f>
        <v>1554.6</v>
      </c>
      <c r="C57" s="50">
        <f>VLOOKUP($A57,'Data shares'!$C:$FB,10)*100</f>
        <v>-0.31</v>
      </c>
      <c r="D57" s="49">
        <f>VLOOKUP($A57,'Data shares'!$C:$FB,66)</f>
        <v>11991375</v>
      </c>
      <c r="E57" s="49">
        <f>VLOOKUP($A57,'Data shares'!$C:$FB,67)</f>
        <v>18217125</v>
      </c>
      <c r="F57" s="50">
        <f>VLOOKUP($A57,'Data shares'!$C:$FB,69)*100</f>
        <v>-34.18</v>
      </c>
      <c r="G57" s="49">
        <f>VLOOKUP($A57,'Data shares'!$C:$FB,42)</f>
        <v>4557000</v>
      </c>
      <c r="H57" s="49">
        <f>VLOOKUP($A57,'Data shares'!$C:$FB,43)</f>
        <v>7696875</v>
      </c>
      <c r="I57" s="50">
        <f>VLOOKUP($A57,'Data shares'!$C:$FB,45)*100</f>
        <v>-40.79</v>
      </c>
      <c r="J57" s="49">
        <f>VLOOKUP($A57,'Data shares'!$C:$FB,58)</f>
        <v>3689625</v>
      </c>
      <c r="K57" s="49">
        <f>VLOOKUP($A57,'Data shares'!$C:$FB,59)</f>
        <v>6590250</v>
      </c>
      <c r="L57" s="50">
        <f>VLOOKUP($A57,'Data shares'!$C:$FB,61)*100</f>
        <v>-44.01</v>
      </c>
      <c r="M57" s="49">
        <f>VLOOKUP($A57,'Data shares'!$C:$FB,62)</f>
        <v>3744750</v>
      </c>
      <c r="N57" s="49">
        <f>VLOOKUP($A57,'Data shares'!$C:$FB,63)</f>
        <v>3930000</v>
      </c>
      <c r="O57" s="140">
        <f>VLOOKUP($A57,'Data shares'!$C:$FB,65)*100</f>
        <v>-4.71</v>
      </c>
    </row>
    <row r="58" spans="1:15" x14ac:dyDescent="0.25">
      <c r="A58" s="101" t="str">
        <f>'Data shares'!C53</f>
        <v>COALINDIA</v>
      </c>
      <c r="B58" s="50">
        <f>VLOOKUP($A58,'Data shares'!$C:$FB,7)</f>
        <v>376.35</v>
      </c>
      <c r="C58" s="50">
        <f>VLOOKUP($A58,'Data shares'!$C:$FB,10)*100</f>
        <v>-0.92999999999999994</v>
      </c>
      <c r="D58" s="49">
        <f>VLOOKUP($A58,'Data shares'!$C:$FB,66)</f>
        <v>85024350</v>
      </c>
      <c r="E58" s="49">
        <f>VLOOKUP($A58,'Data shares'!$C:$FB,67)</f>
        <v>85247100</v>
      </c>
      <c r="F58" s="50">
        <f>VLOOKUP($A58,'Data shares'!$C:$FB,69)*100</f>
        <v>-0.26</v>
      </c>
      <c r="G58" s="49">
        <f>VLOOKUP($A58,'Data shares'!$C:$FB,42)</f>
        <v>37393650</v>
      </c>
      <c r="H58" s="49">
        <f>VLOOKUP($A58,'Data shares'!$C:$FB,43)</f>
        <v>45933750</v>
      </c>
      <c r="I58" s="50">
        <f>VLOOKUP($A58,'Data shares'!$C:$FB,45)*100</f>
        <v>-18.59</v>
      </c>
      <c r="J58" s="49">
        <f>VLOOKUP($A58,'Data shares'!$C:$FB,58)</f>
        <v>28102950</v>
      </c>
      <c r="K58" s="49">
        <f>VLOOKUP($A58,'Data shares'!$C:$FB,59)</f>
        <v>22527450</v>
      </c>
      <c r="L58" s="50">
        <f>VLOOKUP($A58,'Data shares'!$C:$FB,61)*100</f>
        <v>24.75</v>
      </c>
      <c r="M58" s="49">
        <f>VLOOKUP($A58,'Data shares'!$C:$FB,62)</f>
        <v>19527750</v>
      </c>
      <c r="N58" s="49">
        <f>VLOOKUP($A58,'Data shares'!$C:$FB,63)</f>
        <v>16785900</v>
      </c>
      <c r="O58" s="140">
        <f>VLOOKUP($A58,'Data shares'!$C:$FB,65)*100</f>
        <v>16.329999999999998</v>
      </c>
    </row>
    <row r="59" spans="1:15" x14ac:dyDescent="0.25">
      <c r="A59" s="101" t="str">
        <f>'Data shares'!C54</f>
        <v>COFORGE</v>
      </c>
      <c r="B59" s="50">
        <f>VLOOKUP($A59,'Data shares'!$C:$FB,7)</f>
        <v>1748.2</v>
      </c>
      <c r="C59" s="50">
        <f>VLOOKUP($A59,'Data shares'!$C:$FB,10)*100</f>
        <v>-6.9999999999999993E-2</v>
      </c>
      <c r="D59" s="49">
        <f>VLOOKUP($A59,'Data shares'!$C:$FB,66)</f>
        <v>22522125</v>
      </c>
      <c r="E59" s="49">
        <f>VLOOKUP($A59,'Data shares'!$C:$FB,67)</f>
        <v>29263875</v>
      </c>
      <c r="F59" s="50">
        <f>VLOOKUP($A59,'Data shares'!$C:$FB,69)*100</f>
        <v>-23.04</v>
      </c>
      <c r="G59" s="49">
        <f>VLOOKUP($A59,'Data shares'!$C:$FB,42)</f>
        <v>9644250</v>
      </c>
      <c r="H59" s="49">
        <f>VLOOKUP($A59,'Data shares'!$C:$FB,43)</f>
        <v>10526250</v>
      </c>
      <c r="I59" s="50">
        <f>VLOOKUP($A59,'Data shares'!$C:$FB,45)*100</f>
        <v>-8.3800000000000008</v>
      </c>
      <c r="J59" s="49">
        <f>VLOOKUP($A59,'Data shares'!$C:$FB,58)</f>
        <v>8968125</v>
      </c>
      <c r="K59" s="49">
        <f>VLOOKUP($A59,'Data shares'!$C:$FB,59)</f>
        <v>14495625</v>
      </c>
      <c r="L59" s="50">
        <f>VLOOKUP($A59,'Data shares'!$C:$FB,61)*100</f>
        <v>-38.129999999999995</v>
      </c>
      <c r="M59" s="49">
        <f>VLOOKUP($A59,'Data shares'!$C:$FB,62)</f>
        <v>3909750</v>
      </c>
      <c r="N59" s="49">
        <f>VLOOKUP($A59,'Data shares'!$C:$FB,63)</f>
        <v>4242000</v>
      </c>
      <c r="O59" s="140">
        <f>VLOOKUP($A59,'Data shares'!$C:$FB,65)*100</f>
        <v>-7.8299999999999992</v>
      </c>
    </row>
    <row r="60" spans="1:15" x14ac:dyDescent="0.25">
      <c r="A60" s="101" t="str">
        <f>'Data shares'!C55</f>
        <v>COLPAL</v>
      </c>
      <c r="B60" s="50">
        <f>VLOOKUP($A60,'Data shares'!$C:$FB,7)</f>
        <v>2245.3000000000002</v>
      </c>
      <c r="C60" s="50">
        <f>VLOOKUP($A60,'Data shares'!$C:$FB,10)*100</f>
        <v>0.37</v>
      </c>
      <c r="D60" s="49">
        <f>VLOOKUP($A60,'Data shares'!$C:$FB,66)</f>
        <v>6554025</v>
      </c>
      <c r="E60" s="49">
        <f>VLOOKUP($A60,'Data shares'!$C:$FB,67)</f>
        <v>6438600</v>
      </c>
      <c r="F60" s="50">
        <f>VLOOKUP($A60,'Data shares'!$C:$FB,69)*100</f>
        <v>1.79</v>
      </c>
      <c r="G60" s="49">
        <f>VLOOKUP($A60,'Data shares'!$C:$FB,42)</f>
        <v>2773800</v>
      </c>
      <c r="H60" s="49">
        <f>VLOOKUP($A60,'Data shares'!$C:$FB,43)</f>
        <v>3112650</v>
      </c>
      <c r="I60" s="50">
        <f>VLOOKUP($A60,'Data shares'!$C:$FB,45)*100</f>
        <v>-10.89</v>
      </c>
      <c r="J60" s="49">
        <f>VLOOKUP($A60,'Data shares'!$C:$FB,58)</f>
        <v>2502900</v>
      </c>
      <c r="K60" s="49">
        <f>VLOOKUP($A60,'Data shares'!$C:$FB,59)</f>
        <v>2461950</v>
      </c>
      <c r="L60" s="50">
        <f>VLOOKUP($A60,'Data shares'!$C:$FB,61)*100</f>
        <v>1.66</v>
      </c>
      <c r="M60" s="49">
        <f>VLOOKUP($A60,'Data shares'!$C:$FB,62)</f>
        <v>1277325</v>
      </c>
      <c r="N60" s="49">
        <f>VLOOKUP($A60,'Data shares'!$C:$FB,63)</f>
        <v>864000</v>
      </c>
      <c r="O60" s="140">
        <f>VLOOKUP($A60,'Data shares'!$C:$FB,65)*100</f>
        <v>47.839999999999996</v>
      </c>
    </row>
    <row r="61" spans="1:15" x14ac:dyDescent="0.25">
      <c r="A61" s="101" t="str">
        <f>'Data shares'!C56</f>
        <v>CONCOR</v>
      </c>
      <c r="B61" s="50">
        <f>VLOOKUP($A61,'Data shares'!$C:$FB,7)</f>
        <v>578.20000000000005</v>
      </c>
      <c r="C61" s="50">
        <f>VLOOKUP($A61,'Data shares'!$C:$FB,10)*100</f>
        <v>-1.1900000000000002</v>
      </c>
      <c r="D61" s="49">
        <f>VLOOKUP($A61,'Data shares'!$C:$FB,66)</f>
        <v>17425000</v>
      </c>
      <c r="E61" s="49">
        <f>VLOOKUP($A61,'Data shares'!$C:$FB,67)</f>
        <v>24232500</v>
      </c>
      <c r="F61" s="50">
        <f>VLOOKUP($A61,'Data shares'!$C:$FB,69)*100</f>
        <v>-28.09</v>
      </c>
      <c r="G61" s="49">
        <f>VLOOKUP($A61,'Data shares'!$C:$FB,42)</f>
        <v>10966250</v>
      </c>
      <c r="H61" s="49">
        <f>VLOOKUP($A61,'Data shares'!$C:$FB,43)</f>
        <v>15541250</v>
      </c>
      <c r="I61" s="50">
        <f>VLOOKUP($A61,'Data shares'!$C:$FB,45)*100</f>
        <v>-29.439999999999998</v>
      </c>
      <c r="J61" s="49">
        <f>VLOOKUP($A61,'Data shares'!$C:$FB,58)</f>
        <v>3450000</v>
      </c>
      <c r="K61" s="49">
        <f>VLOOKUP($A61,'Data shares'!$C:$FB,59)</f>
        <v>5371250</v>
      </c>
      <c r="L61" s="50">
        <f>VLOOKUP($A61,'Data shares'!$C:$FB,61)*100</f>
        <v>-35.770000000000003</v>
      </c>
      <c r="M61" s="49">
        <f>VLOOKUP($A61,'Data shares'!$C:$FB,62)</f>
        <v>3008750</v>
      </c>
      <c r="N61" s="49">
        <f>VLOOKUP($A61,'Data shares'!$C:$FB,63)</f>
        <v>3320000</v>
      </c>
      <c r="O61" s="140">
        <f>VLOOKUP($A61,'Data shares'!$C:$FB,65)*100</f>
        <v>-9.379999999999999</v>
      </c>
    </row>
    <row r="62" spans="1:15" x14ac:dyDescent="0.25">
      <c r="A62" s="101" t="str">
        <f>'Data shares'!C57</f>
        <v>CROMPTON</v>
      </c>
      <c r="B62" s="50">
        <f>VLOOKUP($A62,'Data shares'!$C:$FB,7)</f>
        <v>323</v>
      </c>
      <c r="C62" s="50">
        <f>VLOOKUP($A62,'Data shares'!$C:$FB,10)*100</f>
        <v>-0.35000000000000003</v>
      </c>
      <c r="D62" s="49">
        <f>VLOOKUP($A62,'Data shares'!$C:$FB,66)</f>
        <v>19650600</v>
      </c>
      <c r="E62" s="49">
        <f>VLOOKUP($A62,'Data shares'!$C:$FB,67)</f>
        <v>35994600</v>
      </c>
      <c r="F62" s="50">
        <f>VLOOKUP($A62,'Data shares'!$C:$FB,69)*100</f>
        <v>-45.410000000000004</v>
      </c>
      <c r="G62" s="49">
        <f>VLOOKUP($A62,'Data shares'!$C:$FB,42)</f>
        <v>11984400</v>
      </c>
      <c r="H62" s="49">
        <f>VLOOKUP($A62,'Data shares'!$C:$FB,43)</f>
        <v>24656400</v>
      </c>
      <c r="I62" s="50">
        <f>VLOOKUP($A62,'Data shares'!$C:$FB,45)*100</f>
        <v>-51.39</v>
      </c>
      <c r="J62" s="49">
        <f>VLOOKUP($A62,'Data shares'!$C:$FB,58)</f>
        <v>3830400</v>
      </c>
      <c r="K62" s="49">
        <f>VLOOKUP($A62,'Data shares'!$C:$FB,59)</f>
        <v>6393600</v>
      </c>
      <c r="L62" s="50">
        <f>VLOOKUP($A62,'Data shares'!$C:$FB,61)*100</f>
        <v>-40.089999999999996</v>
      </c>
      <c r="M62" s="49">
        <f>VLOOKUP($A62,'Data shares'!$C:$FB,62)</f>
        <v>3835800</v>
      </c>
      <c r="N62" s="49">
        <f>VLOOKUP($A62,'Data shares'!$C:$FB,63)</f>
        <v>4944600</v>
      </c>
      <c r="O62" s="140">
        <f>VLOOKUP($A62,'Data shares'!$C:$FB,65)*100</f>
        <v>-22.42</v>
      </c>
    </row>
    <row r="63" spans="1:15" x14ac:dyDescent="0.25">
      <c r="A63" s="101" t="str">
        <f>'Data shares'!C58</f>
        <v>CUMMINSIND</v>
      </c>
      <c r="B63" s="50">
        <f>VLOOKUP($A63,'Data shares'!$C:$FB,7)</f>
        <v>3555.5</v>
      </c>
      <c r="C63" s="50">
        <f>VLOOKUP($A63,'Data shares'!$C:$FB,10)*100</f>
        <v>-0.74</v>
      </c>
      <c r="D63" s="49">
        <f>VLOOKUP($A63,'Data shares'!$C:$FB,66)</f>
        <v>3276600</v>
      </c>
      <c r="E63" s="49">
        <f>VLOOKUP($A63,'Data shares'!$C:$FB,67)</f>
        <v>3565800</v>
      </c>
      <c r="F63" s="50">
        <f>VLOOKUP($A63,'Data shares'!$C:$FB,69)*100</f>
        <v>-8.1100000000000012</v>
      </c>
      <c r="G63" s="49">
        <f>VLOOKUP($A63,'Data shares'!$C:$FB,42)</f>
        <v>1922800</v>
      </c>
      <c r="H63" s="49">
        <f>VLOOKUP($A63,'Data shares'!$C:$FB,43)</f>
        <v>2028600</v>
      </c>
      <c r="I63" s="50">
        <f>VLOOKUP($A63,'Data shares'!$C:$FB,45)*100</f>
        <v>-5.2200000000000006</v>
      </c>
      <c r="J63" s="49">
        <f>VLOOKUP($A63,'Data shares'!$C:$FB,58)</f>
        <v>779200</v>
      </c>
      <c r="K63" s="49">
        <f>VLOOKUP($A63,'Data shares'!$C:$FB,59)</f>
        <v>1015000</v>
      </c>
      <c r="L63" s="50">
        <f>VLOOKUP($A63,'Data shares'!$C:$FB,61)*100</f>
        <v>-23.23</v>
      </c>
      <c r="M63" s="49">
        <f>VLOOKUP($A63,'Data shares'!$C:$FB,62)</f>
        <v>574600</v>
      </c>
      <c r="N63" s="49">
        <f>VLOOKUP($A63,'Data shares'!$C:$FB,63)</f>
        <v>522200</v>
      </c>
      <c r="O63" s="140">
        <f>VLOOKUP($A63,'Data shares'!$C:$FB,65)*100</f>
        <v>10.029999999999999</v>
      </c>
    </row>
    <row r="64" spans="1:15" x14ac:dyDescent="0.25">
      <c r="A64" s="101" t="str">
        <f>'Data shares'!C59</f>
        <v>CYIENT</v>
      </c>
      <c r="B64" s="50">
        <f>VLOOKUP($A64,'Data shares'!$C:$FB,7)</f>
        <v>1205.5999999999999</v>
      </c>
      <c r="C64" s="50">
        <f>VLOOKUP($A64,'Data shares'!$C:$FB,10)*100</f>
        <v>-1.53</v>
      </c>
      <c r="D64" s="49">
        <f>VLOOKUP($A64,'Data shares'!$C:$FB,66)</f>
        <v>4214300</v>
      </c>
      <c r="E64" s="49">
        <f>VLOOKUP($A64,'Data shares'!$C:$FB,67)</f>
        <v>3468000</v>
      </c>
      <c r="F64" s="50">
        <f>VLOOKUP($A64,'Data shares'!$C:$FB,69)*100</f>
        <v>21.52</v>
      </c>
      <c r="G64" s="49">
        <f>VLOOKUP($A64,'Data shares'!$C:$FB,42)</f>
        <v>1959675</v>
      </c>
      <c r="H64" s="49">
        <f>VLOOKUP($A64,'Data shares'!$C:$FB,43)</f>
        <v>1805825</v>
      </c>
      <c r="I64" s="50">
        <f>VLOOKUP($A64,'Data shares'!$C:$FB,45)*100</f>
        <v>8.52</v>
      </c>
      <c r="J64" s="49">
        <f>VLOOKUP($A64,'Data shares'!$C:$FB,58)</f>
        <v>1238025</v>
      </c>
      <c r="K64" s="49">
        <f>VLOOKUP($A64,'Data shares'!$C:$FB,59)</f>
        <v>1289025</v>
      </c>
      <c r="L64" s="50">
        <f>VLOOKUP($A64,'Data shares'!$C:$FB,61)*100</f>
        <v>-3.9600000000000004</v>
      </c>
      <c r="M64" s="49">
        <f>VLOOKUP($A64,'Data shares'!$C:$FB,62)</f>
        <v>1016600</v>
      </c>
      <c r="N64" s="49">
        <f>VLOOKUP($A64,'Data shares'!$C:$FB,63)</f>
        <v>373150</v>
      </c>
      <c r="O64" s="140">
        <f>VLOOKUP($A64,'Data shares'!$C:$FB,65)*100</f>
        <v>172.44</v>
      </c>
    </row>
    <row r="65" spans="1:15" x14ac:dyDescent="0.25">
      <c r="A65" s="101" t="str">
        <f>'Data shares'!C60</f>
        <v>DABUR</v>
      </c>
      <c r="B65" s="50">
        <f>VLOOKUP($A65,'Data shares'!$C:$FB,7)</f>
        <v>529</v>
      </c>
      <c r="C65" s="50">
        <f>VLOOKUP($A65,'Data shares'!$C:$FB,10)*100</f>
        <v>1.34</v>
      </c>
      <c r="D65" s="49">
        <f>VLOOKUP($A65,'Data shares'!$C:$FB,66)</f>
        <v>52067500</v>
      </c>
      <c r="E65" s="49">
        <f>VLOOKUP($A65,'Data shares'!$C:$FB,67)</f>
        <v>24211250</v>
      </c>
      <c r="F65" s="50">
        <f>VLOOKUP($A65,'Data shares'!$C:$FB,69)*100</f>
        <v>115.05000000000001</v>
      </c>
      <c r="G65" s="49">
        <f>VLOOKUP($A65,'Data shares'!$C:$FB,42)</f>
        <v>11350000</v>
      </c>
      <c r="H65" s="49">
        <f>VLOOKUP($A65,'Data shares'!$C:$FB,43)</f>
        <v>11426250</v>
      </c>
      <c r="I65" s="50">
        <f>VLOOKUP($A65,'Data shares'!$C:$FB,45)*100</f>
        <v>-0.67</v>
      </c>
      <c r="J65" s="49">
        <f>VLOOKUP($A65,'Data shares'!$C:$FB,58)</f>
        <v>27936250</v>
      </c>
      <c r="K65" s="49">
        <f>VLOOKUP($A65,'Data shares'!$C:$FB,59)</f>
        <v>7411250</v>
      </c>
      <c r="L65" s="50">
        <f>VLOOKUP($A65,'Data shares'!$C:$FB,61)*100</f>
        <v>276.94</v>
      </c>
      <c r="M65" s="49">
        <f>VLOOKUP($A65,'Data shares'!$C:$FB,62)</f>
        <v>12781250</v>
      </c>
      <c r="N65" s="49">
        <f>VLOOKUP($A65,'Data shares'!$C:$FB,63)</f>
        <v>5373750</v>
      </c>
      <c r="O65" s="140">
        <f>VLOOKUP($A65,'Data shares'!$C:$FB,65)*100</f>
        <v>137.85</v>
      </c>
    </row>
    <row r="66" spans="1:15" x14ac:dyDescent="0.25">
      <c r="A66" s="101" t="str">
        <f>'Data shares'!C61</f>
        <v>DALBHARAT</v>
      </c>
      <c r="B66" s="50">
        <f>VLOOKUP($A66,'Data shares'!$C:$FB,7)</f>
        <v>2235.5</v>
      </c>
      <c r="C66" s="50">
        <f>VLOOKUP($A66,'Data shares'!$C:$FB,10)*100</f>
        <v>-0.18</v>
      </c>
      <c r="D66" s="49">
        <f>VLOOKUP($A66,'Data shares'!$C:$FB,66)</f>
        <v>2338375</v>
      </c>
      <c r="E66" s="49">
        <f>VLOOKUP($A66,'Data shares'!$C:$FB,67)</f>
        <v>3461575</v>
      </c>
      <c r="F66" s="50">
        <f>VLOOKUP($A66,'Data shares'!$C:$FB,69)*100</f>
        <v>-32.450000000000003</v>
      </c>
      <c r="G66" s="49">
        <f>VLOOKUP($A66,'Data shares'!$C:$FB,42)</f>
        <v>1131975</v>
      </c>
      <c r="H66" s="49">
        <f>VLOOKUP($A66,'Data shares'!$C:$FB,43)</f>
        <v>1976975</v>
      </c>
      <c r="I66" s="50">
        <f>VLOOKUP($A66,'Data shares'!$C:$FB,45)*100</f>
        <v>-42.74</v>
      </c>
      <c r="J66" s="49">
        <f>VLOOKUP($A66,'Data shares'!$C:$FB,58)</f>
        <v>580450</v>
      </c>
      <c r="K66" s="49">
        <f>VLOOKUP($A66,'Data shares'!$C:$FB,59)</f>
        <v>1002625</v>
      </c>
      <c r="L66" s="50">
        <f>VLOOKUP($A66,'Data shares'!$C:$FB,61)*100</f>
        <v>-42.11</v>
      </c>
      <c r="M66" s="49">
        <f>VLOOKUP($A66,'Data shares'!$C:$FB,62)</f>
        <v>625950</v>
      </c>
      <c r="N66" s="49">
        <f>VLOOKUP($A66,'Data shares'!$C:$FB,63)</f>
        <v>481975</v>
      </c>
      <c r="O66" s="140">
        <f>VLOOKUP($A66,'Data shares'!$C:$FB,65)*100</f>
        <v>29.87</v>
      </c>
    </row>
    <row r="67" spans="1:15" x14ac:dyDescent="0.25">
      <c r="A67" s="101" t="str">
        <f>'Data shares'!C62</f>
        <v>DELHIVERY</v>
      </c>
      <c r="B67" s="50">
        <f>VLOOKUP($A67,'Data shares'!$C:$FB,7)</f>
        <v>425.25</v>
      </c>
      <c r="C67" s="50">
        <f>VLOOKUP($A67,'Data shares'!$C:$FB,10)*100</f>
        <v>3.93</v>
      </c>
      <c r="D67" s="49">
        <f>VLOOKUP($A67,'Data shares'!$C:$FB,66)</f>
        <v>54292375</v>
      </c>
      <c r="E67" s="49">
        <f>VLOOKUP($A67,'Data shares'!$C:$FB,67)</f>
        <v>32469600</v>
      </c>
      <c r="F67" s="50">
        <f>VLOOKUP($A67,'Data shares'!$C:$FB,69)*100</f>
        <v>67.210000000000008</v>
      </c>
      <c r="G67" s="49">
        <f>VLOOKUP($A67,'Data shares'!$C:$FB,42)</f>
        <v>23310550</v>
      </c>
      <c r="H67" s="49">
        <f>VLOOKUP($A67,'Data shares'!$C:$FB,43)</f>
        <v>15155800</v>
      </c>
      <c r="I67" s="50">
        <f>VLOOKUP($A67,'Data shares'!$C:$FB,45)*100</f>
        <v>53.81</v>
      </c>
      <c r="J67" s="49">
        <f>VLOOKUP($A67,'Data shares'!$C:$FB,58)</f>
        <v>21965950</v>
      </c>
      <c r="K67" s="49">
        <f>VLOOKUP($A67,'Data shares'!$C:$FB,59)</f>
        <v>9283550</v>
      </c>
      <c r="L67" s="50">
        <f>VLOOKUP($A67,'Data shares'!$C:$FB,61)*100</f>
        <v>136.61000000000001</v>
      </c>
      <c r="M67" s="49">
        <f>VLOOKUP($A67,'Data shares'!$C:$FB,62)</f>
        <v>9015875</v>
      </c>
      <c r="N67" s="49">
        <f>VLOOKUP($A67,'Data shares'!$C:$FB,63)</f>
        <v>8030250</v>
      </c>
      <c r="O67" s="140">
        <f>VLOOKUP($A67,'Data shares'!$C:$FB,65)*100</f>
        <v>12.27</v>
      </c>
    </row>
    <row r="68" spans="1:15" x14ac:dyDescent="0.25">
      <c r="A68" s="101" t="str">
        <f>'Data shares'!C63</f>
        <v>DIVISLAB</v>
      </c>
      <c r="B68" s="50">
        <f>VLOOKUP($A68,'Data shares'!$C:$FB,7)</f>
        <v>6595.5</v>
      </c>
      <c r="C68" s="50">
        <f>VLOOKUP($A68,'Data shares'!$C:$FB,10)*100</f>
        <v>-0.82000000000000006</v>
      </c>
      <c r="D68" s="49">
        <f>VLOOKUP($A68,'Data shares'!$C:$FB,66)</f>
        <v>1896400</v>
      </c>
      <c r="E68" s="49">
        <f>VLOOKUP($A68,'Data shares'!$C:$FB,67)</f>
        <v>3662300</v>
      </c>
      <c r="F68" s="50">
        <f>VLOOKUP($A68,'Data shares'!$C:$FB,69)*100</f>
        <v>-48.22</v>
      </c>
      <c r="G68" s="49">
        <f>VLOOKUP($A68,'Data shares'!$C:$FB,42)</f>
        <v>758000</v>
      </c>
      <c r="H68" s="49">
        <f>VLOOKUP($A68,'Data shares'!$C:$FB,43)</f>
        <v>1954400</v>
      </c>
      <c r="I68" s="50">
        <f>VLOOKUP($A68,'Data shares'!$C:$FB,45)*100</f>
        <v>-61.22</v>
      </c>
      <c r="J68" s="49">
        <f>VLOOKUP($A68,'Data shares'!$C:$FB,58)</f>
        <v>734700</v>
      </c>
      <c r="K68" s="49">
        <f>VLOOKUP($A68,'Data shares'!$C:$FB,59)</f>
        <v>1236000</v>
      </c>
      <c r="L68" s="50">
        <f>VLOOKUP($A68,'Data shares'!$C:$FB,61)*100</f>
        <v>-40.56</v>
      </c>
      <c r="M68" s="49">
        <f>VLOOKUP($A68,'Data shares'!$C:$FB,62)</f>
        <v>403700</v>
      </c>
      <c r="N68" s="49">
        <f>VLOOKUP($A68,'Data shares'!$C:$FB,63)</f>
        <v>471900</v>
      </c>
      <c r="O68" s="140">
        <f>VLOOKUP($A68,'Data shares'!$C:$FB,65)*100</f>
        <v>-14.45</v>
      </c>
    </row>
    <row r="69" spans="1:15" x14ac:dyDescent="0.25">
      <c r="A69" s="101" t="str">
        <f>'Data shares'!C64</f>
        <v>DIXON</v>
      </c>
      <c r="B69" s="50">
        <f>VLOOKUP($A69,'Data shares'!$C:$FB,7)</f>
        <v>16841</v>
      </c>
      <c r="C69" s="50">
        <f>VLOOKUP($A69,'Data shares'!$C:$FB,10)*100</f>
        <v>0.44999999999999996</v>
      </c>
      <c r="D69" s="49">
        <f>VLOOKUP($A69,'Data shares'!$C:$FB,66)</f>
        <v>7660900</v>
      </c>
      <c r="E69" s="49">
        <f>VLOOKUP($A69,'Data shares'!$C:$FB,67)</f>
        <v>4430400</v>
      </c>
      <c r="F69" s="50">
        <f>VLOOKUP($A69,'Data shares'!$C:$FB,69)*100</f>
        <v>72.92</v>
      </c>
      <c r="G69" s="49">
        <f>VLOOKUP($A69,'Data shares'!$C:$FB,42)</f>
        <v>1560950</v>
      </c>
      <c r="H69" s="49">
        <f>VLOOKUP($A69,'Data shares'!$C:$FB,43)</f>
        <v>890650</v>
      </c>
      <c r="I69" s="50">
        <f>VLOOKUP($A69,'Data shares'!$C:$FB,45)*100</f>
        <v>75.260000000000005</v>
      </c>
      <c r="J69" s="49">
        <f>VLOOKUP($A69,'Data shares'!$C:$FB,58)</f>
        <v>3313600</v>
      </c>
      <c r="K69" s="49">
        <f>VLOOKUP($A69,'Data shares'!$C:$FB,59)</f>
        <v>1948500</v>
      </c>
      <c r="L69" s="50">
        <f>VLOOKUP($A69,'Data shares'!$C:$FB,61)*100</f>
        <v>70.06</v>
      </c>
      <c r="M69" s="49">
        <f>VLOOKUP($A69,'Data shares'!$C:$FB,62)</f>
        <v>2786350</v>
      </c>
      <c r="N69" s="49">
        <f>VLOOKUP($A69,'Data shares'!$C:$FB,63)</f>
        <v>1591250</v>
      </c>
      <c r="O69" s="140">
        <f>VLOOKUP($A69,'Data shares'!$C:$FB,65)*100</f>
        <v>75.099999999999994</v>
      </c>
    </row>
    <row r="70" spans="1:15" x14ac:dyDescent="0.25">
      <c r="A70" s="101" t="str">
        <f>'Data shares'!C65</f>
        <v>DLF</v>
      </c>
      <c r="B70" s="50">
        <f>VLOOKUP($A70,'Data shares'!$C:$FB,7)</f>
        <v>784.25</v>
      </c>
      <c r="C70" s="50">
        <f>VLOOKUP($A70,'Data shares'!$C:$FB,10)*100</f>
        <v>-0.57999999999999996</v>
      </c>
      <c r="D70" s="49">
        <f>VLOOKUP($A70,'Data shares'!$C:$FB,66)</f>
        <v>50207025</v>
      </c>
      <c r="E70" s="49">
        <f>VLOOKUP($A70,'Data shares'!$C:$FB,67)</f>
        <v>52408950</v>
      </c>
      <c r="F70" s="50">
        <f>VLOOKUP($A70,'Data shares'!$C:$FB,69)*100</f>
        <v>-4.2</v>
      </c>
      <c r="G70" s="49">
        <f>VLOOKUP($A70,'Data shares'!$C:$FB,42)</f>
        <v>18548475</v>
      </c>
      <c r="H70" s="49">
        <f>VLOOKUP($A70,'Data shares'!$C:$FB,43)</f>
        <v>19096275</v>
      </c>
      <c r="I70" s="50">
        <f>VLOOKUP($A70,'Data shares'!$C:$FB,45)*100</f>
        <v>-2.87</v>
      </c>
      <c r="J70" s="49">
        <f>VLOOKUP($A70,'Data shares'!$C:$FB,58)</f>
        <v>18139275</v>
      </c>
      <c r="K70" s="49">
        <f>VLOOKUP($A70,'Data shares'!$C:$FB,59)</f>
        <v>19074825</v>
      </c>
      <c r="L70" s="50">
        <f>VLOOKUP($A70,'Data shares'!$C:$FB,61)*100</f>
        <v>-4.9000000000000004</v>
      </c>
      <c r="M70" s="49">
        <f>VLOOKUP($A70,'Data shares'!$C:$FB,62)</f>
        <v>13519275</v>
      </c>
      <c r="N70" s="49">
        <f>VLOOKUP($A70,'Data shares'!$C:$FB,63)</f>
        <v>14237850</v>
      </c>
      <c r="O70" s="140">
        <f>VLOOKUP($A70,'Data shares'!$C:$FB,65)*100</f>
        <v>-5.0500000000000007</v>
      </c>
    </row>
    <row r="71" spans="1:15" x14ac:dyDescent="0.25">
      <c r="A71" s="101" t="str">
        <f>'Data shares'!C66</f>
        <v>DMART</v>
      </c>
      <c r="B71" s="50">
        <f>VLOOKUP($A71,'Data shares'!$C:$FB,7)</f>
        <v>4267.3999999999996</v>
      </c>
      <c r="C71" s="50">
        <f>VLOOKUP($A71,'Data shares'!$C:$FB,10)*100</f>
        <v>-0.33</v>
      </c>
      <c r="D71" s="49">
        <f>VLOOKUP($A71,'Data shares'!$C:$FB,66)</f>
        <v>20730300</v>
      </c>
      <c r="E71" s="49">
        <f>VLOOKUP($A71,'Data shares'!$C:$FB,67)</f>
        <v>62347350</v>
      </c>
      <c r="F71" s="50">
        <f>VLOOKUP($A71,'Data shares'!$C:$FB,69)*100</f>
        <v>-66.75</v>
      </c>
      <c r="G71" s="49">
        <f>VLOOKUP($A71,'Data shares'!$C:$FB,42)</f>
        <v>3116400</v>
      </c>
      <c r="H71" s="49">
        <f>VLOOKUP($A71,'Data shares'!$C:$FB,43)</f>
        <v>6720750</v>
      </c>
      <c r="I71" s="50">
        <f>VLOOKUP($A71,'Data shares'!$C:$FB,45)*100</f>
        <v>-53.63</v>
      </c>
      <c r="J71" s="49">
        <f>VLOOKUP($A71,'Data shares'!$C:$FB,58)</f>
        <v>11838450</v>
      </c>
      <c r="K71" s="49">
        <f>VLOOKUP($A71,'Data shares'!$C:$FB,59)</f>
        <v>42790950</v>
      </c>
      <c r="L71" s="50">
        <f>VLOOKUP($A71,'Data shares'!$C:$FB,61)*100</f>
        <v>-72.330000000000013</v>
      </c>
      <c r="M71" s="49">
        <f>VLOOKUP($A71,'Data shares'!$C:$FB,62)</f>
        <v>5775450</v>
      </c>
      <c r="N71" s="49">
        <f>VLOOKUP($A71,'Data shares'!$C:$FB,63)</f>
        <v>12835650</v>
      </c>
      <c r="O71" s="140">
        <f>VLOOKUP($A71,'Data shares'!$C:$FB,65)*100</f>
        <v>-55.000000000000007</v>
      </c>
    </row>
    <row r="72" spans="1:15" x14ac:dyDescent="0.25">
      <c r="A72" s="101" t="str">
        <f>'Data shares'!C67</f>
        <v>DRREDDY</v>
      </c>
      <c r="B72" s="50">
        <f>VLOOKUP($A72,'Data shares'!$C:$FB,7)</f>
        <v>1270.3</v>
      </c>
      <c r="C72" s="50">
        <f>VLOOKUP($A72,'Data shares'!$C:$FB,10)*100</f>
        <v>-1.69</v>
      </c>
      <c r="D72" s="49">
        <f>VLOOKUP($A72,'Data shares'!$C:$FB,66)</f>
        <v>23722500</v>
      </c>
      <c r="E72" s="49">
        <f>VLOOKUP($A72,'Data shares'!$C:$FB,67)</f>
        <v>25892500</v>
      </c>
      <c r="F72" s="50">
        <f>VLOOKUP($A72,'Data shares'!$C:$FB,69)*100</f>
        <v>-8.3800000000000008</v>
      </c>
      <c r="G72" s="49">
        <f>VLOOKUP($A72,'Data shares'!$C:$FB,42)</f>
        <v>7660625</v>
      </c>
      <c r="H72" s="49">
        <f>VLOOKUP($A72,'Data shares'!$C:$FB,43)</f>
        <v>7475625</v>
      </c>
      <c r="I72" s="50">
        <f>VLOOKUP($A72,'Data shares'!$C:$FB,45)*100</f>
        <v>2.4699999999999998</v>
      </c>
      <c r="J72" s="49">
        <f>VLOOKUP($A72,'Data shares'!$C:$FB,58)</f>
        <v>8288125</v>
      </c>
      <c r="K72" s="49">
        <f>VLOOKUP($A72,'Data shares'!$C:$FB,59)</f>
        <v>12195000</v>
      </c>
      <c r="L72" s="50">
        <f>VLOOKUP($A72,'Data shares'!$C:$FB,61)*100</f>
        <v>-32.04</v>
      </c>
      <c r="M72" s="49">
        <f>VLOOKUP($A72,'Data shares'!$C:$FB,62)</f>
        <v>7773750</v>
      </c>
      <c r="N72" s="49">
        <f>VLOOKUP($A72,'Data shares'!$C:$FB,63)</f>
        <v>6221875</v>
      </c>
      <c r="O72" s="140">
        <f>VLOOKUP($A72,'Data shares'!$C:$FB,65)*100</f>
        <v>24.94</v>
      </c>
    </row>
    <row r="73" spans="1:15" x14ac:dyDescent="0.25">
      <c r="A73" s="101" t="str">
        <f>'Data shares'!C68</f>
        <v>EICHERMOT</v>
      </c>
      <c r="B73" s="50">
        <f>VLOOKUP($A73,'Data shares'!$C:$FB,7)</f>
        <v>5468.5</v>
      </c>
      <c r="C73" s="50">
        <f>VLOOKUP($A73,'Data shares'!$C:$FB,10)*100</f>
        <v>-0.22999999999999998</v>
      </c>
      <c r="D73" s="49">
        <f>VLOOKUP($A73,'Data shares'!$C:$FB,66)</f>
        <v>4630675</v>
      </c>
      <c r="E73" s="49">
        <f>VLOOKUP($A73,'Data shares'!$C:$FB,67)</f>
        <v>6589100</v>
      </c>
      <c r="F73" s="50">
        <f>VLOOKUP($A73,'Data shares'!$C:$FB,69)*100</f>
        <v>-29.720000000000002</v>
      </c>
      <c r="G73" s="49">
        <f>VLOOKUP($A73,'Data shares'!$C:$FB,42)</f>
        <v>1295875</v>
      </c>
      <c r="H73" s="49">
        <f>VLOOKUP($A73,'Data shares'!$C:$FB,43)</f>
        <v>1834175</v>
      </c>
      <c r="I73" s="50">
        <f>VLOOKUP($A73,'Data shares'!$C:$FB,45)*100</f>
        <v>-29.349999999999998</v>
      </c>
      <c r="J73" s="49">
        <f>VLOOKUP($A73,'Data shares'!$C:$FB,58)</f>
        <v>2009525</v>
      </c>
      <c r="K73" s="49">
        <f>VLOOKUP($A73,'Data shares'!$C:$FB,59)</f>
        <v>3566675</v>
      </c>
      <c r="L73" s="50">
        <f>VLOOKUP($A73,'Data shares'!$C:$FB,61)*100</f>
        <v>-43.66</v>
      </c>
      <c r="M73" s="49">
        <f>VLOOKUP($A73,'Data shares'!$C:$FB,62)</f>
        <v>1325275</v>
      </c>
      <c r="N73" s="49">
        <f>VLOOKUP($A73,'Data shares'!$C:$FB,63)</f>
        <v>1188250</v>
      </c>
      <c r="O73" s="140">
        <f>VLOOKUP($A73,'Data shares'!$C:$FB,65)*100</f>
        <v>11.53</v>
      </c>
    </row>
    <row r="74" spans="1:15" x14ac:dyDescent="0.25">
      <c r="A74" s="101" t="str">
        <f>'Data shares'!C69</f>
        <v>ETERNAL</v>
      </c>
      <c r="B74" s="50">
        <f>VLOOKUP($A74,'Data shares'!$C:$FB,7)</f>
        <v>307.8</v>
      </c>
      <c r="C74" s="50">
        <f>VLOOKUP($A74,'Data shares'!$C:$FB,10)*100</f>
        <v>1.43</v>
      </c>
      <c r="D74" s="49">
        <f>VLOOKUP($A74,'Data shares'!$C:$FB,66)</f>
        <v>238789750</v>
      </c>
      <c r="E74" s="49">
        <f>VLOOKUP($A74,'Data shares'!$C:$FB,67)</f>
        <v>211324200</v>
      </c>
      <c r="F74" s="50">
        <f>VLOOKUP($A74,'Data shares'!$C:$FB,69)*100</f>
        <v>13</v>
      </c>
      <c r="G74" s="49">
        <f>VLOOKUP($A74,'Data shares'!$C:$FB,42)</f>
        <v>76014050</v>
      </c>
      <c r="H74" s="49">
        <f>VLOOKUP($A74,'Data shares'!$C:$FB,43)</f>
        <v>74833075</v>
      </c>
      <c r="I74" s="50">
        <f>VLOOKUP($A74,'Data shares'!$C:$FB,45)*100</f>
        <v>1.58</v>
      </c>
      <c r="J74" s="49">
        <f>VLOOKUP($A74,'Data shares'!$C:$FB,58)</f>
        <v>107088000</v>
      </c>
      <c r="K74" s="49">
        <f>VLOOKUP($A74,'Data shares'!$C:$FB,59)</f>
        <v>79697625</v>
      </c>
      <c r="L74" s="50">
        <f>VLOOKUP($A74,'Data shares'!$C:$FB,61)*100</f>
        <v>34.369999999999997</v>
      </c>
      <c r="M74" s="49">
        <f>VLOOKUP($A74,'Data shares'!$C:$FB,62)</f>
        <v>55687700</v>
      </c>
      <c r="N74" s="49">
        <f>VLOOKUP($A74,'Data shares'!$C:$FB,63)</f>
        <v>56793500</v>
      </c>
      <c r="O74" s="140">
        <f>VLOOKUP($A74,'Data shares'!$C:$FB,65)*100</f>
        <v>-1.95</v>
      </c>
    </row>
    <row r="75" spans="1:15" x14ac:dyDescent="0.25">
      <c r="A75" s="101" t="str">
        <f>'Data shares'!C70</f>
        <v>EXIDEIND</v>
      </c>
      <c r="B75" s="50">
        <f>VLOOKUP($A75,'Data shares'!$C:$FB,7)</f>
        <v>384.3</v>
      </c>
      <c r="C75" s="50">
        <f>VLOOKUP($A75,'Data shares'!$C:$FB,10)*100</f>
        <v>-1.73</v>
      </c>
      <c r="D75" s="49">
        <f>VLOOKUP($A75,'Data shares'!$C:$FB,66)</f>
        <v>26582400</v>
      </c>
      <c r="E75" s="49">
        <f>VLOOKUP($A75,'Data shares'!$C:$FB,67)</f>
        <v>27869400</v>
      </c>
      <c r="F75" s="50">
        <f>VLOOKUP($A75,'Data shares'!$C:$FB,69)*100</f>
        <v>-4.62</v>
      </c>
      <c r="G75" s="49">
        <f>VLOOKUP($A75,'Data shares'!$C:$FB,42)</f>
        <v>15521400</v>
      </c>
      <c r="H75" s="49">
        <f>VLOOKUP($A75,'Data shares'!$C:$FB,43)</f>
        <v>12007800</v>
      </c>
      <c r="I75" s="50">
        <f>VLOOKUP($A75,'Data shares'!$C:$FB,45)*100</f>
        <v>29.26</v>
      </c>
      <c r="J75" s="49">
        <f>VLOOKUP($A75,'Data shares'!$C:$FB,58)</f>
        <v>6849000</v>
      </c>
      <c r="K75" s="49">
        <f>VLOOKUP($A75,'Data shares'!$C:$FB,59)</f>
        <v>9451800</v>
      </c>
      <c r="L75" s="50">
        <f>VLOOKUP($A75,'Data shares'!$C:$FB,61)*100</f>
        <v>-27.54</v>
      </c>
      <c r="M75" s="49">
        <f>VLOOKUP($A75,'Data shares'!$C:$FB,62)</f>
        <v>4212000</v>
      </c>
      <c r="N75" s="49">
        <f>VLOOKUP($A75,'Data shares'!$C:$FB,63)</f>
        <v>6409800</v>
      </c>
      <c r="O75" s="140">
        <f>VLOOKUP($A75,'Data shares'!$C:$FB,65)*100</f>
        <v>-34.29</v>
      </c>
    </row>
    <row r="76" spans="1:15" x14ac:dyDescent="0.25">
      <c r="A76" s="101" t="str">
        <f>'Data shares'!C71</f>
        <v>FEDERALBNK</v>
      </c>
      <c r="B76" s="50">
        <f>VLOOKUP($A76,'Data shares'!$C:$FB,7)</f>
        <v>202.43</v>
      </c>
      <c r="C76" s="50">
        <f>VLOOKUP($A76,'Data shares'!$C:$FB,10)*100</f>
        <v>-1.0999999999999999</v>
      </c>
      <c r="D76" s="49">
        <f>VLOOKUP($A76,'Data shares'!$C:$FB,66)</f>
        <v>125340000</v>
      </c>
      <c r="E76" s="49">
        <f>VLOOKUP($A76,'Data shares'!$C:$FB,67)</f>
        <v>109340000</v>
      </c>
      <c r="F76" s="50">
        <f>VLOOKUP($A76,'Data shares'!$C:$FB,69)*100</f>
        <v>14.63</v>
      </c>
      <c r="G76" s="49">
        <f>VLOOKUP($A76,'Data shares'!$C:$FB,42)</f>
        <v>59575000</v>
      </c>
      <c r="H76" s="49">
        <f>VLOOKUP($A76,'Data shares'!$C:$FB,43)</f>
        <v>57965000</v>
      </c>
      <c r="I76" s="50">
        <f>VLOOKUP($A76,'Data shares'!$C:$FB,45)*100</f>
        <v>2.78</v>
      </c>
      <c r="J76" s="49">
        <f>VLOOKUP($A76,'Data shares'!$C:$FB,58)</f>
        <v>36020000</v>
      </c>
      <c r="K76" s="49">
        <f>VLOOKUP($A76,'Data shares'!$C:$FB,59)</f>
        <v>29345000</v>
      </c>
      <c r="L76" s="50">
        <f>VLOOKUP($A76,'Data shares'!$C:$FB,61)*100</f>
        <v>22.75</v>
      </c>
      <c r="M76" s="49">
        <f>VLOOKUP($A76,'Data shares'!$C:$FB,62)</f>
        <v>29745000</v>
      </c>
      <c r="N76" s="49">
        <f>VLOOKUP($A76,'Data shares'!$C:$FB,63)</f>
        <v>22030000</v>
      </c>
      <c r="O76" s="140">
        <f>VLOOKUP($A76,'Data shares'!$C:$FB,65)*100</f>
        <v>35.020000000000003</v>
      </c>
    </row>
    <row r="77" spans="1:15" x14ac:dyDescent="0.25">
      <c r="A77" s="101" t="str">
        <f>'Data shares'!C72</f>
        <v>FINNIFTY</v>
      </c>
      <c r="B77" s="50">
        <f>VLOOKUP($A77,'Data shares'!$C:$FB,7)</f>
        <v>26649.95</v>
      </c>
      <c r="C77" s="50">
        <f>VLOOKUP($A77,'Data shares'!$C:$FB,10)*100</f>
        <v>-0.2</v>
      </c>
      <c r="D77" s="49">
        <f>VLOOKUP($A77,'Data shares'!$C:$FB,66)</f>
        <v>397118280</v>
      </c>
      <c r="E77" s="49">
        <f>VLOOKUP($A77,'Data shares'!$C:$FB,67)</f>
        <v>61441250</v>
      </c>
      <c r="F77" s="50">
        <f>VLOOKUP($A77,'Data shares'!$C:$FB,69)*100</f>
        <v>546.34</v>
      </c>
      <c r="G77" s="49">
        <f>VLOOKUP($A77,'Data shares'!$C:$FB,42)</f>
        <v>112710</v>
      </c>
      <c r="H77" s="49">
        <f>VLOOKUP($A77,'Data shares'!$C:$FB,43)</f>
        <v>84110</v>
      </c>
      <c r="I77" s="50">
        <f>VLOOKUP($A77,'Data shares'!$C:$FB,45)*100</f>
        <v>34</v>
      </c>
      <c r="J77" s="49">
        <f>VLOOKUP($A77,'Data shares'!$C:$FB,58)</f>
        <v>214082960</v>
      </c>
      <c r="K77" s="49">
        <f>VLOOKUP($A77,'Data shares'!$C:$FB,59)</f>
        <v>34086585</v>
      </c>
      <c r="L77" s="50">
        <f>VLOOKUP($A77,'Data shares'!$C:$FB,61)*100</f>
        <v>528.05999999999995</v>
      </c>
      <c r="M77" s="49">
        <f>VLOOKUP($A77,'Data shares'!$C:$FB,62)</f>
        <v>182922610</v>
      </c>
      <c r="N77" s="49">
        <f>VLOOKUP($A77,'Data shares'!$C:$FB,63)</f>
        <v>27270555</v>
      </c>
      <c r="O77" s="140">
        <f>VLOOKUP($A77,'Data shares'!$C:$FB,65)*100</f>
        <v>570.77</v>
      </c>
    </row>
    <row r="78" spans="1:15" x14ac:dyDescent="0.25">
      <c r="A78" s="101" t="str">
        <f>'Data shares'!C73</f>
        <v>FORTIS</v>
      </c>
      <c r="B78" s="50">
        <f>VLOOKUP($A78,'Data shares'!$C:$FB,7)</f>
        <v>857.45</v>
      </c>
      <c r="C78" s="50">
        <f>VLOOKUP($A78,'Data shares'!$C:$FB,10)*100</f>
        <v>1.7500000000000002</v>
      </c>
      <c r="D78" s="49">
        <f>VLOOKUP($A78,'Data shares'!$C:$FB,66)</f>
        <v>10698100</v>
      </c>
      <c r="E78" s="49">
        <f>VLOOKUP($A78,'Data shares'!$C:$FB,67)</f>
        <v>10040900</v>
      </c>
      <c r="F78" s="50">
        <f>VLOOKUP($A78,'Data shares'!$C:$FB,69)*100</f>
        <v>6.5500000000000007</v>
      </c>
      <c r="G78" s="49">
        <f>VLOOKUP($A78,'Data shares'!$C:$FB,42)</f>
        <v>5967500</v>
      </c>
      <c r="H78" s="49">
        <f>VLOOKUP($A78,'Data shares'!$C:$FB,43)</f>
        <v>6300750</v>
      </c>
      <c r="I78" s="50">
        <f>VLOOKUP($A78,'Data shares'!$C:$FB,45)*100</f>
        <v>-5.29</v>
      </c>
      <c r="J78" s="49">
        <f>VLOOKUP($A78,'Data shares'!$C:$FB,58)</f>
        <v>3283675</v>
      </c>
      <c r="K78" s="49">
        <f>VLOOKUP($A78,'Data shares'!$C:$FB,59)</f>
        <v>2340500</v>
      </c>
      <c r="L78" s="50">
        <f>VLOOKUP($A78,'Data shares'!$C:$FB,61)*100</f>
        <v>40.300000000000004</v>
      </c>
      <c r="M78" s="49">
        <f>VLOOKUP($A78,'Data shares'!$C:$FB,62)</f>
        <v>1446925</v>
      </c>
      <c r="N78" s="49">
        <f>VLOOKUP($A78,'Data shares'!$C:$FB,63)</f>
        <v>1399650</v>
      </c>
      <c r="O78" s="140">
        <f>VLOOKUP($A78,'Data shares'!$C:$FB,65)*100</f>
        <v>3.38</v>
      </c>
    </row>
    <row r="79" spans="1:15" x14ac:dyDescent="0.25">
      <c r="A79" s="101" t="str">
        <f>'Data shares'!C74</f>
        <v>GAIL</v>
      </c>
      <c r="B79" s="50">
        <f>VLOOKUP($A79,'Data shares'!$C:$FB,7)</f>
        <v>177.68</v>
      </c>
      <c r="C79" s="50">
        <f>VLOOKUP($A79,'Data shares'!$C:$FB,10)*100</f>
        <v>-1.6</v>
      </c>
      <c r="D79" s="49">
        <f>VLOOKUP($A79,'Data shares'!$C:$FB,66)</f>
        <v>94909500</v>
      </c>
      <c r="E79" s="49">
        <f>VLOOKUP($A79,'Data shares'!$C:$FB,67)</f>
        <v>118269900</v>
      </c>
      <c r="F79" s="50">
        <f>VLOOKUP($A79,'Data shares'!$C:$FB,69)*100</f>
        <v>-19.75</v>
      </c>
      <c r="G79" s="49">
        <f>VLOOKUP($A79,'Data shares'!$C:$FB,42)</f>
        <v>47139750</v>
      </c>
      <c r="H79" s="49">
        <f>VLOOKUP($A79,'Data shares'!$C:$FB,43)</f>
        <v>57818250</v>
      </c>
      <c r="I79" s="50">
        <f>VLOOKUP($A79,'Data shares'!$C:$FB,45)*100</f>
        <v>-18.47</v>
      </c>
      <c r="J79" s="49">
        <f>VLOOKUP($A79,'Data shares'!$C:$FB,58)</f>
        <v>24954300</v>
      </c>
      <c r="K79" s="49">
        <f>VLOOKUP($A79,'Data shares'!$C:$FB,59)</f>
        <v>35336700</v>
      </c>
      <c r="L79" s="50">
        <f>VLOOKUP($A79,'Data shares'!$C:$FB,61)*100</f>
        <v>-29.38</v>
      </c>
      <c r="M79" s="49">
        <f>VLOOKUP($A79,'Data shares'!$C:$FB,62)</f>
        <v>22815450</v>
      </c>
      <c r="N79" s="49">
        <f>VLOOKUP($A79,'Data shares'!$C:$FB,63)</f>
        <v>25114950</v>
      </c>
      <c r="O79" s="140">
        <f>VLOOKUP($A79,'Data shares'!$C:$FB,65)*100</f>
        <v>-9.16</v>
      </c>
    </row>
    <row r="80" spans="1:15" x14ac:dyDescent="0.25">
      <c r="A80" s="101" t="str">
        <f>'Data shares'!C75</f>
        <v>GLENMARK</v>
      </c>
      <c r="B80" s="50">
        <f>VLOOKUP($A80,'Data shares'!$C:$FB,7)</f>
        <v>2134.1</v>
      </c>
      <c r="C80" s="50">
        <f>VLOOKUP($A80,'Data shares'!$C:$FB,10)*100</f>
        <v>-0.91</v>
      </c>
      <c r="D80" s="49">
        <f>VLOOKUP($A80,'Data shares'!$C:$FB,66)</f>
        <v>12247125</v>
      </c>
      <c r="E80" s="49">
        <f>VLOOKUP($A80,'Data shares'!$C:$FB,67)</f>
        <v>9367500</v>
      </c>
      <c r="F80" s="50">
        <f>VLOOKUP($A80,'Data shares'!$C:$FB,69)*100</f>
        <v>30.740000000000002</v>
      </c>
      <c r="G80" s="49">
        <f>VLOOKUP($A80,'Data shares'!$C:$FB,42)</f>
        <v>4757250</v>
      </c>
      <c r="H80" s="49">
        <f>VLOOKUP($A80,'Data shares'!$C:$FB,43)</f>
        <v>4217250</v>
      </c>
      <c r="I80" s="50">
        <f>VLOOKUP($A80,'Data shares'!$C:$FB,45)*100</f>
        <v>12.8</v>
      </c>
      <c r="J80" s="49">
        <f>VLOOKUP($A80,'Data shares'!$C:$FB,58)</f>
        <v>4377000</v>
      </c>
      <c r="K80" s="49">
        <f>VLOOKUP($A80,'Data shares'!$C:$FB,59)</f>
        <v>2889000</v>
      </c>
      <c r="L80" s="50">
        <f>VLOOKUP($A80,'Data shares'!$C:$FB,61)*100</f>
        <v>51.51</v>
      </c>
      <c r="M80" s="49">
        <f>VLOOKUP($A80,'Data shares'!$C:$FB,62)</f>
        <v>3112875</v>
      </c>
      <c r="N80" s="49">
        <f>VLOOKUP($A80,'Data shares'!$C:$FB,63)</f>
        <v>2261250</v>
      </c>
      <c r="O80" s="140">
        <f>VLOOKUP($A80,'Data shares'!$C:$FB,65)*100</f>
        <v>37.659999999999997</v>
      </c>
    </row>
    <row r="81" spans="1:15" x14ac:dyDescent="0.25">
      <c r="A81" s="101" t="str">
        <f>'Data shares'!C76</f>
        <v>GMRAIRPORT</v>
      </c>
      <c r="B81" s="50">
        <f>VLOOKUP($A81,'Data shares'!$C:$FB,7)</f>
        <v>90.06</v>
      </c>
      <c r="C81" s="50">
        <f>VLOOKUP($A81,'Data shares'!$C:$FB,10)*100</f>
        <v>0.24</v>
      </c>
      <c r="D81" s="49">
        <f>VLOOKUP($A81,'Data shares'!$C:$FB,66)</f>
        <v>208838475</v>
      </c>
      <c r="E81" s="49">
        <f>VLOOKUP($A81,'Data shares'!$C:$FB,67)</f>
        <v>255075750</v>
      </c>
      <c r="F81" s="50">
        <f>VLOOKUP($A81,'Data shares'!$C:$FB,69)*100</f>
        <v>-18.13</v>
      </c>
      <c r="G81" s="49">
        <f>VLOOKUP($A81,'Data shares'!$C:$FB,42)</f>
        <v>106445475</v>
      </c>
      <c r="H81" s="49">
        <f>VLOOKUP($A81,'Data shares'!$C:$FB,43)</f>
        <v>131269500</v>
      </c>
      <c r="I81" s="50">
        <f>VLOOKUP($A81,'Data shares'!$C:$FB,45)*100</f>
        <v>-18.91</v>
      </c>
      <c r="J81" s="49">
        <f>VLOOKUP($A81,'Data shares'!$C:$FB,58)</f>
        <v>50519925</v>
      </c>
      <c r="K81" s="49">
        <f>VLOOKUP($A81,'Data shares'!$C:$FB,59)</f>
        <v>88589475</v>
      </c>
      <c r="L81" s="50">
        <f>VLOOKUP($A81,'Data shares'!$C:$FB,61)*100</f>
        <v>-42.970000000000006</v>
      </c>
      <c r="M81" s="49">
        <f>VLOOKUP($A81,'Data shares'!$C:$FB,62)</f>
        <v>51873075</v>
      </c>
      <c r="N81" s="49">
        <f>VLOOKUP($A81,'Data shares'!$C:$FB,63)</f>
        <v>35216775</v>
      </c>
      <c r="O81" s="140">
        <f>VLOOKUP($A81,'Data shares'!$C:$FB,65)*100</f>
        <v>47.3</v>
      </c>
    </row>
    <row r="82" spans="1:15" x14ac:dyDescent="0.25">
      <c r="A82" s="101" t="str">
        <f>'Data shares'!C77</f>
        <v>GODREJCP</v>
      </c>
      <c r="B82" s="50">
        <f>VLOOKUP($A82,'Data shares'!$C:$FB,7)</f>
        <v>1259</v>
      </c>
      <c r="C82" s="50">
        <f>VLOOKUP($A82,'Data shares'!$C:$FB,10)*100</f>
        <v>3.49</v>
      </c>
      <c r="D82" s="49">
        <f>VLOOKUP($A82,'Data shares'!$C:$FB,66)</f>
        <v>14718500</v>
      </c>
      <c r="E82" s="49">
        <f>VLOOKUP($A82,'Data shares'!$C:$FB,67)</f>
        <v>8014000</v>
      </c>
      <c r="F82" s="50">
        <f>VLOOKUP($A82,'Data shares'!$C:$FB,69)*100</f>
        <v>83.66</v>
      </c>
      <c r="G82" s="49">
        <f>VLOOKUP($A82,'Data shares'!$C:$FB,42)</f>
        <v>6786500</v>
      </c>
      <c r="H82" s="49">
        <f>VLOOKUP($A82,'Data shares'!$C:$FB,43)</f>
        <v>4902000</v>
      </c>
      <c r="I82" s="50">
        <f>VLOOKUP($A82,'Data shares'!$C:$FB,45)*100</f>
        <v>38.440000000000005</v>
      </c>
      <c r="J82" s="49">
        <f>VLOOKUP($A82,'Data shares'!$C:$FB,58)</f>
        <v>6625000</v>
      </c>
      <c r="K82" s="49">
        <f>VLOOKUP($A82,'Data shares'!$C:$FB,59)</f>
        <v>2242500</v>
      </c>
      <c r="L82" s="50">
        <f>VLOOKUP($A82,'Data shares'!$C:$FB,61)*100</f>
        <v>195.43</v>
      </c>
      <c r="M82" s="49">
        <f>VLOOKUP($A82,'Data shares'!$C:$FB,62)</f>
        <v>1307000</v>
      </c>
      <c r="N82" s="49">
        <f>VLOOKUP($A82,'Data shares'!$C:$FB,63)</f>
        <v>869500</v>
      </c>
      <c r="O82" s="140">
        <f>VLOOKUP($A82,'Data shares'!$C:$FB,65)*100</f>
        <v>50.32</v>
      </c>
    </row>
    <row r="83" spans="1:15" x14ac:dyDescent="0.25">
      <c r="A83" s="101" t="str">
        <f>'Data shares'!C78</f>
        <v>GODREJPROP</v>
      </c>
      <c r="B83" s="50">
        <f>VLOOKUP($A83,'Data shares'!$C:$FB,7)</f>
        <v>2102.9</v>
      </c>
      <c r="C83" s="50">
        <f>VLOOKUP($A83,'Data shares'!$C:$FB,10)*100</f>
        <v>-1.24</v>
      </c>
      <c r="D83" s="49">
        <f>VLOOKUP($A83,'Data shares'!$C:$FB,66)</f>
        <v>7719800</v>
      </c>
      <c r="E83" s="49">
        <f>VLOOKUP($A83,'Data shares'!$C:$FB,67)</f>
        <v>7321325</v>
      </c>
      <c r="F83" s="50">
        <f>VLOOKUP($A83,'Data shares'!$C:$FB,69)*100</f>
        <v>5.4399999999999995</v>
      </c>
      <c r="G83" s="49">
        <f>VLOOKUP($A83,'Data shares'!$C:$FB,42)</f>
        <v>3648425</v>
      </c>
      <c r="H83" s="49">
        <f>VLOOKUP($A83,'Data shares'!$C:$FB,43)</f>
        <v>4182475</v>
      </c>
      <c r="I83" s="50">
        <f>VLOOKUP($A83,'Data shares'!$C:$FB,45)*100</f>
        <v>-12.770000000000001</v>
      </c>
      <c r="J83" s="49">
        <f>VLOOKUP($A83,'Data shares'!$C:$FB,58)</f>
        <v>2666400</v>
      </c>
      <c r="K83" s="49">
        <f>VLOOKUP($A83,'Data shares'!$C:$FB,59)</f>
        <v>2060300</v>
      </c>
      <c r="L83" s="50">
        <f>VLOOKUP($A83,'Data shares'!$C:$FB,61)*100</f>
        <v>29.42</v>
      </c>
      <c r="M83" s="49">
        <f>VLOOKUP($A83,'Data shares'!$C:$FB,62)</f>
        <v>1404975</v>
      </c>
      <c r="N83" s="49">
        <f>VLOOKUP($A83,'Data shares'!$C:$FB,63)</f>
        <v>1078550</v>
      </c>
      <c r="O83" s="140">
        <f>VLOOKUP($A83,'Data shares'!$C:$FB,65)*100</f>
        <v>30.270000000000003</v>
      </c>
    </row>
    <row r="84" spans="1:15" x14ac:dyDescent="0.25">
      <c r="A84" s="101" t="str">
        <f>'Data shares'!C79</f>
        <v>GRANULES</v>
      </c>
      <c r="B84" s="50">
        <f>VLOOKUP($A84,'Data shares'!$C:$FB,7)</f>
        <v>474.9</v>
      </c>
      <c r="C84" s="50">
        <f>VLOOKUP($A84,'Data shares'!$C:$FB,10)*100</f>
        <v>-3.51</v>
      </c>
      <c r="D84" s="49">
        <f>VLOOKUP($A84,'Data shares'!$C:$FB,66)</f>
        <v>17267725</v>
      </c>
      <c r="E84" s="49">
        <f>VLOOKUP($A84,'Data shares'!$C:$FB,67)</f>
        <v>15999225</v>
      </c>
      <c r="F84" s="50">
        <f>VLOOKUP($A84,'Data shares'!$C:$FB,69)*100</f>
        <v>7.93</v>
      </c>
      <c r="G84" s="49">
        <f>VLOOKUP($A84,'Data shares'!$C:$FB,42)</f>
        <v>11357375</v>
      </c>
      <c r="H84" s="49">
        <f>VLOOKUP($A84,'Data shares'!$C:$FB,43)</f>
        <v>6268325</v>
      </c>
      <c r="I84" s="50">
        <f>VLOOKUP($A84,'Data shares'!$C:$FB,45)*100</f>
        <v>81.19</v>
      </c>
      <c r="J84" s="49">
        <f>VLOOKUP($A84,'Data shares'!$C:$FB,58)</f>
        <v>3365825</v>
      </c>
      <c r="K84" s="49">
        <f>VLOOKUP($A84,'Data shares'!$C:$FB,59)</f>
        <v>7317525</v>
      </c>
      <c r="L84" s="50">
        <f>VLOOKUP($A84,'Data shares'!$C:$FB,61)*100</f>
        <v>-54</v>
      </c>
      <c r="M84" s="49">
        <f>VLOOKUP($A84,'Data shares'!$C:$FB,62)</f>
        <v>2544525</v>
      </c>
      <c r="N84" s="49">
        <f>VLOOKUP($A84,'Data shares'!$C:$FB,63)</f>
        <v>2413375</v>
      </c>
      <c r="O84" s="140">
        <f>VLOOKUP($A84,'Data shares'!$C:$FB,65)*100</f>
        <v>5.43</v>
      </c>
    </row>
    <row r="85" spans="1:15" x14ac:dyDescent="0.25">
      <c r="A85" s="101" t="str">
        <f>'Data shares'!C80</f>
        <v>GRASIM</v>
      </c>
      <c r="B85" s="50">
        <f>VLOOKUP($A85,'Data shares'!$C:$FB,7)</f>
        <v>2746.4</v>
      </c>
      <c r="C85" s="50">
        <f>VLOOKUP($A85,'Data shares'!$C:$FB,10)*100</f>
        <v>-0.44</v>
      </c>
      <c r="D85" s="49">
        <f>VLOOKUP($A85,'Data shares'!$C:$FB,66)</f>
        <v>6286500</v>
      </c>
      <c r="E85" s="49">
        <f>VLOOKUP($A85,'Data shares'!$C:$FB,67)</f>
        <v>12929500</v>
      </c>
      <c r="F85" s="50">
        <f>VLOOKUP($A85,'Data shares'!$C:$FB,69)*100</f>
        <v>-51.38</v>
      </c>
      <c r="G85" s="49">
        <f>VLOOKUP($A85,'Data shares'!$C:$FB,42)</f>
        <v>3849000</v>
      </c>
      <c r="H85" s="49">
        <f>VLOOKUP($A85,'Data shares'!$C:$FB,43)</f>
        <v>6114500</v>
      </c>
      <c r="I85" s="50">
        <f>VLOOKUP($A85,'Data shares'!$C:$FB,45)*100</f>
        <v>-37.049999999999997</v>
      </c>
      <c r="J85" s="49">
        <f>VLOOKUP($A85,'Data shares'!$C:$FB,58)</f>
        <v>1653500</v>
      </c>
      <c r="K85" s="49">
        <f>VLOOKUP($A85,'Data shares'!$C:$FB,59)</f>
        <v>5577000</v>
      </c>
      <c r="L85" s="50">
        <f>VLOOKUP($A85,'Data shares'!$C:$FB,61)*100</f>
        <v>-70.349999999999994</v>
      </c>
      <c r="M85" s="49">
        <f>VLOOKUP($A85,'Data shares'!$C:$FB,62)</f>
        <v>784000</v>
      </c>
      <c r="N85" s="49">
        <f>VLOOKUP($A85,'Data shares'!$C:$FB,63)</f>
        <v>1238000</v>
      </c>
      <c r="O85" s="140">
        <f>VLOOKUP($A85,'Data shares'!$C:$FB,65)*100</f>
        <v>-36.67</v>
      </c>
    </row>
    <row r="86" spans="1:15" x14ac:dyDescent="0.25">
      <c r="A86" s="101" t="str">
        <f>'Data shares'!C81</f>
        <v>HAL</v>
      </c>
      <c r="B86" s="50">
        <f>VLOOKUP($A86,'Data shares'!$C:$FB,7)</f>
        <v>4533.8999999999996</v>
      </c>
      <c r="C86" s="50">
        <f>VLOOKUP($A86,'Data shares'!$C:$FB,10)*100</f>
        <v>-0.24</v>
      </c>
      <c r="D86" s="49">
        <f>VLOOKUP($A86,'Data shares'!$C:$FB,66)</f>
        <v>21395700</v>
      </c>
      <c r="E86" s="49">
        <f>VLOOKUP($A86,'Data shares'!$C:$FB,67)</f>
        <v>17887650</v>
      </c>
      <c r="F86" s="50">
        <f>VLOOKUP($A86,'Data shares'!$C:$FB,69)*100</f>
        <v>19.61</v>
      </c>
      <c r="G86" s="49">
        <f>VLOOKUP($A86,'Data shares'!$C:$FB,42)</f>
        <v>6504750</v>
      </c>
      <c r="H86" s="49">
        <f>VLOOKUP($A86,'Data shares'!$C:$FB,43)</f>
        <v>4144800</v>
      </c>
      <c r="I86" s="50">
        <f>VLOOKUP($A86,'Data shares'!$C:$FB,45)*100</f>
        <v>56.940000000000005</v>
      </c>
      <c r="J86" s="49">
        <f>VLOOKUP($A86,'Data shares'!$C:$FB,58)</f>
        <v>10335300</v>
      </c>
      <c r="K86" s="49">
        <f>VLOOKUP($A86,'Data shares'!$C:$FB,59)</f>
        <v>10495500</v>
      </c>
      <c r="L86" s="50">
        <f>VLOOKUP($A86,'Data shares'!$C:$FB,61)*100</f>
        <v>-1.53</v>
      </c>
      <c r="M86" s="49">
        <f>VLOOKUP($A86,'Data shares'!$C:$FB,62)</f>
        <v>4555650</v>
      </c>
      <c r="N86" s="49">
        <f>VLOOKUP($A86,'Data shares'!$C:$FB,63)</f>
        <v>3247350</v>
      </c>
      <c r="O86" s="140">
        <f>VLOOKUP($A86,'Data shares'!$C:$FB,65)*100</f>
        <v>40.29</v>
      </c>
    </row>
    <row r="87" spans="1:15" x14ac:dyDescent="0.25">
      <c r="A87" s="101" t="str">
        <f>'Data shares'!C82</f>
        <v>HAVELLS</v>
      </c>
      <c r="B87" s="50">
        <f>VLOOKUP($A87,'Data shares'!$C:$FB,7)</f>
        <v>1500.6</v>
      </c>
      <c r="C87" s="50">
        <f>VLOOKUP($A87,'Data shares'!$C:$FB,10)*100</f>
        <v>-1.79</v>
      </c>
      <c r="D87" s="49">
        <f>VLOOKUP($A87,'Data shares'!$C:$FB,66)</f>
        <v>7543500</v>
      </c>
      <c r="E87" s="49">
        <f>VLOOKUP($A87,'Data shares'!$C:$FB,67)</f>
        <v>8637000</v>
      </c>
      <c r="F87" s="50">
        <f>VLOOKUP($A87,'Data shares'!$C:$FB,69)*100</f>
        <v>-12.659999999999998</v>
      </c>
      <c r="G87" s="49">
        <f>VLOOKUP($A87,'Data shares'!$C:$FB,42)</f>
        <v>3569500</v>
      </c>
      <c r="H87" s="49">
        <f>VLOOKUP($A87,'Data shares'!$C:$FB,43)</f>
        <v>4952000</v>
      </c>
      <c r="I87" s="50">
        <f>VLOOKUP($A87,'Data shares'!$C:$FB,45)*100</f>
        <v>-27.92</v>
      </c>
      <c r="J87" s="49">
        <f>VLOOKUP($A87,'Data shares'!$C:$FB,58)</f>
        <v>2536500</v>
      </c>
      <c r="K87" s="49">
        <f>VLOOKUP($A87,'Data shares'!$C:$FB,59)</f>
        <v>2371000</v>
      </c>
      <c r="L87" s="50">
        <f>VLOOKUP($A87,'Data shares'!$C:$FB,61)*100</f>
        <v>6.98</v>
      </c>
      <c r="M87" s="49">
        <f>VLOOKUP($A87,'Data shares'!$C:$FB,62)</f>
        <v>1437500</v>
      </c>
      <c r="N87" s="49">
        <f>VLOOKUP($A87,'Data shares'!$C:$FB,63)</f>
        <v>1314000</v>
      </c>
      <c r="O87" s="140">
        <f>VLOOKUP($A87,'Data shares'!$C:$FB,65)*100</f>
        <v>9.4</v>
      </c>
    </row>
    <row r="88" spans="1:15" x14ac:dyDescent="0.25">
      <c r="A88" s="101" t="str">
        <f>'Data shares'!C83</f>
        <v>HCLTECH</v>
      </c>
      <c r="B88" s="50">
        <f>VLOOKUP($A88,'Data shares'!$C:$FB,7)</f>
        <v>1467.9</v>
      </c>
      <c r="C88" s="50">
        <f>VLOOKUP($A88,'Data shares'!$C:$FB,10)*100</f>
        <v>-0.57999999999999996</v>
      </c>
      <c r="D88" s="49">
        <f>VLOOKUP($A88,'Data shares'!$C:$FB,66)</f>
        <v>18006800</v>
      </c>
      <c r="E88" s="49">
        <f>VLOOKUP($A88,'Data shares'!$C:$FB,67)</f>
        <v>17554600</v>
      </c>
      <c r="F88" s="50">
        <f>VLOOKUP($A88,'Data shares'!$C:$FB,69)*100</f>
        <v>2.58</v>
      </c>
      <c r="G88" s="49">
        <f>VLOOKUP($A88,'Data shares'!$C:$FB,42)</f>
        <v>6936300</v>
      </c>
      <c r="H88" s="49">
        <f>VLOOKUP($A88,'Data shares'!$C:$FB,43)</f>
        <v>8880550</v>
      </c>
      <c r="I88" s="50">
        <f>VLOOKUP($A88,'Data shares'!$C:$FB,45)*100</f>
        <v>-21.89</v>
      </c>
      <c r="J88" s="49">
        <f>VLOOKUP($A88,'Data shares'!$C:$FB,58)</f>
        <v>6848450</v>
      </c>
      <c r="K88" s="49">
        <f>VLOOKUP($A88,'Data shares'!$C:$FB,59)</f>
        <v>5927950</v>
      </c>
      <c r="L88" s="50">
        <f>VLOOKUP($A88,'Data shares'!$C:$FB,61)*100</f>
        <v>15.53</v>
      </c>
      <c r="M88" s="49">
        <f>VLOOKUP($A88,'Data shares'!$C:$FB,62)</f>
        <v>4222050</v>
      </c>
      <c r="N88" s="49">
        <f>VLOOKUP($A88,'Data shares'!$C:$FB,63)</f>
        <v>2746100</v>
      </c>
      <c r="O88" s="140">
        <f>VLOOKUP($A88,'Data shares'!$C:$FB,65)*100</f>
        <v>53.75</v>
      </c>
    </row>
    <row r="89" spans="1:15" x14ac:dyDescent="0.25">
      <c r="A89" s="101" t="str">
        <f>'Data shares'!C84</f>
        <v>HDFCAMC</v>
      </c>
      <c r="B89" s="50">
        <f>VLOOKUP($A89,'Data shares'!$C:$FB,7)</f>
        <v>5650</v>
      </c>
      <c r="C89" s="50">
        <f>VLOOKUP($A89,'Data shares'!$C:$FB,10)*100</f>
        <v>-0.35000000000000003</v>
      </c>
      <c r="D89" s="49">
        <f>VLOOKUP($A89,'Data shares'!$C:$FB,66)</f>
        <v>4032300</v>
      </c>
      <c r="E89" s="49">
        <f>VLOOKUP($A89,'Data shares'!$C:$FB,67)</f>
        <v>5703900</v>
      </c>
      <c r="F89" s="50">
        <f>VLOOKUP($A89,'Data shares'!$C:$FB,69)*100</f>
        <v>-29.310000000000002</v>
      </c>
      <c r="G89" s="49">
        <f>VLOOKUP($A89,'Data shares'!$C:$FB,42)</f>
        <v>1170000</v>
      </c>
      <c r="H89" s="49">
        <f>VLOOKUP($A89,'Data shares'!$C:$FB,43)</f>
        <v>1585950</v>
      </c>
      <c r="I89" s="50">
        <f>VLOOKUP($A89,'Data shares'!$C:$FB,45)*100</f>
        <v>-26.229999999999997</v>
      </c>
      <c r="J89" s="49">
        <f>VLOOKUP($A89,'Data shares'!$C:$FB,58)</f>
        <v>1700700</v>
      </c>
      <c r="K89" s="49">
        <f>VLOOKUP($A89,'Data shares'!$C:$FB,59)</f>
        <v>2717700</v>
      </c>
      <c r="L89" s="50">
        <f>VLOOKUP($A89,'Data shares'!$C:$FB,61)*100</f>
        <v>-37.419999999999995</v>
      </c>
      <c r="M89" s="49">
        <f>VLOOKUP($A89,'Data shares'!$C:$FB,62)</f>
        <v>1161600</v>
      </c>
      <c r="N89" s="49">
        <f>VLOOKUP($A89,'Data shares'!$C:$FB,63)</f>
        <v>1400250</v>
      </c>
      <c r="O89" s="140">
        <f>VLOOKUP($A89,'Data shares'!$C:$FB,65)*100</f>
        <v>-17.04</v>
      </c>
    </row>
    <row r="90" spans="1:15" x14ac:dyDescent="0.25">
      <c r="A90" s="101" t="str">
        <f>'Data shares'!C85</f>
        <v>HDFCBANK</v>
      </c>
      <c r="B90" s="50">
        <f>VLOOKUP($A90,'Data shares'!$C:$FB,7)</f>
        <v>2018.2</v>
      </c>
      <c r="C90" s="50">
        <f>VLOOKUP($A90,'Data shares'!$C:$FB,10)*100</f>
        <v>-0.38</v>
      </c>
      <c r="D90" s="49">
        <f>VLOOKUP($A90,'Data shares'!$C:$FB,66)</f>
        <v>110622600</v>
      </c>
      <c r="E90" s="49">
        <f>VLOOKUP($A90,'Data shares'!$C:$FB,67)</f>
        <v>123238500</v>
      </c>
      <c r="F90" s="50">
        <f>VLOOKUP($A90,'Data shares'!$C:$FB,69)*100</f>
        <v>-10.24</v>
      </c>
      <c r="G90" s="49">
        <f>VLOOKUP($A90,'Data shares'!$C:$FB,42)</f>
        <v>36938000</v>
      </c>
      <c r="H90" s="49">
        <f>VLOOKUP($A90,'Data shares'!$C:$FB,43)</f>
        <v>56203950</v>
      </c>
      <c r="I90" s="50">
        <f>VLOOKUP($A90,'Data shares'!$C:$FB,45)*100</f>
        <v>-34.28</v>
      </c>
      <c r="J90" s="49">
        <f>VLOOKUP($A90,'Data shares'!$C:$FB,58)</f>
        <v>37076600</v>
      </c>
      <c r="K90" s="49">
        <f>VLOOKUP($A90,'Data shares'!$C:$FB,59)</f>
        <v>37012800</v>
      </c>
      <c r="L90" s="50">
        <f>VLOOKUP($A90,'Data shares'!$C:$FB,61)*100</f>
        <v>0.16999999999999998</v>
      </c>
      <c r="M90" s="49">
        <f>VLOOKUP($A90,'Data shares'!$C:$FB,62)</f>
        <v>36608000</v>
      </c>
      <c r="N90" s="49">
        <f>VLOOKUP($A90,'Data shares'!$C:$FB,63)</f>
        <v>30021750</v>
      </c>
      <c r="O90" s="140">
        <f>VLOOKUP($A90,'Data shares'!$C:$FB,65)*100</f>
        <v>21.94</v>
      </c>
    </row>
    <row r="91" spans="1:15" x14ac:dyDescent="0.25">
      <c r="A91" s="101" t="str">
        <f>'Data shares'!C86</f>
        <v>HDFCLIFE</v>
      </c>
      <c r="B91" s="50">
        <f>VLOOKUP($A91,'Data shares'!$C:$FB,7)</f>
        <v>755.5</v>
      </c>
      <c r="C91" s="50">
        <f>VLOOKUP($A91,'Data shares'!$C:$FB,10)*100</f>
        <v>-0.26</v>
      </c>
      <c r="D91" s="49">
        <f>VLOOKUP($A91,'Data shares'!$C:$FB,66)</f>
        <v>28092900</v>
      </c>
      <c r="E91" s="49">
        <f>VLOOKUP($A91,'Data shares'!$C:$FB,67)</f>
        <v>34598300</v>
      </c>
      <c r="F91" s="50">
        <f>VLOOKUP($A91,'Data shares'!$C:$FB,69)*100</f>
        <v>-18.8</v>
      </c>
      <c r="G91" s="49">
        <f>VLOOKUP($A91,'Data shares'!$C:$FB,42)</f>
        <v>12854600</v>
      </c>
      <c r="H91" s="49">
        <f>VLOOKUP($A91,'Data shares'!$C:$FB,43)</f>
        <v>22348700</v>
      </c>
      <c r="I91" s="50">
        <f>VLOOKUP($A91,'Data shares'!$C:$FB,45)*100</f>
        <v>-42.480000000000004</v>
      </c>
      <c r="J91" s="49">
        <f>VLOOKUP($A91,'Data shares'!$C:$FB,58)</f>
        <v>8274200</v>
      </c>
      <c r="K91" s="49">
        <f>VLOOKUP($A91,'Data shares'!$C:$FB,59)</f>
        <v>8156500</v>
      </c>
      <c r="L91" s="50">
        <f>VLOOKUP($A91,'Data shares'!$C:$FB,61)*100</f>
        <v>1.44</v>
      </c>
      <c r="M91" s="49">
        <f>VLOOKUP($A91,'Data shares'!$C:$FB,62)</f>
        <v>6964100</v>
      </c>
      <c r="N91" s="49">
        <f>VLOOKUP($A91,'Data shares'!$C:$FB,63)</f>
        <v>4093100</v>
      </c>
      <c r="O91" s="140">
        <f>VLOOKUP($A91,'Data shares'!$C:$FB,65)*100</f>
        <v>70.14</v>
      </c>
    </row>
    <row r="92" spans="1:15" x14ac:dyDescent="0.25">
      <c r="A92" s="101" t="str">
        <f>'Data shares'!C87</f>
        <v>HEROMOTOCO</v>
      </c>
      <c r="B92" s="50">
        <f>VLOOKUP($A92,'Data shares'!$C:$FB,7)</f>
        <v>4260.7</v>
      </c>
      <c r="C92" s="50">
        <f>VLOOKUP($A92,'Data shares'!$C:$FB,10)*100</f>
        <v>0.22</v>
      </c>
      <c r="D92" s="49">
        <f>VLOOKUP($A92,'Data shares'!$C:$FB,66)</f>
        <v>6779550</v>
      </c>
      <c r="E92" s="49">
        <f>VLOOKUP($A92,'Data shares'!$C:$FB,67)</f>
        <v>13927800</v>
      </c>
      <c r="F92" s="50">
        <f>VLOOKUP($A92,'Data shares'!$C:$FB,69)*100</f>
        <v>-51.32</v>
      </c>
      <c r="G92" s="49">
        <f>VLOOKUP($A92,'Data shares'!$C:$FB,42)</f>
        <v>2286450</v>
      </c>
      <c r="H92" s="49">
        <f>VLOOKUP($A92,'Data shares'!$C:$FB,43)</f>
        <v>4419300</v>
      </c>
      <c r="I92" s="50">
        <f>VLOOKUP($A92,'Data shares'!$C:$FB,45)*100</f>
        <v>-48.26</v>
      </c>
      <c r="J92" s="49">
        <f>VLOOKUP($A92,'Data shares'!$C:$FB,58)</f>
        <v>3106050</v>
      </c>
      <c r="K92" s="49">
        <f>VLOOKUP($A92,'Data shares'!$C:$FB,59)</f>
        <v>6631800</v>
      </c>
      <c r="L92" s="50">
        <f>VLOOKUP($A92,'Data shares'!$C:$FB,61)*100</f>
        <v>-53.16</v>
      </c>
      <c r="M92" s="49">
        <f>VLOOKUP($A92,'Data shares'!$C:$FB,62)</f>
        <v>1387050</v>
      </c>
      <c r="N92" s="49">
        <f>VLOOKUP($A92,'Data shares'!$C:$FB,63)</f>
        <v>2876700</v>
      </c>
      <c r="O92" s="140">
        <f>VLOOKUP($A92,'Data shares'!$C:$FB,65)*100</f>
        <v>-51.78</v>
      </c>
    </row>
    <row r="93" spans="1:15" x14ac:dyDescent="0.25">
      <c r="A93" s="101" t="str">
        <f>'Data shares'!C88</f>
        <v>HFCL</v>
      </c>
      <c r="B93" s="50">
        <f>VLOOKUP($A93,'Data shares'!$C:$FB,7)</f>
        <v>75.569999999999993</v>
      </c>
      <c r="C93" s="50">
        <f>VLOOKUP($A93,'Data shares'!$C:$FB,10)*100</f>
        <v>-1.8599999999999999</v>
      </c>
      <c r="D93" s="49">
        <f>VLOOKUP($A93,'Data shares'!$C:$FB,66)</f>
        <v>88100550</v>
      </c>
      <c r="E93" s="49">
        <f>VLOOKUP($A93,'Data shares'!$C:$FB,67)</f>
        <v>61655550</v>
      </c>
      <c r="F93" s="50">
        <f>VLOOKUP($A93,'Data shares'!$C:$FB,69)*100</f>
        <v>42.89</v>
      </c>
      <c r="G93" s="49">
        <f>VLOOKUP($A93,'Data shares'!$C:$FB,42)</f>
        <v>60307500</v>
      </c>
      <c r="H93" s="49">
        <f>VLOOKUP($A93,'Data shares'!$C:$FB,43)</f>
        <v>40022250</v>
      </c>
      <c r="I93" s="50">
        <f>VLOOKUP($A93,'Data shares'!$C:$FB,45)*100</f>
        <v>50.68</v>
      </c>
      <c r="J93" s="49">
        <f>VLOOKUP($A93,'Data shares'!$C:$FB,58)</f>
        <v>17163450</v>
      </c>
      <c r="K93" s="49">
        <f>VLOOKUP($A93,'Data shares'!$C:$FB,59)</f>
        <v>10997250</v>
      </c>
      <c r="L93" s="50">
        <f>VLOOKUP($A93,'Data shares'!$C:$FB,61)*100</f>
        <v>56.07</v>
      </c>
      <c r="M93" s="49">
        <f>VLOOKUP($A93,'Data shares'!$C:$FB,62)</f>
        <v>10629600</v>
      </c>
      <c r="N93" s="49">
        <f>VLOOKUP($A93,'Data shares'!$C:$FB,63)</f>
        <v>10636050</v>
      </c>
      <c r="O93" s="140">
        <f>VLOOKUP($A93,'Data shares'!$C:$FB,65)*100</f>
        <v>-0.06</v>
      </c>
    </row>
    <row r="94" spans="1:15" x14ac:dyDescent="0.25">
      <c r="A94" s="101" t="str">
        <f>'Data shares'!C89</f>
        <v>HINDALCO</v>
      </c>
      <c r="B94" s="50">
        <f>VLOOKUP($A94,'Data shares'!$C:$FB,7)</f>
        <v>683.05</v>
      </c>
      <c r="C94" s="50">
        <f>VLOOKUP($A94,'Data shares'!$C:$FB,10)*100</f>
        <v>-0.83</v>
      </c>
      <c r="D94" s="49">
        <f>VLOOKUP($A94,'Data shares'!$C:$FB,66)</f>
        <v>41442800</v>
      </c>
      <c r="E94" s="49">
        <f>VLOOKUP($A94,'Data shares'!$C:$FB,67)</f>
        <v>49483000</v>
      </c>
      <c r="F94" s="50">
        <f>VLOOKUP($A94,'Data shares'!$C:$FB,69)*100</f>
        <v>-16.25</v>
      </c>
      <c r="G94" s="49">
        <f>VLOOKUP($A94,'Data shares'!$C:$FB,42)</f>
        <v>20014400</v>
      </c>
      <c r="H94" s="49">
        <f>VLOOKUP($A94,'Data shares'!$C:$FB,43)</f>
        <v>30490600</v>
      </c>
      <c r="I94" s="50">
        <f>VLOOKUP($A94,'Data shares'!$C:$FB,45)*100</f>
        <v>-34.36</v>
      </c>
      <c r="J94" s="49">
        <f>VLOOKUP($A94,'Data shares'!$C:$FB,58)</f>
        <v>10647000</v>
      </c>
      <c r="K94" s="49">
        <f>VLOOKUP($A94,'Data shares'!$C:$FB,59)</f>
        <v>11278400</v>
      </c>
      <c r="L94" s="50">
        <f>VLOOKUP($A94,'Data shares'!$C:$FB,61)*100</f>
        <v>-5.6000000000000005</v>
      </c>
      <c r="M94" s="49">
        <f>VLOOKUP($A94,'Data shares'!$C:$FB,62)</f>
        <v>10781400</v>
      </c>
      <c r="N94" s="49">
        <f>VLOOKUP($A94,'Data shares'!$C:$FB,63)</f>
        <v>7714000</v>
      </c>
      <c r="O94" s="140">
        <f>VLOOKUP($A94,'Data shares'!$C:$FB,65)*100</f>
        <v>39.76</v>
      </c>
    </row>
    <row r="95" spans="1:15" x14ac:dyDescent="0.25">
      <c r="A95" s="101" t="str">
        <f>'Data shares'!C90</f>
        <v>HINDCOPPER</v>
      </c>
      <c r="B95" s="50">
        <f>VLOOKUP($A95,'Data shares'!$C:$FB,7)</f>
        <v>243.35</v>
      </c>
      <c r="C95" s="50">
        <f>VLOOKUP($A95,'Data shares'!$C:$FB,10)*100</f>
        <v>-5.81</v>
      </c>
      <c r="D95" s="49">
        <f>VLOOKUP($A95,'Data shares'!$C:$FB,66)</f>
        <v>20232750</v>
      </c>
      <c r="E95" s="49">
        <f>VLOOKUP($A95,'Data shares'!$C:$FB,67)</f>
        <v>26076000</v>
      </c>
      <c r="F95" s="50">
        <f>VLOOKUP($A95,'Data shares'!$C:$FB,69)*100</f>
        <v>-22.41</v>
      </c>
      <c r="G95" s="49">
        <f>VLOOKUP($A95,'Data shares'!$C:$FB,42)</f>
        <v>11212150</v>
      </c>
      <c r="H95" s="49">
        <f>VLOOKUP($A95,'Data shares'!$C:$FB,43)</f>
        <v>10552300</v>
      </c>
      <c r="I95" s="50">
        <f>VLOOKUP($A95,'Data shares'!$C:$FB,45)*100</f>
        <v>6.25</v>
      </c>
      <c r="J95" s="49">
        <f>VLOOKUP($A95,'Data shares'!$C:$FB,58)</f>
        <v>4293000</v>
      </c>
      <c r="K95" s="49">
        <f>VLOOKUP($A95,'Data shares'!$C:$FB,59)</f>
        <v>10292600</v>
      </c>
      <c r="L95" s="50">
        <f>VLOOKUP($A95,'Data shares'!$C:$FB,61)*100</f>
        <v>-58.29</v>
      </c>
      <c r="M95" s="49">
        <f>VLOOKUP($A95,'Data shares'!$C:$FB,62)</f>
        <v>4727600</v>
      </c>
      <c r="N95" s="49">
        <f>VLOOKUP($A95,'Data shares'!$C:$FB,63)</f>
        <v>5231100</v>
      </c>
      <c r="O95" s="140">
        <f>VLOOKUP($A95,'Data shares'!$C:$FB,65)*100</f>
        <v>-9.629999999999999</v>
      </c>
    </row>
    <row r="96" spans="1:15" x14ac:dyDescent="0.25">
      <c r="A96" s="101" t="str">
        <f>'Data shares'!C91</f>
        <v>HINDPETRO</v>
      </c>
      <c r="B96" s="50">
        <f>VLOOKUP($A96,'Data shares'!$C:$FB,7)</f>
        <v>418.45</v>
      </c>
      <c r="C96" s="50">
        <f>VLOOKUP($A96,'Data shares'!$C:$FB,10)*100</f>
        <v>-1.83</v>
      </c>
      <c r="D96" s="49">
        <f>VLOOKUP($A96,'Data shares'!$C:$FB,66)</f>
        <v>71053200</v>
      </c>
      <c r="E96" s="49">
        <f>VLOOKUP($A96,'Data shares'!$C:$FB,67)</f>
        <v>135276075</v>
      </c>
      <c r="F96" s="50">
        <f>VLOOKUP($A96,'Data shares'!$C:$FB,69)*100</f>
        <v>-47.48</v>
      </c>
      <c r="G96" s="49">
        <f>VLOOKUP($A96,'Data shares'!$C:$FB,42)</f>
        <v>35099325</v>
      </c>
      <c r="H96" s="49">
        <f>VLOOKUP($A96,'Data shares'!$C:$FB,43)</f>
        <v>57013875</v>
      </c>
      <c r="I96" s="50">
        <f>VLOOKUP($A96,'Data shares'!$C:$FB,45)*100</f>
        <v>-38.440000000000005</v>
      </c>
      <c r="J96" s="49">
        <f>VLOOKUP($A96,'Data shares'!$C:$FB,58)</f>
        <v>22923000</v>
      </c>
      <c r="K96" s="49">
        <f>VLOOKUP($A96,'Data shares'!$C:$FB,59)</f>
        <v>53786025</v>
      </c>
      <c r="L96" s="50">
        <f>VLOOKUP($A96,'Data shares'!$C:$FB,61)*100</f>
        <v>-57.379999999999995</v>
      </c>
      <c r="M96" s="49">
        <f>VLOOKUP($A96,'Data shares'!$C:$FB,62)</f>
        <v>13030875</v>
      </c>
      <c r="N96" s="49">
        <f>VLOOKUP($A96,'Data shares'!$C:$FB,63)</f>
        <v>24476175</v>
      </c>
      <c r="O96" s="140">
        <f>VLOOKUP($A96,'Data shares'!$C:$FB,65)*100</f>
        <v>-46.760000000000005</v>
      </c>
    </row>
    <row r="97" spans="1:15" x14ac:dyDescent="0.25">
      <c r="A97" s="101" t="str">
        <f>'Data shares'!C92</f>
        <v>HINDUNILVR</v>
      </c>
      <c r="B97" s="50">
        <f>VLOOKUP($A97,'Data shares'!$C:$FB,7)</f>
        <v>2521.1999999999998</v>
      </c>
      <c r="C97" s="50">
        <f>VLOOKUP($A97,'Data shares'!$C:$FB,10)*100</f>
        <v>3.44</v>
      </c>
      <c r="D97" s="49">
        <f>VLOOKUP($A97,'Data shares'!$C:$FB,66)</f>
        <v>110687100</v>
      </c>
      <c r="E97" s="49">
        <f>VLOOKUP($A97,'Data shares'!$C:$FB,67)</f>
        <v>42200700</v>
      </c>
      <c r="F97" s="50">
        <f>VLOOKUP($A97,'Data shares'!$C:$FB,69)*100</f>
        <v>162.29</v>
      </c>
      <c r="G97" s="49">
        <f>VLOOKUP($A97,'Data shares'!$C:$FB,42)</f>
        <v>15431700</v>
      </c>
      <c r="H97" s="49">
        <f>VLOOKUP($A97,'Data shares'!$C:$FB,43)</f>
        <v>13902900</v>
      </c>
      <c r="I97" s="50">
        <f>VLOOKUP($A97,'Data shares'!$C:$FB,45)*100</f>
        <v>11</v>
      </c>
      <c r="J97" s="49">
        <f>VLOOKUP($A97,'Data shares'!$C:$FB,58)</f>
        <v>65924100</v>
      </c>
      <c r="K97" s="49">
        <f>VLOOKUP($A97,'Data shares'!$C:$FB,59)</f>
        <v>16661400</v>
      </c>
      <c r="L97" s="50">
        <f>VLOOKUP($A97,'Data shares'!$C:$FB,61)*100</f>
        <v>295.67</v>
      </c>
      <c r="M97" s="49">
        <f>VLOOKUP($A97,'Data shares'!$C:$FB,62)</f>
        <v>29331300</v>
      </c>
      <c r="N97" s="49">
        <f>VLOOKUP($A97,'Data shares'!$C:$FB,63)</f>
        <v>11636400</v>
      </c>
      <c r="O97" s="140">
        <f>VLOOKUP($A97,'Data shares'!$C:$FB,65)*100</f>
        <v>152.07</v>
      </c>
    </row>
    <row r="98" spans="1:15" x14ac:dyDescent="0.25">
      <c r="A98" s="101" t="str">
        <f>'Data shares'!C93</f>
        <v>HINDZINC</v>
      </c>
      <c r="B98" s="50">
        <f>VLOOKUP($A98,'Data shares'!$C:$FB,7)</f>
        <v>424.05</v>
      </c>
      <c r="C98" s="50">
        <f>VLOOKUP($A98,'Data shares'!$C:$FB,10)*100</f>
        <v>-1.94</v>
      </c>
      <c r="D98" s="49">
        <f>VLOOKUP($A98,'Data shares'!$C:$FB,66)</f>
        <v>34879425</v>
      </c>
      <c r="E98" s="49">
        <f>VLOOKUP($A98,'Data shares'!$C:$FB,67)</f>
        <v>28371000</v>
      </c>
      <c r="F98" s="50">
        <f>VLOOKUP($A98,'Data shares'!$C:$FB,69)*100</f>
        <v>22.939999999999998</v>
      </c>
      <c r="G98" s="49">
        <f>VLOOKUP($A98,'Data shares'!$C:$FB,42)</f>
        <v>22636775</v>
      </c>
      <c r="H98" s="49">
        <f>VLOOKUP($A98,'Data shares'!$C:$FB,43)</f>
        <v>19086725</v>
      </c>
      <c r="I98" s="50">
        <f>VLOOKUP($A98,'Data shares'!$C:$FB,45)*100</f>
        <v>18.600000000000001</v>
      </c>
      <c r="J98" s="49">
        <f>VLOOKUP($A98,'Data shares'!$C:$FB,58)</f>
        <v>6906550</v>
      </c>
      <c r="K98" s="49">
        <f>VLOOKUP($A98,'Data shares'!$C:$FB,59)</f>
        <v>6226675</v>
      </c>
      <c r="L98" s="50">
        <f>VLOOKUP($A98,'Data shares'!$C:$FB,61)*100</f>
        <v>10.92</v>
      </c>
      <c r="M98" s="49">
        <f>VLOOKUP($A98,'Data shares'!$C:$FB,62)</f>
        <v>5336100</v>
      </c>
      <c r="N98" s="49">
        <f>VLOOKUP($A98,'Data shares'!$C:$FB,63)</f>
        <v>3057600</v>
      </c>
      <c r="O98" s="140">
        <f>VLOOKUP($A98,'Data shares'!$C:$FB,65)*100</f>
        <v>74.52</v>
      </c>
    </row>
    <row r="99" spans="1:15" x14ac:dyDescent="0.25">
      <c r="A99" s="101" t="str">
        <f>'Data shares'!C94</f>
        <v>HUDCO</v>
      </c>
      <c r="B99" s="50">
        <f>VLOOKUP($A99,'Data shares'!$C:$FB,7)</f>
        <v>212.27</v>
      </c>
      <c r="C99" s="50">
        <f>VLOOKUP($A99,'Data shares'!$C:$FB,10)*100</f>
        <v>-2.37</v>
      </c>
      <c r="D99" s="49">
        <f>VLOOKUP($A99,'Data shares'!$C:$FB,66)</f>
        <v>47810475</v>
      </c>
      <c r="E99" s="49">
        <f>VLOOKUP($A99,'Data shares'!$C:$FB,67)</f>
        <v>46195425</v>
      </c>
      <c r="F99" s="50">
        <f>VLOOKUP($A99,'Data shares'!$C:$FB,69)*100</f>
        <v>3.5000000000000004</v>
      </c>
      <c r="G99" s="49">
        <f>VLOOKUP($A99,'Data shares'!$C:$FB,42)</f>
        <v>32603475</v>
      </c>
      <c r="H99" s="49">
        <f>VLOOKUP($A99,'Data shares'!$C:$FB,43)</f>
        <v>30117075</v>
      </c>
      <c r="I99" s="50">
        <f>VLOOKUP($A99,'Data shares'!$C:$FB,45)*100</f>
        <v>8.2600000000000016</v>
      </c>
      <c r="J99" s="49">
        <f>VLOOKUP($A99,'Data shares'!$C:$FB,58)</f>
        <v>9787425</v>
      </c>
      <c r="K99" s="49">
        <f>VLOOKUP($A99,'Data shares'!$C:$FB,59)</f>
        <v>9884550</v>
      </c>
      <c r="L99" s="50">
        <f>VLOOKUP($A99,'Data shares'!$C:$FB,61)*100</f>
        <v>-0.98</v>
      </c>
      <c r="M99" s="49">
        <f>VLOOKUP($A99,'Data shares'!$C:$FB,62)</f>
        <v>5419575</v>
      </c>
      <c r="N99" s="49">
        <f>VLOOKUP($A99,'Data shares'!$C:$FB,63)</f>
        <v>6193800</v>
      </c>
      <c r="O99" s="140">
        <f>VLOOKUP($A99,'Data shares'!$C:$FB,65)*100</f>
        <v>-12.5</v>
      </c>
    </row>
    <row r="100" spans="1:15" x14ac:dyDescent="0.25">
      <c r="A100" s="101" t="str">
        <f>'Data shares'!C95</f>
        <v>ICICIBANK</v>
      </c>
      <c r="B100" s="50">
        <f>VLOOKUP($A100,'Data shares'!$C:$FB,7)</f>
        <v>1481.4</v>
      </c>
      <c r="C100" s="50">
        <f>VLOOKUP($A100,'Data shares'!$C:$FB,10)*100</f>
        <v>-6.9999999999999993E-2</v>
      </c>
      <c r="D100" s="49">
        <f>VLOOKUP($A100,'Data shares'!$C:$FB,66)</f>
        <v>99079400</v>
      </c>
      <c r="E100" s="49">
        <f>VLOOKUP($A100,'Data shares'!$C:$FB,67)</f>
        <v>87172400</v>
      </c>
      <c r="F100" s="50">
        <f>VLOOKUP($A100,'Data shares'!$C:$FB,69)*100</f>
        <v>13.66</v>
      </c>
      <c r="G100" s="49">
        <f>VLOOKUP($A100,'Data shares'!$C:$FB,42)</f>
        <v>31343900</v>
      </c>
      <c r="H100" s="49">
        <f>VLOOKUP($A100,'Data shares'!$C:$FB,43)</f>
        <v>39419100</v>
      </c>
      <c r="I100" s="50">
        <f>VLOOKUP($A100,'Data shares'!$C:$FB,45)*100</f>
        <v>-20.49</v>
      </c>
      <c r="J100" s="49">
        <f>VLOOKUP($A100,'Data shares'!$C:$FB,58)</f>
        <v>35469700</v>
      </c>
      <c r="K100" s="49">
        <f>VLOOKUP($A100,'Data shares'!$C:$FB,59)</f>
        <v>26112100</v>
      </c>
      <c r="L100" s="50">
        <f>VLOOKUP($A100,'Data shares'!$C:$FB,61)*100</f>
        <v>35.839999999999996</v>
      </c>
      <c r="M100" s="49">
        <f>VLOOKUP($A100,'Data shares'!$C:$FB,62)</f>
        <v>32265800</v>
      </c>
      <c r="N100" s="49">
        <f>VLOOKUP($A100,'Data shares'!$C:$FB,63)</f>
        <v>21641200</v>
      </c>
      <c r="O100" s="140">
        <f>VLOOKUP($A100,'Data shares'!$C:$FB,65)*100</f>
        <v>49.09</v>
      </c>
    </row>
    <row r="101" spans="1:15" x14ac:dyDescent="0.25">
      <c r="A101" s="101" t="str">
        <f>'Data shares'!C96</f>
        <v>ICICIGI</v>
      </c>
      <c r="B101" s="50">
        <f>VLOOKUP($A101,'Data shares'!$C:$FB,7)</f>
        <v>1927</v>
      </c>
      <c r="C101" s="50">
        <f>VLOOKUP($A101,'Data shares'!$C:$FB,10)*100</f>
        <v>0.33999999999999997</v>
      </c>
      <c r="D101" s="49">
        <f>VLOOKUP($A101,'Data shares'!$C:$FB,66)</f>
        <v>4068025</v>
      </c>
      <c r="E101" s="49">
        <f>VLOOKUP($A101,'Data shares'!$C:$FB,67)</f>
        <v>3777800</v>
      </c>
      <c r="F101" s="50">
        <f>VLOOKUP($A101,'Data shares'!$C:$FB,69)*100</f>
        <v>7.68</v>
      </c>
      <c r="G101" s="49">
        <f>VLOOKUP($A101,'Data shares'!$C:$FB,42)</f>
        <v>2610725</v>
      </c>
      <c r="H101" s="49">
        <f>VLOOKUP($A101,'Data shares'!$C:$FB,43)</f>
        <v>2729675</v>
      </c>
      <c r="I101" s="50">
        <f>VLOOKUP($A101,'Data shares'!$C:$FB,45)*100</f>
        <v>-4.3600000000000003</v>
      </c>
      <c r="J101" s="49">
        <f>VLOOKUP($A101,'Data shares'!$C:$FB,58)</f>
        <v>949325</v>
      </c>
      <c r="K101" s="49">
        <f>VLOOKUP($A101,'Data shares'!$C:$FB,59)</f>
        <v>805025</v>
      </c>
      <c r="L101" s="50">
        <f>VLOOKUP($A101,'Data shares'!$C:$FB,61)*100</f>
        <v>17.919999999999998</v>
      </c>
      <c r="M101" s="49">
        <f>VLOOKUP($A101,'Data shares'!$C:$FB,62)</f>
        <v>507975</v>
      </c>
      <c r="N101" s="49">
        <f>VLOOKUP($A101,'Data shares'!$C:$FB,63)</f>
        <v>243100</v>
      </c>
      <c r="O101" s="140">
        <f>VLOOKUP($A101,'Data shares'!$C:$FB,65)*100</f>
        <v>108.96</v>
      </c>
    </row>
    <row r="102" spans="1:15" x14ac:dyDescent="0.25">
      <c r="A102" s="101" t="str">
        <f>'Data shares'!C97</f>
        <v>ICICIPRULI</v>
      </c>
      <c r="B102" s="50">
        <f>VLOOKUP($A102,'Data shares'!$C:$FB,7)</f>
        <v>615.95000000000005</v>
      </c>
      <c r="C102" s="50">
        <f>VLOOKUP($A102,'Data shares'!$C:$FB,10)*100</f>
        <v>-0.52</v>
      </c>
      <c r="D102" s="49">
        <f>VLOOKUP($A102,'Data shares'!$C:$FB,66)</f>
        <v>7595175</v>
      </c>
      <c r="E102" s="49">
        <f>VLOOKUP($A102,'Data shares'!$C:$FB,67)</f>
        <v>12978675</v>
      </c>
      <c r="F102" s="50">
        <f>VLOOKUP($A102,'Data shares'!$C:$FB,69)*100</f>
        <v>-41.48</v>
      </c>
      <c r="G102" s="49">
        <f>VLOOKUP($A102,'Data shares'!$C:$FB,42)</f>
        <v>3539050</v>
      </c>
      <c r="H102" s="49">
        <f>VLOOKUP($A102,'Data shares'!$C:$FB,43)</f>
        <v>8423050</v>
      </c>
      <c r="I102" s="50">
        <f>VLOOKUP($A102,'Data shares'!$C:$FB,45)*100</f>
        <v>-57.98</v>
      </c>
      <c r="J102" s="49">
        <f>VLOOKUP($A102,'Data shares'!$C:$FB,58)</f>
        <v>2789800</v>
      </c>
      <c r="K102" s="49">
        <f>VLOOKUP($A102,'Data shares'!$C:$FB,59)</f>
        <v>3300400</v>
      </c>
      <c r="L102" s="50">
        <f>VLOOKUP($A102,'Data shares'!$C:$FB,61)*100</f>
        <v>-15.47</v>
      </c>
      <c r="M102" s="49">
        <f>VLOOKUP($A102,'Data shares'!$C:$FB,62)</f>
        <v>1266325</v>
      </c>
      <c r="N102" s="49">
        <f>VLOOKUP($A102,'Data shares'!$C:$FB,63)</f>
        <v>1255225</v>
      </c>
      <c r="O102" s="140">
        <f>VLOOKUP($A102,'Data shares'!$C:$FB,65)*100</f>
        <v>0.88</v>
      </c>
    </row>
    <row r="103" spans="1:15" x14ac:dyDescent="0.25">
      <c r="A103" s="101" t="str">
        <f>'Data shares'!C98</f>
        <v>IDEA</v>
      </c>
      <c r="B103" s="50">
        <f>VLOOKUP($A103,'Data shares'!$C:$FB,7)</f>
        <v>6.91</v>
      </c>
      <c r="C103" s="50">
        <f>VLOOKUP($A103,'Data shares'!$C:$FB,10)*100</f>
        <v>-1.29</v>
      </c>
      <c r="D103" s="49">
        <f>VLOOKUP($A103,'Data shares'!$C:$FB,66)</f>
        <v>2862716700</v>
      </c>
      <c r="E103" s="49">
        <f>VLOOKUP($A103,'Data shares'!$C:$FB,67)</f>
        <v>3841852725</v>
      </c>
      <c r="F103" s="50">
        <f>VLOOKUP($A103,'Data shares'!$C:$FB,69)*100</f>
        <v>-25.490000000000002</v>
      </c>
      <c r="G103" s="49">
        <f>VLOOKUP($A103,'Data shares'!$C:$FB,42)</f>
        <v>2188135650</v>
      </c>
      <c r="H103" s="49">
        <f>VLOOKUP($A103,'Data shares'!$C:$FB,43)</f>
        <v>3103587450</v>
      </c>
      <c r="I103" s="50">
        <f>VLOOKUP($A103,'Data shares'!$C:$FB,45)*100</f>
        <v>-29.5</v>
      </c>
      <c r="J103" s="49">
        <f>VLOOKUP($A103,'Data shares'!$C:$FB,58)</f>
        <v>247160550</v>
      </c>
      <c r="K103" s="49">
        <f>VLOOKUP($A103,'Data shares'!$C:$FB,59)</f>
        <v>486530325</v>
      </c>
      <c r="L103" s="50">
        <f>VLOOKUP($A103,'Data shares'!$C:$FB,61)*100</f>
        <v>-49.2</v>
      </c>
      <c r="M103" s="49">
        <f>VLOOKUP($A103,'Data shares'!$C:$FB,62)</f>
        <v>427420500</v>
      </c>
      <c r="N103" s="49">
        <f>VLOOKUP($A103,'Data shares'!$C:$FB,63)</f>
        <v>251734950</v>
      </c>
      <c r="O103" s="140">
        <f>VLOOKUP($A103,'Data shares'!$C:$FB,65)*100</f>
        <v>69.789999999999992</v>
      </c>
    </row>
    <row r="104" spans="1:15" x14ac:dyDescent="0.25">
      <c r="A104" s="101" t="str">
        <f>'Data shares'!C99</f>
        <v>IDFCFIRSTB</v>
      </c>
      <c r="B104" s="50">
        <f>VLOOKUP($A104,'Data shares'!$C:$FB,7)</f>
        <v>68.760000000000005</v>
      </c>
      <c r="C104" s="50">
        <f>VLOOKUP($A104,'Data shares'!$C:$FB,10)*100</f>
        <v>-0.69</v>
      </c>
      <c r="D104" s="49">
        <f>VLOOKUP($A104,'Data shares'!$C:$FB,66)</f>
        <v>271609100</v>
      </c>
      <c r="E104" s="49">
        <f>VLOOKUP($A104,'Data shares'!$C:$FB,67)</f>
        <v>322463925</v>
      </c>
      <c r="F104" s="50">
        <f>VLOOKUP($A104,'Data shares'!$C:$FB,69)*100</f>
        <v>-15.770000000000001</v>
      </c>
      <c r="G104" s="49">
        <f>VLOOKUP($A104,'Data shares'!$C:$FB,42)</f>
        <v>157461675</v>
      </c>
      <c r="H104" s="49">
        <f>VLOOKUP($A104,'Data shares'!$C:$FB,43)</f>
        <v>170251900</v>
      </c>
      <c r="I104" s="50">
        <f>VLOOKUP($A104,'Data shares'!$C:$FB,45)*100</f>
        <v>-7.51</v>
      </c>
      <c r="J104" s="49">
        <f>VLOOKUP($A104,'Data shares'!$C:$FB,58)</f>
        <v>55575800</v>
      </c>
      <c r="K104" s="49">
        <f>VLOOKUP($A104,'Data shares'!$C:$FB,59)</f>
        <v>75136775</v>
      </c>
      <c r="L104" s="50">
        <f>VLOOKUP($A104,'Data shares'!$C:$FB,61)*100</f>
        <v>-26.029999999999998</v>
      </c>
      <c r="M104" s="49">
        <f>VLOOKUP($A104,'Data shares'!$C:$FB,62)</f>
        <v>58571625</v>
      </c>
      <c r="N104" s="49">
        <f>VLOOKUP($A104,'Data shares'!$C:$FB,63)</f>
        <v>77075250</v>
      </c>
      <c r="O104" s="140">
        <f>VLOOKUP($A104,'Data shares'!$C:$FB,65)*100</f>
        <v>-24.01</v>
      </c>
    </row>
    <row r="105" spans="1:15" x14ac:dyDescent="0.25">
      <c r="A105" s="101" t="str">
        <f>'Data shares'!C100</f>
        <v>IEX</v>
      </c>
      <c r="B105" s="50">
        <f>VLOOKUP($A105,'Data shares'!$C:$FB,7)</f>
        <v>135.30000000000001</v>
      </c>
      <c r="C105" s="50">
        <f>VLOOKUP($A105,'Data shares'!$C:$FB,10)*100</f>
        <v>-0.54999999999999993</v>
      </c>
      <c r="D105" s="49">
        <f>VLOOKUP($A105,'Data shares'!$C:$FB,66)</f>
        <v>133053750</v>
      </c>
      <c r="E105" s="49">
        <f>VLOOKUP($A105,'Data shares'!$C:$FB,67)</f>
        <v>145601250</v>
      </c>
      <c r="F105" s="50">
        <f>VLOOKUP($A105,'Data shares'!$C:$FB,69)*100</f>
        <v>-8.6199999999999992</v>
      </c>
      <c r="G105" s="49">
        <f>VLOOKUP($A105,'Data shares'!$C:$FB,42)</f>
        <v>46155000</v>
      </c>
      <c r="H105" s="49">
        <f>VLOOKUP($A105,'Data shares'!$C:$FB,43)</f>
        <v>38441250</v>
      </c>
      <c r="I105" s="50">
        <f>VLOOKUP($A105,'Data shares'!$C:$FB,45)*100</f>
        <v>20.07</v>
      </c>
      <c r="J105" s="49">
        <f>VLOOKUP($A105,'Data shares'!$C:$FB,58)</f>
        <v>56313750</v>
      </c>
      <c r="K105" s="49">
        <f>VLOOKUP($A105,'Data shares'!$C:$FB,59)</f>
        <v>66993750</v>
      </c>
      <c r="L105" s="50">
        <f>VLOOKUP($A105,'Data shares'!$C:$FB,61)*100</f>
        <v>-15.939999999999998</v>
      </c>
      <c r="M105" s="49">
        <f>VLOOKUP($A105,'Data shares'!$C:$FB,62)</f>
        <v>30585000</v>
      </c>
      <c r="N105" s="49">
        <f>VLOOKUP($A105,'Data shares'!$C:$FB,63)</f>
        <v>40166250</v>
      </c>
      <c r="O105" s="140">
        <f>VLOOKUP($A105,'Data shares'!$C:$FB,65)*100</f>
        <v>-23.849999999999998</v>
      </c>
    </row>
    <row r="106" spans="1:15" x14ac:dyDescent="0.25">
      <c r="A106" s="101" t="str">
        <f>'Data shares'!C101</f>
        <v>IGL</v>
      </c>
      <c r="B106" s="50">
        <f>VLOOKUP($A106,'Data shares'!$C:$FB,7)</f>
        <v>205.05</v>
      </c>
      <c r="C106" s="50">
        <f>VLOOKUP($A106,'Data shares'!$C:$FB,10)*100</f>
        <v>0.92999999999999994</v>
      </c>
      <c r="D106" s="49">
        <f>VLOOKUP($A106,'Data shares'!$C:$FB,66)</f>
        <v>65161250</v>
      </c>
      <c r="E106" s="49">
        <f>VLOOKUP($A106,'Data shares'!$C:$FB,67)</f>
        <v>46343000</v>
      </c>
      <c r="F106" s="50">
        <f>VLOOKUP($A106,'Data shares'!$C:$FB,69)*100</f>
        <v>40.61</v>
      </c>
      <c r="G106" s="49">
        <f>VLOOKUP($A106,'Data shares'!$C:$FB,42)</f>
        <v>25154250</v>
      </c>
      <c r="H106" s="49">
        <f>VLOOKUP($A106,'Data shares'!$C:$FB,43)</f>
        <v>16002250</v>
      </c>
      <c r="I106" s="50">
        <f>VLOOKUP($A106,'Data shares'!$C:$FB,45)*100</f>
        <v>57.19</v>
      </c>
      <c r="J106" s="49">
        <f>VLOOKUP($A106,'Data shares'!$C:$FB,58)</f>
        <v>26413750</v>
      </c>
      <c r="K106" s="49">
        <f>VLOOKUP($A106,'Data shares'!$C:$FB,59)</f>
        <v>17718250</v>
      </c>
      <c r="L106" s="50">
        <f>VLOOKUP($A106,'Data shares'!$C:$FB,61)*100</f>
        <v>49.08</v>
      </c>
      <c r="M106" s="49">
        <f>VLOOKUP($A106,'Data shares'!$C:$FB,62)</f>
        <v>13593250</v>
      </c>
      <c r="N106" s="49">
        <f>VLOOKUP($A106,'Data shares'!$C:$FB,63)</f>
        <v>12622500</v>
      </c>
      <c r="O106" s="140">
        <f>VLOOKUP($A106,'Data shares'!$C:$FB,65)*100</f>
        <v>7.6899999999999995</v>
      </c>
    </row>
    <row r="107" spans="1:15" x14ac:dyDescent="0.25">
      <c r="A107" s="101" t="str">
        <f>'Data shares'!C102</f>
        <v>IIFL</v>
      </c>
      <c r="B107" s="50">
        <f>VLOOKUP($A107,'Data shares'!$C:$FB,7)</f>
        <v>477.95</v>
      </c>
      <c r="C107" s="50">
        <f>VLOOKUP($A107,'Data shares'!$C:$FB,10)*100</f>
        <v>-5.1400000000000006</v>
      </c>
      <c r="D107" s="49">
        <f>VLOOKUP($A107,'Data shares'!$C:$FB,66)</f>
        <v>30110850</v>
      </c>
      <c r="E107" s="49">
        <f>VLOOKUP($A107,'Data shares'!$C:$FB,67)</f>
        <v>18387600</v>
      </c>
      <c r="F107" s="50">
        <f>VLOOKUP($A107,'Data shares'!$C:$FB,69)*100</f>
        <v>63.759999999999991</v>
      </c>
      <c r="G107" s="49">
        <f>VLOOKUP($A107,'Data shares'!$C:$FB,42)</f>
        <v>14318700</v>
      </c>
      <c r="H107" s="49">
        <f>VLOOKUP($A107,'Data shares'!$C:$FB,43)</f>
        <v>10127700</v>
      </c>
      <c r="I107" s="50">
        <f>VLOOKUP($A107,'Data shares'!$C:$FB,45)*100</f>
        <v>41.38</v>
      </c>
      <c r="J107" s="49">
        <f>VLOOKUP($A107,'Data shares'!$C:$FB,58)</f>
        <v>8367150</v>
      </c>
      <c r="K107" s="49">
        <f>VLOOKUP($A107,'Data shares'!$C:$FB,59)</f>
        <v>4811400</v>
      </c>
      <c r="L107" s="50">
        <f>VLOOKUP($A107,'Data shares'!$C:$FB,61)*100</f>
        <v>73.900000000000006</v>
      </c>
      <c r="M107" s="49">
        <f>VLOOKUP($A107,'Data shares'!$C:$FB,62)</f>
        <v>7425000</v>
      </c>
      <c r="N107" s="49">
        <f>VLOOKUP($A107,'Data shares'!$C:$FB,63)</f>
        <v>3448500</v>
      </c>
      <c r="O107" s="140">
        <f>VLOOKUP($A107,'Data shares'!$C:$FB,65)*100</f>
        <v>115.31</v>
      </c>
    </row>
    <row r="108" spans="1:15" x14ac:dyDescent="0.25">
      <c r="A108" s="101" t="str">
        <f>'Data shares'!C103</f>
        <v>INDHOTEL</v>
      </c>
      <c r="B108" s="50">
        <f>VLOOKUP($A108,'Data shares'!$C:$FB,7)</f>
        <v>740.75</v>
      </c>
      <c r="C108" s="50">
        <f>VLOOKUP($A108,'Data shares'!$C:$FB,10)*100</f>
        <v>-0.55999999999999994</v>
      </c>
      <c r="D108" s="49">
        <f>VLOOKUP($A108,'Data shares'!$C:$FB,66)</f>
        <v>24493000</v>
      </c>
      <c r="E108" s="49">
        <f>VLOOKUP($A108,'Data shares'!$C:$FB,67)</f>
        <v>23631000</v>
      </c>
      <c r="F108" s="50">
        <f>VLOOKUP($A108,'Data shares'!$C:$FB,69)*100</f>
        <v>3.65</v>
      </c>
      <c r="G108" s="49">
        <f>VLOOKUP($A108,'Data shares'!$C:$FB,42)</f>
        <v>14515000</v>
      </c>
      <c r="H108" s="49">
        <f>VLOOKUP($A108,'Data shares'!$C:$FB,43)</f>
        <v>12259000</v>
      </c>
      <c r="I108" s="50">
        <f>VLOOKUP($A108,'Data shares'!$C:$FB,45)*100</f>
        <v>18.399999999999999</v>
      </c>
      <c r="J108" s="49">
        <f>VLOOKUP($A108,'Data shares'!$C:$FB,58)</f>
        <v>5708000</v>
      </c>
      <c r="K108" s="49">
        <f>VLOOKUP($A108,'Data shares'!$C:$FB,59)</f>
        <v>8233000</v>
      </c>
      <c r="L108" s="50">
        <f>VLOOKUP($A108,'Data shares'!$C:$FB,61)*100</f>
        <v>-30.669999999999998</v>
      </c>
      <c r="M108" s="49">
        <f>VLOOKUP($A108,'Data shares'!$C:$FB,62)</f>
        <v>4270000</v>
      </c>
      <c r="N108" s="49">
        <f>VLOOKUP($A108,'Data shares'!$C:$FB,63)</f>
        <v>3139000</v>
      </c>
      <c r="O108" s="140">
        <f>VLOOKUP($A108,'Data shares'!$C:$FB,65)*100</f>
        <v>36.03</v>
      </c>
    </row>
    <row r="109" spans="1:15" x14ac:dyDescent="0.25">
      <c r="A109" s="101" t="str">
        <f>'Data shares'!C104</f>
        <v>INDIANB</v>
      </c>
      <c r="B109" s="50">
        <f>VLOOKUP($A109,'Data shares'!$C:$FB,7)</f>
        <v>621.70000000000005</v>
      </c>
      <c r="C109" s="50">
        <f>VLOOKUP($A109,'Data shares'!$C:$FB,10)*100</f>
        <v>1.1599999999999999</v>
      </c>
      <c r="D109" s="49">
        <f>VLOOKUP($A109,'Data shares'!$C:$FB,66)</f>
        <v>7376000</v>
      </c>
      <c r="E109" s="49">
        <f>VLOOKUP($A109,'Data shares'!$C:$FB,67)</f>
        <v>9825000</v>
      </c>
      <c r="F109" s="50">
        <f>VLOOKUP($A109,'Data shares'!$C:$FB,69)*100</f>
        <v>-24.93</v>
      </c>
      <c r="G109" s="49">
        <f>VLOOKUP($A109,'Data shares'!$C:$FB,42)</f>
        <v>4267000</v>
      </c>
      <c r="H109" s="49">
        <f>VLOOKUP($A109,'Data shares'!$C:$FB,43)</f>
        <v>5483000</v>
      </c>
      <c r="I109" s="50">
        <f>VLOOKUP($A109,'Data shares'!$C:$FB,45)*100</f>
        <v>-22.18</v>
      </c>
      <c r="J109" s="49">
        <f>VLOOKUP($A109,'Data shares'!$C:$FB,58)</f>
        <v>1891000</v>
      </c>
      <c r="K109" s="49">
        <f>VLOOKUP($A109,'Data shares'!$C:$FB,59)</f>
        <v>2936000</v>
      </c>
      <c r="L109" s="50">
        <f>VLOOKUP($A109,'Data shares'!$C:$FB,61)*100</f>
        <v>-35.589999999999996</v>
      </c>
      <c r="M109" s="49">
        <f>VLOOKUP($A109,'Data shares'!$C:$FB,62)</f>
        <v>1218000</v>
      </c>
      <c r="N109" s="49">
        <f>VLOOKUP($A109,'Data shares'!$C:$FB,63)</f>
        <v>1406000</v>
      </c>
      <c r="O109" s="140">
        <f>VLOOKUP($A109,'Data shares'!$C:$FB,65)*100</f>
        <v>-13.370000000000001</v>
      </c>
    </row>
    <row r="110" spans="1:15" x14ac:dyDescent="0.25">
      <c r="A110" s="101" t="str">
        <f>'Data shares'!C105</f>
        <v>INDIAVIX</v>
      </c>
      <c r="B110" s="50">
        <f>VLOOKUP($A110,'Data shares'!$C:$FB,7)</f>
        <v>11.54</v>
      </c>
      <c r="C110" s="50">
        <f>VLOOKUP($A110,'Data shares'!$C:$FB,10)*100</f>
        <v>2.97</v>
      </c>
      <c r="D110" s="49">
        <f>VLOOKUP($A110,'Data shares'!$C:$FB,66)</f>
        <v>0</v>
      </c>
      <c r="E110" s="49">
        <f>VLOOKUP($A110,'Data shares'!$C:$FB,67)</f>
        <v>0</v>
      </c>
      <c r="F110" s="50">
        <f>VLOOKUP($A110,'Data shares'!$C:$FB,69)*100</f>
        <v>0</v>
      </c>
      <c r="G110" s="49">
        <f>VLOOKUP($A110,'Data shares'!$C:$FB,42)</f>
        <v>0</v>
      </c>
      <c r="H110" s="49">
        <f>VLOOKUP($A110,'Data shares'!$C:$FB,43)</f>
        <v>0</v>
      </c>
      <c r="I110" s="50">
        <f>VLOOKUP($A110,'Data shares'!$C:$FB,45)*100</f>
        <v>0</v>
      </c>
      <c r="J110" s="49">
        <f>VLOOKUP($A110,'Data shares'!$C:$FB,58)</f>
        <v>0</v>
      </c>
      <c r="K110" s="49">
        <f>VLOOKUP($A110,'Data shares'!$C:$FB,59)</f>
        <v>0</v>
      </c>
      <c r="L110" s="50">
        <f>VLOOKUP($A110,'Data shares'!$C:$FB,61)*100</f>
        <v>0</v>
      </c>
      <c r="M110" s="49">
        <f>VLOOKUP($A110,'Data shares'!$C:$FB,62)</f>
        <v>0</v>
      </c>
      <c r="N110" s="49">
        <f>VLOOKUP($A110,'Data shares'!$C:$FB,63)</f>
        <v>0</v>
      </c>
      <c r="O110" s="140">
        <f>VLOOKUP($A110,'Data shares'!$C:$FB,65)*100</f>
        <v>0</v>
      </c>
    </row>
    <row r="111" spans="1:15" x14ac:dyDescent="0.25">
      <c r="A111" s="101" t="str">
        <f>'Data shares'!C106</f>
        <v>INDIGO</v>
      </c>
      <c r="B111" s="50">
        <f>VLOOKUP($A111,'Data shares'!$C:$FB,7)</f>
        <v>5910.5</v>
      </c>
      <c r="C111" s="50">
        <f>VLOOKUP($A111,'Data shares'!$C:$FB,10)*100</f>
        <v>2.97</v>
      </c>
      <c r="D111" s="49">
        <f>VLOOKUP($A111,'Data shares'!$C:$FB,66)</f>
        <v>28512450</v>
      </c>
      <c r="E111" s="49">
        <f>VLOOKUP($A111,'Data shares'!$C:$FB,67)</f>
        <v>19214850</v>
      </c>
      <c r="F111" s="50">
        <f>VLOOKUP($A111,'Data shares'!$C:$FB,69)*100</f>
        <v>48.39</v>
      </c>
      <c r="G111" s="49">
        <f>VLOOKUP($A111,'Data shares'!$C:$FB,42)</f>
        <v>6434250</v>
      </c>
      <c r="H111" s="49">
        <f>VLOOKUP($A111,'Data shares'!$C:$FB,43)</f>
        <v>5002200</v>
      </c>
      <c r="I111" s="50">
        <f>VLOOKUP($A111,'Data shares'!$C:$FB,45)*100</f>
        <v>28.63</v>
      </c>
      <c r="J111" s="49">
        <f>VLOOKUP($A111,'Data shares'!$C:$FB,58)</f>
        <v>10954500</v>
      </c>
      <c r="K111" s="49">
        <f>VLOOKUP($A111,'Data shares'!$C:$FB,59)</f>
        <v>7788750</v>
      </c>
      <c r="L111" s="50">
        <f>VLOOKUP($A111,'Data shares'!$C:$FB,61)*100</f>
        <v>40.65</v>
      </c>
      <c r="M111" s="49">
        <f>VLOOKUP($A111,'Data shares'!$C:$FB,62)</f>
        <v>11123700</v>
      </c>
      <c r="N111" s="49">
        <f>VLOOKUP($A111,'Data shares'!$C:$FB,63)</f>
        <v>6423900</v>
      </c>
      <c r="O111" s="140">
        <f>VLOOKUP($A111,'Data shares'!$C:$FB,65)*100</f>
        <v>73.16</v>
      </c>
    </row>
    <row r="112" spans="1:15" x14ac:dyDescent="0.25">
      <c r="A112" s="101" t="str">
        <f>'Data shares'!C107</f>
        <v>INDUSINDBK</v>
      </c>
      <c r="B112" s="50">
        <f>VLOOKUP($A112,'Data shares'!$C:$FB,7)</f>
        <v>798.9</v>
      </c>
      <c r="C112" s="50">
        <f>VLOOKUP($A112,'Data shares'!$C:$FB,10)*100</f>
        <v>-0.37</v>
      </c>
      <c r="D112" s="49">
        <f>VLOOKUP($A112,'Data shares'!$C:$FB,66)</f>
        <v>53521300</v>
      </c>
      <c r="E112" s="49">
        <f>VLOOKUP($A112,'Data shares'!$C:$FB,67)</f>
        <v>61790400</v>
      </c>
      <c r="F112" s="50">
        <f>VLOOKUP($A112,'Data shares'!$C:$FB,69)*100</f>
        <v>-13.38</v>
      </c>
      <c r="G112" s="49">
        <f>VLOOKUP($A112,'Data shares'!$C:$FB,42)</f>
        <v>26588800</v>
      </c>
      <c r="H112" s="49">
        <f>VLOOKUP($A112,'Data shares'!$C:$FB,43)</f>
        <v>20580000</v>
      </c>
      <c r="I112" s="50">
        <f>VLOOKUP($A112,'Data shares'!$C:$FB,45)*100</f>
        <v>29.2</v>
      </c>
      <c r="J112" s="49">
        <f>VLOOKUP($A112,'Data shares'!$C:$FB,58)</f>
        <v>15161300</v>
      </c>
      <c r="K112" s="49">
        <f>VLOOKUP($A112,'Data shares'!$C:$FB,59)</f>
        <v>22911700</v>
      </c>
      <c r="L112" s="50">
        <f>VLOOKUP($A112,'Data shares'!$C:$FB,61)*100</f>
        <v>-33.83</v>
      </c>
      <c r="M112" s="49">
        <f>VLOOKUP($A112,'Data shares'!$C:$FB,62)</f>
        <v>11771200</v>
      </c>
      <c r="N112" s="49">
        <f>VLOOKUP($A112,'Data shares'!$C:$FB,63)</f>
        <v>18298700</v>
      </c>
      <c r="O112" s="140">
        <f>VLOOKUP($A112,'Data shares'!$C:$FB,65)*100</f>
        <v>-35.67</v>
      </c>
    </row>
    <row r="113" spans="1:15" x14ac:dyDescent="0.25">
      <c r="A113" s="101" t="str">
        <f>'Data shares'!C108</f>
        <v>INDUSTOWER</v>
      </c>
      <c r="B113" s="50">
        <f>VLOOKUP($A113,'Data shares'!$C:$FB,7)</f>
        <v>363</v>
      </c>
      <c r="C113" s="50">
        <f>VLOOKUP($A113,'Data shares'!$C:$FB,10)*100</f>
        <v>-5.42</v>
      </c>
      <c r="D113" s="49">
        <f>VLOOKUP($A113,'Data shares'!$C:$FB,66)</f>
        <v>120562300</v>
      </c>
      <c r="E113" s="49">
        <f>VLOOKUP($A113,'Data shares'!$C:$FB,67)</f>
        <v>50901400</v>
      </c>
      <c r="F113" s="50">
        <f>VLOOKUP($A113,'Data shares'!$C:$FB,69)*100</f>
        <v>136.85</v>
      </c>
      <c r="G113" s="49">
        <f>VLOOKUP($A113,'Data shares'!$C:$FB,42)</f>
        <v>48698200</v>
      </c>
      <c r="H113" s="49">
        <f>VLOOKUP($A113,'Data shares'!$C:$FB,43)</f>
        <v>24551400</v>
      </c>
      <c r="I113" s="50">
        <f>VLOOKUP($A113,'Data shares'!$C:$FB,45)*100</f>
        <v>98.350000000000009</v>
      </c>
      <c r="J113" s="49">
        <f>VLOOKUP($A113,'Data shares'!$C:$FB,58)</f>
        <v>39499500</v>
      </c>
      <c r="K113" s="49">
        <f>VLOOKUP($A113,'Data shares'!$C:$FB,59)</f>
        <v>16202700</v>
      </c>
      <c r="L113" s="50">
        <f>VLOOKUP($A113,'Data shares'!$C:$FB,61)*100</f>
        <v>143.78</v>
      </c>
      <c r="M113" s="49">
        <f>VLOOKUP($A113,'Data shares'!$C:$FB,62)</f>
        <v>32364600</v>
      </c>
      <c r="N113" s="49">
        <f>VLOOKUP($A113,'Data shares'!$C:$FB,63)</f>
        <v>10147300</v>
      </c>
      <c r="O113" s="140">
        <f>VLOOKUP($A113,'Data shares'!$C:$FB,65)*100</f>
        <v>218.95</v>
      </c>
    </row>
    <row r="114" spans="1:15" x14ac:dyDescent="0.25">
      <c r="A114" s="101" t="str">
        <f>'Data shares'!C109</f>
        <v>INFY</v>
      </c>
      <c r="B114" s="50">
        <f>VLOOKUP($A114,'Data shares'!$C:$FB,7)</f>
        <v>1509</v>
      </c>
      <c r="C114" s="50">
        <f>VLOOKUP($A114,'Data shares'!$C:$FB,10)*100</f>
        <v>-0.66</v>
      </c>
      <c r="D114" s="49">
        <f>VLOOKUP($A114,'Data shares'!$C:$FB,66)</f>
        <v>70971600</v>
      </c>
      <c r="E114" s="49">
        <f>VLOOKUP($A114,'Data shares'!$C:$FB,67)</f>
        <v>62148000</v>
      </c>
      <c r="F114" s="50">
        <f>VLOOKUP($A114,'Data shares'!$C:$FB,69)*100</f>
        <v>14.2</v>
      </c>
      <c r="G114" s="49">
        <f>VLOOKUP($A114,'Data shares'!$C:$FB,42)</f>
        <v>34474800</v>
      </c>
      <c r="H114" s="49">
        <f>VLOOKUP($A114,'Data shares'!$C:$FB,43)</f>
        <v>29752800</v>
      </c>
      <c r="I114" s="50">
        <f>VLOOKUP($A114,'Data shares'!$C:$FB,45)*100</f>
        <v>15.870000000000001</v>
      </c>
      <c r="J114" s="49">
        <f>VLOOKUP($A114,'Data shares'!$C:$FB,58)</f>
        <v>23319200</v>
      </c>
      <c r="K114" s="49">
        <f>VLOOKUP($A114,'Data shares'!$C:$FB,59)</f>
        <v>21421600</v>
      </c>
      <c r="L114" s="50">
        <f>VLOOKUP($A114,'Data shares'!$C:$FB,61)*100</f>
        <v>8.86</v>
      </c>
      <c r="M114" s="49">
        <f>VLOOKUP($A114,'Data shares'!$C:$FB,62)</f>
        <v>13177600</v>
      </c>
      <c r="N114" s="49">
        <f>VLOOKUP($A114,'Data shares'!$C:$FB,63)</f>
        <v>10973600</v>
      </c>
      <c r="O114" s="140">
        <f>VLOOKUP($A114,'Data shares'!$C:$FB,65)*100</f>
        <v>20.080000000000002</v>
      </c>
    </row>
    <row r="115" spans="1:15" x14ac:dyDescent="0.25">
      <c r="A115" s="101" t="str">
        <f>'Data shares'!C110</f>
        <v>INOXWIND</v>
      </c>
      <c r="B115" s="50">
        <f>VLOOKUP($A115,'Data shares'!$C:$FB,7)</f>
        <v>150.74</v>
      </c>
      <c r="C115" s="50">
        <f>VLOOKUP($A115,'Data shares'!$C:$FB,10)*100</f>
        <v>-3.46</v>
      </c>
      <c r="D115" s="49">
        <f>VLOOKUP($A115,'Data shares'!$C:$FB,66)</f>
        <v>41534768</v>
      </c>
      <c r="E115" s="49">
        <f>VLOOKUP($A115,'Data shares'!$C:$FB,67)</f>
        <v>23466784</v>
      </c>
      <c r="F115" s="50">
        <f>VLOOKUP($A115,'Data shares'!$C:$FB,69)*100</f>
        <v>76.990000000000009</v>
      </c>
      <c r="G115" s="49">
        <f>VLOOKUP($A115,'Data shares'!$C:$FB,42)</f>
        <v>32448424</v>
      </c>
      <c r="H115" s="49">
        <f>VLOOKUP($A115,'Data shares'!$C:$FB,43)</f>
        <v>18031992</v>
      </c>
      <c r="I115" s="50">
        <f>VLOOKUP($A115,'Data shares'!$C:$FB,45)*100</f>
        <v>79.95</v>
      </c>
      <c r="J115" s="49">
        <f>VLOOKUP($A115,'Data shares'!$C:$FB,58)</f>
        <v>4656056</v>
      </c>
      <c r="K115" s="49">
        <f>VLOOKUP($A115,'Data shares'!$C:$FB,59)</f>
        <v>2836824</v>
      </c>
      <c r="L115" s="50">
        <f>VLOOKUP($A115,'Data shares'!$C:$FB,61)*100</f>
        <v>64.13</v>
      </c>
      <c r="M115" s="49">
        <f>VLOOKUP($A115,'Data shares'!$C:$FB,62)</f>
        <v>4430288</v>
      </c>
      <c r="N115" s="49">
        <f>VLOOKUP($A115,'Data shares'!$C:$FB,63)</f>
        <v>2597968</v>
      </c>
      <c r="O115" s="140">
        <f>VLOOKUP($A115,'Data shares'!$C:$FB,65)*100</f>
        <v>70.53</v>
      </c>
    </row>
    <row r="116" spans="1:15" x14ac:dyDescent="0.25">
      <c r="A116" s="101" t="str">
        <f>'Data shares'!C111</f>
        <v>IOC</v>
      </c>
      <c r="B116" s="50">
        <f>VLOOKUP($A116,'Data shares'!$C:$FB,7)</f>
        <v>145.62</v>
      </c>
      <c r="C116" s="50">
        <f>VLOOKUP($A116,'Data shares'!$C:$FB,10)*100</f>
        <v>-2.29</v>
      </c>
      <c r="D116" s="49">
        <f>VLOOKUP($A116,'Data shares'!$C:$FB,66)</f>
        <v>202566000</v>
      </c>
      <c r="E116" s="49">
        <f>VLOOKUP($A116,'Data shares'!$C:$FB,67)</f>
        <v>224430375</v>
      </c>
      <c r="F116" s="50">
        <f>VLOOKUP($A116,'Data shares'!$C:$FB,69)*100</f>
        <v>-9.74</v>
      </c>
      <c r="G116" s="49">
        <f>VLOOKUP($A116,'Data shares'!$C:$FB,42)</f>
        <v>61405500</v>
      </c>
      <c r="H116" s="49">
        <f>VLOOKUP($A116,'Data shares'!$C:$FB,43)</f>
        <v>64949625</v>
      </c>
      <c r="I116" s="50">
        <f>VLOOKUP($A116,'Data shares'!$C:$FB,45)*100</f>
        <v>-5.46</v>
      </c>
      <c r="J116" s="49">
        <f>VLOOKUP($A116,'Data shares'!$C:$FB,58)</f>
        <v>64286625</v>
      </c>
      <c r="K116" s="49">
        <f>VLOOKUP($A116,'Data shares'!$C:$FB,59)</f>
        <v>120705000</v>
      </c>
      <c r="L116" s="50">
        <f>VLOOKUP($A116,'Data shares'!$C:$FB,61)*100</f>
        <v>-46.739999999999995</v>
      </c>
      <c r="M116" s="49">
        <f>VLOOKUP($A116,'Data shares'!$C:$FB,62)</f>
        <v>76873875</v>
      </c>
      <c r="N116" s="49">
        <f>VLOOKUP($A116,'Data shares'!$C:$FB,63)</f>
        <v>38775750</v>
      </c>
      <c r="O116" s="140">
        <f>VLOOKUP($A116,'Data shares'!$C:$FB,65)*100</f>
        <v>98.25</v>
      </c>
    </row>
    <row r="117" spans="1:15" x14ac:dyDescent="0.25">
      <c r="A117" s="101" t="str">
        <f>'Data shares'!C112</f>
        <v>IRB</v>
      </c>
      <c r="B117" s="50">
        <f>VLOOKUP($A117,'Data shares'!$C:$FB,7)</f>
        <v>45.07</v>
      </c>
      <c r="C117" s="50">
        <f>VLOOKUP($A117,'Data shares'!$C:$FB,10)*100</f>
        <v>-2.11</v>
      </c>
      <c r="D117" s="49">
        <f>VLOOKUP($A117,'Data shares'!$C:$FB,66)</f>
        <v>87317325</v>
      </c>
      <c r="E117" s="49">
        <f>VLOOKUP($A117,'Data shares'!$C:$FB,67)</f>
        <v>55654725</v>
      </c>
      <c r="F117" s="50">
        <f>VLOOKUP($A117,'Data shares'!$C:$FB,69)*100</f>
        <v>56.889999999999993</v>
      </c>
      <c r="G117" s="49">
        <f>VLOOKUP($A117,'Data shares'!$C:$FB,42)</f>
        <v>65286600</v>
      </c>
      <c r="H117" s="49">
        <f>VLOOKUP($A117,'Data shares'!$C:$FB,43)</f>
        <v>45474125</v>
      </c>
      <c r="I117" s="50">
        <f>VLOOKUP($A117,'Data shares'!$C:$FB,45)*100</f>
        <v>43.57</v>
      </c>
      <c r="J117" s="49">
        <f>VLOOKUP($A117,'Data shares'!$C:$FB,58)</f>
        <v>12784125</v>
      </c>
      <c r="K117" s="49">
        <f>VLOOKUP($A117,'Data shares'!$C:$FB,59)</f>
        <v>7261850</v>
      </c>
      <c r="L117" s="50">
        <f>VLOOKUP($A117,'Data shares'!$C:$FB,61)*100</f>
        <v>76.05</v>
      </c>
      <c r="M117" s="49">
        <f>VLOOKUP($A117,'Data shares'!$C:$FB,62)</f>
        <v>9246600</v>
      </c>
      <c r="N117" s="49">
        <f>VLOOKUP($A117,'Data shares'!$C:$FB,63)</f>
        <v>2918750</v>
      </c>
      <c r="O117" s="140">
        <f>VLOOKUP($A117,'Data shares'!$C:$FB,65)*100</f>
        <v>216.8</v>
      </c>
    </row>
    <row r="118" spans="1:15" x14ac:dyDescent="0.25">
      <c r="A118" s="101" t="str">
        <f>'Data shares'!C113</f>
        <v>IRCTC</v>
      </c>
      <c r="B118" s="50">
        <f>VLOOKUP($A118,'Data shares'!$C:$FB,7)</f>
        <v>726.05</v>
      </c>
      <c r="C118" s="50">
        <f>VLOOKUP($A118,'Data shares'!$C:$FB,10)*100</f>
        <v>-1.37</v>
      </c>
      <c r="D118" s="49">
        <f>VLOOKUP($A118,'Data shares'!$C:$FB,66)</f>
        <v>20032250</v>
      </c>
      <c r="E118" s="49">
        <f>VLOOKUP($A118,'Data shares'!$C:$FB,67)</f>
        <v>17339875</v>
      </c>
      <c r="F118" s="50">
        <f>VLOOKUP($A118,'Data shares'!$C:$FB,69)*100</f>
        <v>15.53</v>
      </c>
      <c r="G118" s="49">
        <f>VLOOKUP($A118,'Data shares'!$C:$FB,42)</f>
        <v>9586500</v>
      </c>
      <c r="H118" s="49">
        <f>VLOOKUP($A118,'Data shares'!$C:$FB,43)</f>
        <v>8689625</v>
      </c>
      <c r="I118" s="50">
        <f>VLOOKUP($A118,'Data shares'!$C:$FB,45)*100</f>
        <v>10.32</v>
      </c>
      <c r="J118" s="49">
        <f>VLOOKUP($A118,'Data shares'!$C:$FB,58)</f>
        <v>6216875</v>
      </c>
      <c r="K118" s="49">
        <f>VLOOKUP($A118,'Data shares'!$C:$FB,59)</f>
        <v>6004250</v>
      </c>
      <c r="L118" s="50">
        <f>VLOOKUP($A118,'Data shares'!$C:$FB,61)*100</f>
        <v>3.54</v>
      </c>
      <c r="M118" s="49">
        <f>VLOOKUP($A118,'Data shares'!$C:$FB,62)</f>
        <v>4228875</v>
      </c>
      <c r="N118" s="49">
        <f>VLOOKUP($A118,'Data shares'!$C:$FB,63)</f>
        <v>2646000</v>
      </c>
      <c r="O118" s="140">
        <f>VLOOKUP($A118,'Data shares'!$C:$FB,65)*100</f>
        <v>59.819999999999993</v>
      </c>
    </row>
    <row r="119" spans="1:15" x14ac:dyDescent="0.25">
      <c r="A119" s="101" t="str">
        <f>'Data shares'!C114</f>
        <v>IREDA</v>
      </c>
      <c r="B119" s="50">
        <f>VLOOKUP($A119,'Data shares'!$C:$FB,7)</f>
        <v>147.38</v>
      </c>
      <c r="C119" s="50">
        <f>VLOOKUP($A119,'Data shares'!$C:$FB,10)*100</f>
        <v>-1.8900000000000001</v>
      </c>
      <c r="D119" s="49">
        <f>VLOOKUP($A119,'Data shares'!$C:$FB,66)</f>
        <v>64532250</v>
      </c>
      <c r="E119" s="49">
        <f>VLOOKUP($A119,'Data shares'!$C:$FB,67)</f>
        <v>57159600</v>
      </c>
      <c r="F119" s="50">
        <f>VLOOKUP($A119,'Data shares'!$C:$FB,69)*100</f>
        <v>12.9</v>
      </c>
      <c r="G119" s="49">
        <f>VLOOKUP($A119,'Data shares'!$C:$FB,42)</f>
        <v>30042600</v>
      </c>
      <c r="H119" s="49">
        <f>VLOOKUP($A119,'Data shares'!$C:$FB,43)</f>
        <v>32136750</v>
      </c>
      <c r="I119" s="50">
        <f>VLOOKUP($A119,'Data shares'!$C:$FB,45)*100</f>
        <v>-6.52</v>
      </c>
      <c r="J119" s="49">
        <f>VLOOKUP($A119,'Data shares'!$C:$FB,58)</f>
        <v>25178100</v>
      </c>
      <c r="K119" s="49">
        <f>VLOOKUP($A119,'Data shares'!$C:$FB,59)</f>
        <v>18171150</v>
      </c>
      <c r="L119" s="50">
        <f>VLOOKUP($A119,'Data shares'!$C:$FB,61)*100</f>
        <v>38.56</v>
      </c>
      <c r="M119" s="49">
        <f>VLOOKUP($A119,'Data shares'!$C:$FB,62)</f>
        <v>9311550</v>
      </c>
      <c r="N119" s="49">
        <f>VLOOKUP($A119,'Data shares'!$C:$FB,63)</f>
        <v>6851700</v>
      </c>
      <c r="O119" s="140">
        <f>VLOOKUP($A119,'Data shares'!$C:$FB,65)*100</f>
        <v>35.9</v>
      </c>
    </row>
    <row r="120" spans="1:15" x14ac:dyDescent="0.25">
      <c r="A120" s="101" t="str">
        <f>'Data shares'!C115</f>
        <v>IRFC</v>
      </c>
      <c r="B120" s="50">
        <f>VLOOKUP($A120,'Data shares'!$C:$FB,7)</f>
        <v>128.34</v>
      </c>
      <c r="C120" s="50">
        <f>VLOOKUP($A120,'Data shares'!$C:$FB,10)*100</f>
        <v>-2.33</v>
      </c>
      <c r="D120" s="49">
        <f>VLOOKUP($A120,'Data shares'!$C:$FB,66)</f>
        <v>81774250</v>
      </c>
      <c r="E120" s="49">
        <f>VLOOKUP($A120,'Data shares'!$C:$FB,67)</f>
        <v>109968750</v>
      </c>
      <c r="F120" s="50">
        <f>VLOOKUP($A120,'Data shares'!$C:$FB,69)*100</f>
        <v>-25.64</v>
      </c>
      <c r="G120" s="49">
        <f>VLOOKUP($A120,'Data shares'!$C:$FB,42)</f>
        <v>35929500</v>
      </c>
      <c r="H120" s="49">
        <f>VLOOKUP($A120,'Data shares'!$C:$FB,43)</f>
        <v>38764250</v>
      </c>
      <c r="I120" s="50">
        <f>VLOOKUP($A120,'Data shares'!$C:$FB,45)*100</f>
        <v>-7.31</v>
      </c>
      <c r="J120" s="49">
        <f>VLOOKUP($A120,'Data shares'!$C:$FB,58)</f>
        <v>32308500</v>
      </c>
      <c r="K120" s="49">
        <f>VLOOKUP($A120,'Data shares'!$C:$FB,59)</f>
        <v>54081250</v>
      </c>
      <c r="L120" s="50">
        <f>VLOOKUP($A120,'Data shares'!$C:$FB,61)*100</f>
        <v>-40.26</v>
      </c>
      <c r="M120" s="49">
        <f>VLOOKUP($A120,'Data shares'!$C:$FB,62)</f>
        <v>13536250</v>
      </c>
      <c r="N120" s="49">
        <f>VLOOKUP($A120,'Data shares'!$C:$FB,63)</f>
        <v>17123250</v>
      </c>
      <c r="O120" s="140">
        <f>VLOOKUP($A120,'Data shares'!$C:$FB,65)*100</f>
        <v>-20.95</v>
      </c>
    </row>
    <row r="121" spans="1:15" x14ac:dyDescent="0.25">
      <c r="A121" s="101" t="str">
        <f>'Data shares'!C116</f>
        <v>ITC</v>
      </c>
      <c r="B121" s="50">
        <f>VLOOKUP($A121,'Data shares'!$C:$FB,7)</f>
        <v>411.95</v>
      </c>
      <c r="C121" s="50">
        <f>VLOOKUP($A121,'Data shares'!$C:$FB,10)*100</f>
        <v>1.0699999999999998</v>
      </c>
      <c r="D121" s="49">
        <f>VLOOKUP($A121,'Data shares'!$C:$FB,66)</f>
        <v>189480000</v>
      </c>
      <c r="E121" s="49">
        <f>VLOOKUP($A121,'Data shares'!$C:$FB,67)</f>
        <v>103870400</v>
      </c>
      <c r="F121" s="50">
        <f>VLOOKUP($A121,'Data shares'!$C:$FB,69)*100</f>
        <v>82.42</v>
      </c>
      <c r="G121" s="49">
        <f>VLOOKUP($A121,'Data shares'!$C:$FB,42)</f>
        <v>69838400</v>
      </c>
      <c r="H121" s="49">
        <f>VLOOKUP($A121,'Data shares'!$C:$FB,43)</f>
        <v>47772800</v>
      </c>
      <c r="I121" s="50">
        <f>VLOOKUP($A121,'Data shares'!$C:$FB,45)*100</f>
        <v>46.19</v>
      </c>
      <c r="J121" s="49">
        <f>VLOOKUP($A121,'Data shares'!$C:$FB,58)</f>
        <v>80452800</v>
      </c>
      <c r="K121" s="49">
        <f>VLOOKUP($A121,'Data shares'!$C:$FB,59)</f>
        <v>33585600</v>
      </c>
      <c r="L121" s="50">
        <f>VLOOKUP($A121,'Data shares'!$C:$FB,61)*100</f>
        <v>139.54999999999998</v>
      </c>
      <c r="M121" s="49">
        <f>VLOOKUP($A121,'Data shares'!$C:$FB,62)</f>
        <v>39188800</v>
      </c>
      <c r="N121" s="49">
        <f>VLOOKUP($A121,'Data shares'!$C:$FB,63)</f>
        <v>22512000</v>
      </c>
      <c r="O121" s="140">
        <f>VLOOKUP($A121,'Data shares'!$C:$FB,65)*100</f>
        <v>74.08</v>
      </c>
    </row>
    <row r="122" spans="1:15" x14ac:dyDescent="0.25">
      <c r="A122" s="101" t="str">
        <f>'Data shares'!C117</f>
        <v>JINDALSTEL</v>
      </c>
      <c r="B122" s="50">
        <f>VLOOKUP($A122,'Data shares'!$C:$FB,7)</f>
        <v>965</v>
      </c>
      <c r="C122" s="50">
        <f>VLOOKUP($A122,'Data shares'!$C:$FB,10)*100</f>
        <v>-1.82</v>
      </c>
      <c r="D122" s="49">
        <f>VLOOKUP($A122,'Data shares'!$C:$FB,66)</f>
        <v>14827500</v>
      </c>
      <c r="E122" s="49">
        <f>VLOOKUP($A122,'Data shares'!$C:$FB,67)</f>
        <v>12516250</v>
      </c>
      <c r="F122" s="50">
        <f>VLOOKUP($A122,'Data shares'!$C:$FB,69)*100</f>
        <v>18.47</v>
      </c>
      <c r="G122" s="49">
        <f>VLOOKUP($A122,'Data shares'!$C:$FB,42)</f>
        <v>7463750</v>
      </c>
      <c r="H122" s="49">
        <f>VLOOKUP($A122,'Data shares'!$C:$FB,43)</f>
        <v>6671250</v>
      </c>
      <c r="I122" s="50">
        <f>VLOOKUP($A122,'Data shares'!$C:$FB,45)*100</f>
        <v>11.88</v>
      </c>
      <c r="J122" s="49">
        <f>VLOOKUP($A122,'Data shares'!$C:$FB,58)</f>
        <v>3837500</v>
      </c>
      <c r="K122" s="49">
        <f>VLOOKUP($A122,'Data shares'!$C:$FB,59)</f>
        <v>3300000</v>
      </c>
      <c r="L122" s="50">
        <f>VLOOKUP($A122,'Data shares'!$C:$FB,61)*100</f>
        <v>16.29</v>
      </c>
      <c r="M122" s="49">
        <f>VLOOKUP($A122,'Data shares'!$C:$FB,62)</f>
        <v>3526250</v>
      </c>
      <c r="N122" s="49">
        <f>VLOOKUP($A122,'Data shares'!$C:$FB,63)</f>
        <v>2545000</v>
      </c>
      <c r="O122" s="140">
        <f>VLOOKUP($A122,'Data shares'!$C:$FB,65)*100</f>
        <v>38.56</v>
      </c>
    </row>
    <row r="123" spans="1:15" x14ac:dyDescent="0.25">
      <c r="A123" s="101" t="str">
        <f>'Data shares'!C118</f>
        <v>JIOFIN</v>
      </c>
      <c r="B123" s="50">
        <f>VLOOKUP($A123,'Data shares'!$C:$FB,7)</f>
        <v>329.25</v>
      </c>
      <c r="C123" s="50">
        <f>VLOOKUP($A123,'Data shares'!$C:$FB,10)*100</f>
        <v>2.79</v>
      </c>
      <c r="D123" s="49">
        <f>VLOOKUP($A123,'Data shares'!$C:$FB,66)</f>
        <v>460656400</v>
      </c>
      <c r="E123" s="49">
        <f>VLOOKUP($A123,'Data shares'!$C:$FB,67)</f>
        <v>187964750</v>
      </c>
      <c r="F123" s="50">
        <f>VLOOKUP($A123,'Data shares'!$C:$FB,69)*100</f>
        <v>145.08000000000001</v>
      </c>
      <c r="G123" s="49">
        <f>VLOOKUP($A123,'Data shares'!$C:$FB,42)</f>
        <v>94439450</v>
      </c>
      <c r="H123" s="49">
        <f>VLOOKUP($A123,'Data shares'!$C:$FB,43)</f>
        <v>50116100</v>
      </c>
      <c r="I123" s="50">
        <f>VLOOKUP($A123,'Data shares'!$C:$FB,45)*100</f>
        <v>88.44</v>
      </c>
      <c r="J123" s="49">
        <f>VLOOKUP($A123,'Data shares'!$C:$FB,58)</f>
        <v>266962350</v>
      </c>
      <c r="K123" s="49">
        <f>VLOOKUP($A123,'Data shares'!$C:$FB,59)</f>
        <v>90411550</v>
      </c>
      <c r="L123" s="50">
        <f>VLOOKUP($A123,'Data shares'!$C:$FB,61)*100</f>
        <v>195.27</v>
      </c>
      <c r="M123" s="49">
        <f>VLOOKUP($A123,'Data shares'!$C:$FB,62)</f>
        <v>99254600</v>
      </c>
      <c r="N123" s="49">
        <f>VLOOKUP($A123,'Data shares'!$C:$FB,63)</f>
        <v>47437100</v>
      </c>
      <c r="O123" s="140">
        <f>VLOOKUP($A123,'Data shares'!$C:$FB,65)*100</f>
        <v>109.23</v>
      </c>
    </row>
    <row r="124" spans="1:15" x14ac:dyDescent="0.25">
      <c r="A124" s="101" t="str">
        <f>'Data shares'!C119</f>
        <v>JSL</v>
      </c>
      <c r="B124" s="50">
        <f>VLOOKUP($A124,'Data shares'!$C:$FB,7)</f>
        <v>694.1</v>
      </c>
      <c r="C124" s="50">
        <f>VLOOKUP($A124,'Data shares'!$C:$FB,10)*100</f>
        <v>1.91</v>
      </c>
      <c r="D124" s="49">
        <f>VLOOKUP($A124,'Data shares'!$C:$FB,66)</f>
        <v>7083900</v>
      </c>
      <c r="E124" s="49">
        <f>VLOOKUP($A124,'Data shares'!$C:$FB,67)</f>
        <v>6219450</v>
      </c>
      <c r="F124" s="50">
        <f>VLOOKUP($A124,'Data shares'!$C:$FB,69)*100</f>
        <v>13.900000000000002</v>
      </c>
      <c r="G124" s="49">
        <f>VLOOKUP($A124,'Data shares'!$C:$FB,42)</f>
        <v>4329900</v>
      </c>
      <c r="H124" s="49">
        <f>VLOOKUP($A124,'Data shares'!$C:$FB,43)</f>
        <v>3976300</v>
      </c>
      <c r="I124" s="50">
        <f>VLOOKUP($A124,'Data shares'!$C:$FB,45)*100</f>
        <v>8.89</v>
      </c>
      <c r="J124" s="49">
        <f>VLOOKUP($A124,'Data shares'!$C:$FB,58)</f>
        <v>1830900</v>
      </c>
      <c r="K124" s="49">
        <f>VLOOKUP($A124,'Data shares'!$C:$FB,59)</f>
        <v>1825800</v>
      </c>
      <c r="L124" s="50">
        <f>VLOOKUP($A124,'Data shares'!$C:$FB,61)*100</f>
        <v>0.27999999999999997</v>
      </c>
      <c r="M124" s="49">
        <f>VLOOKUP($A124,'Data shares'!$C:$FB,62)</f>
        <v>923100</v>
      </c>
      <c r="N124" s="49">
        <f>VLOOKUP($A124,'Data shares'!$C:$FB,63)</f>
        <v>417350</v>
      </c>
      <c r="O124" s="140">
        <f>VLOOKUP($A124,'Data shares'!$C:$FB,65)*100</f>
        <v>121.17999999999999</v>
      </c>
    </row>
    <row r="125" spans="1:15" x14ac:dyDescent="0.25">
      <c r="A125" s="101" t="str">
        <f>'Data shares'!C120</f>
        <v>JSWENERGY</v>
      </c>
      <c r="B125" s="50">
        <f>VLOOKUP($A125,'Data shares'!$C:$FB,7)</f>
        <v>515.04999999999995</v>
      </c>
      <c r="C125" s="50">
        <f>VLOOKUP($A125,'Data shares'!$C:$FB,10)*100</f>
        <v>-2.17</v>
      </c>
      <c r="D125" s="49">
        <f>VLOOKUP($A125,'Data shares'!$C:$FB,66)</f>
        <v>30883000</v>
      </c>
      <c r="E125" s="49">
        <f>VLOOKUP($A125,'Data shares'!$C:$FB,67)</f>
        <v>30888000</v>
      </c>
      <c r="F125" s="50">
        <f>VLOOKUP($A125,'Data shares'!$C:$FB,69)*100</f>
        <v>-0.02</v>
      </c>
      <c r="G125" s="49">
        <f>VLOOKUP($A125,'Data shares'!$C:$FB,42)</f>
        <v>16752000</v>
      </c>
      <c r="H125" s="49">
        <f>VLOOKUP($A125,'Data shares'!$C:$FB,43)</f>
        <v>17031000</v>
      </c>
      <c r="I125" s="50">
        <f>VLOOKUP($A125,'Data shares'!$C:$FB,45)*100</f>
        <v>-1.6400000000000001</v>
      </c>
      <c r="J125" s="49">
        <f>VLOOKUP($A125,'Data shares'!$C:$FB,58)</f>
        <v>10307000</v>
      </c>
      <c r="K125" s="49">
        <f>VLOOKUP($A125,'Data shares'!$C:$FB,59)</f>
        <v>10290000</v>
      </c>
      <c r="L125" s="50">
        <f>VLOOKUP($A125,'Data shares'!$C:$FB,61)*100</f>
        <v>0.16999999999999998</v>
      </c>
      <c r="M125" s="49">
        <f>VLOOKUP($A125,'Data shares'!$C:$FB,62)</f>
        <v>3824000</v>
      </c>
      <c r="N125" s="49">
        <f>VLOOKUP($A125,'Data shares'!$C:$FB,63)</f>
        <v>3567000</v>
      </c>
      <c r="O125" s="140">
        <f>VLOOKUP($A125,'Data shares'!$C:$FB,65)*100</f>
        <v>7.1999999999999993</v>
      </c>
    </row>
    <row r="126" spans="1:15" x14ac:dyDescent="0.25">
      <c r="A126" s="101" t="str">
        <f>'Data shares'!C121</f>
        <v>JSWSTEEL</v>
      </c>
      <c r="B126" s="50">
        <f>VLOOKUP($A126,'Data shares'!$C:$FB,7)</f>
        <v>1048.3</v>
      </c>
      <c r="C126" s="50">
        <f>VLOOKUP($A126,'Data shares'!$C:$FB,10)*100</f>
        <v>1</v>
      </c>
      <c r="D126" s="49">
        <f>VLOOKUP($A126,'Data shares'!$C:$FB,66)</f>
        <v>35404425</v>
      </c>
      <c r="E126" s="49">
        <f>VLOOKUP($A126,'Data shares'!$C:$FB,67)</f>
        <v>35882325</v>
      </c>
      <c r="F126" s="50">
        <f>VLOOKUP($A126,'Data shares'!$C:$FB,69)*100</f>
        <v>-1.3299999999999998</v>
      </c>
      <c r="G126" s="49">
        <f>VLOOKUP($A126,'Data shares'!$C:$FB,42)</f>
        <v>14219550</v>
      </c>
      <c r="H126" s="49">
        <f>VLOOKUP($A126,'Data shares'!$C:$FB,43)</f>
        <v>18724500</v>
      </c>
      <c r="I126" s="50">
        <f>VLOOKUP($A126,'Data shares'!$C:$FB,45)*100</f>
        <v>-24.060000000000002</v>
      </c>
      <c r="J126" s="49">
        <f>VLOOKUP($A126,'Data shares'!$C:$FB,58)</f>
        <v>14036625</v>
      </c>
      <c r="K126" s="49">
        <f>VLOOKUP($A126,'Data shares'!$C:$FB,59)</f>
        <v>12609675</v>
      </c>
      <c r="L126" s="50">
        <f>VLOOKUP($A126,'Data shares'!$C:$FB,61)*100</f>
        <v>11.32</v>
      </c>
      <c r="M126" s="49">
        <f>VLOOKUP($A126,'Data shares'!$C:$FB,62)</f>
        <v>7148250</v>
      </c>
      <c r="N126" s="49">
        <f>VLOOKUP($A126,'Data shares'!$C:$FB,63)</f>
        <v>4548150</v>
      </c>
      <c r="O126" s="140">
        <f>VLOOKUP($A126,'Data shares'!$C:$FB,65)*100</f>
        <v>57.17</v>
      </c>
    </row>
    <row r="127" spans="1:15" x14ac:dyDescent="0.25">
      <c r="A127" s="101" t="str">
        <f>'Data shares'!C122</f>
        <v>JUBLFOOD</v>
      </c>
      <c r="B127" s="50">
        <f>VLOOKUP($A127,'Data shares'!$C:$FB,7)</f>
        <v>655.5</v>
      </c>
      <c r="C127" s="50">
        <f>VLOOKUP($A127,'Data shares'!$C:$FB,10)*100</f>
        <v>-0.08</v>
      </c>
      <c r="D127" s="49">
        <f>VLOOKUP($A127,'Data shares'!$C:$FB,66)</f>
        <v>9713750</v>
      </c>
      <c r="E127" s="49">
        <f>VLOOKUP($A127,'Data shares'!$C:$FB,67)</f>
        <v>18400000</v>
      </c>
      <c r="F127" s="50">
        <f>VLOOKUP($A127,'Data shares'!$C:$FB,69)*100</f>
        <v>-47.21</v>
      </c>
      <c r="G127" s="49">
        <f>VLOOKUP($A127,'Data shares'!$C:$FB,42)</f>
        <v>6556250</v>
      </c>
      <c r="H127" s="49">
        <f>VLOOKUP($A127,'Data shares'!$C:$FB,43)</f>
        <v>11110000</v>
      </c>
      <c r="I127" s="50">
        <f>VLOOKUP($A127,'Data shares'!$C:$FB,45)*100</f>
        <v>-40.99</v>
      </c>
      <c r="J127" s="49">
        <f>VLOOKUP($A127,'Data shares'!$C:$FB,58)</f>
        <v>2180000</v>
      </c>
      <c r="K127" s="49">
        <f>VLOOKUP($A127,'Data shares'!$C:$FB,59)</f>
        <v>5293750</v>
      </c>
      <c r="L127" s="50">
        <f>VLOOKUP($A127,'Data shares'!$C:$FB,61)*100</f>
        <v>-58.819999999999993</v>
      </c>
      <c r="M127" s="49">
        <f>VLOOKUP($A127,'Data shares'!$C:$FB,62)</f>
        <v>977500</v>
      </c>
      <c r="N127" s="49">
        <f>VLOOKUP($A127,'Data shares'!$C:$FB,63)</f>
        <v>1996250</v>
      </c>
      <c r="O127" s="140">
        <f>VLOOKUP($A127,'Data shares'!$C:$FB,65)*100</f>
        <v>-51.03</v>
      </c>
    </row>
    <row r="128" spans="1:15" x14ac:dyDescent="0.25">
      <c r="A128" s="101" t="str">
        <f>'Data shares'!C123</f>
        <v>KALYANKJIL</v>
      </c>
      <c r="B128" s="50">
        <f>VLOOKUP($A128,'Data shares'!$C:$FB,7)</f>
        <v>594.70000000000005</v>
      </c>
      <c r="C128" s="50">
        <f>VLOOKUP($A128,'Data shares'!$C:$FB,10)*100</f>
        <v>-1.97</v>
      </c>
      <c r="D128" s="49">
        <f>VLOOKUP($A128,'Data shares'!$C:$FB,66)</f>
        <v>23283800</v>
      </c>
      <c r="E128" s="49">
        <f>VLOOKUP($A128,'Data shares'!$C:$FB,67)</f>
        <v>26130825</v>
      </c>
      <c r="F128" s="50">
        <f>VLOOKUP($A128,'Data shares'!$C:$FB,69)*100</f>
        <v>-10.9</v>
      </c>
      <c r="G128" s="49">
        <f>VLOOKUP($A128,'Data shares'!$C:$FB,42)</f>
        <v>10584400</v>
      </c>
      <c r="H128" s="49">
        <f>VLOOKUP($A128,'Data shares'!$C:$FB,43)</f>
        <v>12298725</v>
      </c>
      <c r="I128" s="50">
        <f>VLOOKUP($A128,'Data shares'!$C:$FB,45)*100</f>
        <v>-13.94</v>
      </c>
      <c r="J128" s="49">
        <f>VLOOKUP($A128,'Data shares'!$C:$FB,58)</f>
        <v>8713800</v>
      </c>
      <c r="K128" s="49">
        <f>VLOOKUP($A128,'Data shares'!$C:$FB,59)</f>
        <v>9906425</v>
      </c>
      <c r="L128" s="50">
        <f>VLOOKUP($A128,'Data shares'!$C:$FB,61)*100</f>
        <v>-12.04</v>
      </c>
      <c r="M128" s="49">
        <f>VLOOKUP($A128,'Data shares'!$C:$FB,62)</f>
        <v>3985600</v>
      </c>
      <c r="N128" s="49">
        <f>VLOOKUP($A128,'Data shares'!$C:$FB,63)</f>
        <v>3925675</v>
      </c>
      <c r="O128" s="140">
        <f>VLOOKUP($A128,'Data shares'!$C:$FB,65)*100</f>
        <v>1.53</v>
      </c>
    </row>
    <row r="129" spans="1:15" x14ac:dyDescent="0.25">
      <c r="A129" s="101" t="str">
        <f>'Data shares'!C124</f>
        <v>KAYNES</v>
      </c>
      <c r="B129" s="50">
        <f>VLOOKUP($A129,'Data shares'!$C:$FB,7)</f>
        <v>6172</v>
      </c>
      <c r="C129" s="50">
        <f>VLOOKUP($A129,'Data shares'!$C:$FB,10)*100</f>
        <v>9.4700000000000006</v>
      </c>
      <c r="D129" s="49">
        <f>VLOOKUP($A129,'Data shares'!$C:$FB,66)</f>
        <v>19098700</v>
      </c>
      <c r="E129" s="49">
        <f>VLOOKUP($A129,'Data shares'!$C:$FB,67)</f>
        <v>6956100</v>
      </c>
      <c r="F129" s="50">
        <f>VLOOKUP($A129,'Data shares'!$C:$FB,69)*100</f>
        <v>174.56</v>
      </c>
      <c r="G129" s="49">
        <f>VLOOKUP($A129,'Data shares'!$C:$FB,42)</f>
        <v>2823600</v>
      </c>
      <c r="H129" s="49">
        <f>VLOOKUP($A129,'Data shares'!$C:$FB,43)</f>
        <v>963800</v>
      </c>
      <c r="I129" s="50">
        <f>VLOOKUP($A129,'Data shares'!$C:$FB,45)*100</f>
        <v>192.97</v>
      </c>
      <c r="J129" s="49">
        <f>VLOOKUP($A129,'Data shares'!$C:$FB,58)</f>
        <v>11897400</v>
      </c>
      <c r="K129" s="49">
        <f>VLOOKUP($A129,'Data shares'!$C:$FB,59)</f>
        <v>4462800</v>
      </c>
      <c r="L129" s="50">
        <f>VLOOKUP($A129,'Data shares'!$C:$FB,61)*100</f>
        <v>166.59</v>
      </c>
      <c r="M129" s="49">
        <f>VLOOKUP($A129,'Data shares'!$C:$FB,62)</f>
        <v>4377700</v>
      </c>
      <c r="N129" s="49">
        <f>VLOOKUP($A129,'Data shares'!$C:$FB,63)</f>
        <v>1529500</v>
      </c>
      <c r="O129" s="140">
        <f>VLOOKUP($A129,'Data shares'!$C:$FB,65)*100</f>
        <v>186.22</v>
      </c>
    </row>
    <row r="130" spans="1:15" x14ac:dyDescent="0.25">
      <c r="A130" s="101" t="str">
        <f>'Data shares'!C125</f>
        <v>KEI</v>
      </c>
      <c r="B130" s="50">
        <f>VLOOKUP($A130,'Data shares'!$C:$FB,7)</f>
        <v>3844.2</v>
      </c>
      <c r="C130" s="50">
        <f>VLOOKUP($A130,'Data shares'!$C:$FB,10)*100</f>
        <v>-1.47</v>
      </c>
      <c r="D130" s="49">
        <f>VLOOKUP($A130,'Data shares'!$C:$FB,66)</f>
        <v>2551500</v>
      </c>
      <c r="E130" s="49">
        <f>VLOOKUP($A130,'Data shares'!$C:$FB,67)</f>
        <v>2502850</v>
      </c>
      <c r="F130" s="50">
        <f>VLOOKUP($A130,'Data shares'!$C:$FB,69)*100</f>
        <v>1.94</v>
      </c>
      <c r="G130" s="49">
        <f>VLOOKUP($A130,'Data shares'!$C:$FB,42)</f>
        <v>1041600</v>
      </c>
      <c r="H130" s="49">
        <f>VLOOKUP($A130,'Data shares'!$C:$FB,43)</f>
        <v>741475</v>
      </c>
      <c r="I130" s="50">
        <f>VLOOKUP($A130,'Data shares'!$C:$FB,45)*100</f>
        <v>40.479999999999997</v>
      </c>
      <c r="J130" s="49">
        <f>VLOOKUP($A130,'Data shares'!$C:$FB,58)</f>
        <v>1073275</v>
      </c>
      <c r="K130" s="49">
        <f>VLOOKUP($A130,'Data shares'!$C:$FB,59)</f>
        <v>1318275</v>
      </c>
      <c r="L130" s="50">
        <f>VLOOKUP($A130,'Data shares'!$C:$FB,61)*100</f>
        <v>-18.579999999999998</v>
      </c>
      <c r="M130" s="49">
        <f>VLOOKUP($A130,'Data shares'!$C:$FB,62)</f>
        <v>436625</v>
      </c>
      <c r="N130" s="49">
        <f>VLOOKUP($A130,'Data shares'!$C:$FB,63)</f>
        <v>443100</v>
      </c>
      <c r="O130" s="140">
        <f>VLOOKUP($A130,'Data shares'!$C:$FB,65)*100</f>
        <v>-1.46</v>
      </c>
    </row>
    <row r="131" spans="1:15" x14ac:dyDescent="0.25">
      <c r="A131" s="101" t="str">
        <f>'Data shares'!C126</f>
        <v>KFINTECH</v>
      </c>
      <c r="B131" s="50">
        <f>VLOOKUP($A131,'Data shares'!$C:$FB,7)</f>
        <v>1082.9000000000001</v>
      </c>
      <c r="C131" s="50">
        <f>VLOOKUP($A131,'Data shares'!$C:$FB,10)*100</f>
        <v>-2.37</v>
      </c>
      <c r="D131" s="49">
        <f>VLOOKUP($A131,'Data shares'!$C:$FB,66)</f>
        <v>3389850</v>
      </c>
      <c r="E131" s="49">
        <f>VLOOKUP($A131,'Data shares'!$C:$FB,67)</f>
        <v>3734550</v>
      </c>
      <c r="F131" s="50">
        <f>VLOOKUP($A131,'Data shares'!$C:$FB,69)*100</f>
        <v>-9.2299999999999986</v>
      </c>
      <c r="G131" s="49">
        <f>VLOOKUP($A131,'Data shares'!$C:$FB,42)</f>
        <v>1699200</v>
      </c>
      <c r="H131" s="49">
        <f>VLOOKUP($A131,'Data shares'!$C:$FB,43)</f>
        <v>1518300</v>
      </c>
      <c r="I131" s="50">
        <f>VLOOKUP($A131,'Data shares'!$C:$FB,45)*100</f>
        <v>11.91</v>
      </c>
      <c r="J131" s="49">
        <f>VLOOKUP($A131,'Data shares'!$C:$FB,58)</f>
        <v>874350</v>
      </c>
      <c r="K131" s="49">
        <f>VLOOKUP($A131,'Data shares'!$C:$FB,59)</f>
        <v>1561050</v>
      </c>
      <c r="L131" s="50">
        <f>VLOOKUP($A131,'Data shares'!$C:$FB,61)*100</f>
        <v>-43.99</v>
      </c>
      <c r="M131" s="49">
        <f>VLOOKUP($A131,'Data shares'!$C:$FB,62)</f>
        <v>816300</v>
      </c>
      <c r="N131" s="49">
        <f>VLOOKUP($A131,'Data shares'!$C:$FB,63)</f>
        <v>655200</v>
      </c>
      <c r="O131" s="140">
        <f>VLOOKUP($A131,'Data shares'!$C:$FB,65)*100</f>
        <v>24.59</v>
      </c>
    </row>
    <row r="132" spans="1:15" x14ac:dyDescent="0.25">
      <c r="A132" s="101" t="str">
        <f>'Data shares'!C127</f>
        <v>KOTAKBANK</v>
      </c>
      <c r="B132" s="50">
        <f>VLOOKUP($A132,'Data shares'!$C:$FB,7)</f>
        <v>1978.6</v>
      </c>
      <c r="C132" s="50">
        <f>VLOOKUP($A132,'Data shares'!$C:$FB,10)*100</f>
        <v>0.96</v>
      </c>
      <c r="D132" s="49">
        <f>VLOOKUP($A132,'Data shares'!$C:$FB,66)</f>
        <v>64669600</v>
      </c>
      <c r="E132" s="49">
        <f>VLOOKUP($A132,'Data shares'!$C:$FB,67)</f>
        <v>45850800</v>
      </c>
      <c r="F132" s="50">
        <f>VLOOKUP($A132,'Data shares'!$C:$FB,69)*100</f>
        <v>41.04</v>
      </c>
      <c r="G132" s="49">
        <f>VLOOKUP($A132,'Data shares'!$C:$FB,42)</f>
        <v>19550800</v>
      </c>
      <c r="H132" s="49">
        <f>VLOOKUP($A132,'Data shares'!$C:$FB,43)</f>
        <v>16038400</v>
      </c>
      <c r="I132" s="50">
        <f>VLOOKUP($A132,'Data shares'!$C:$FB,45)*100</f>
        <v>21.9</v>
      </c>
      <c r="J132" s="49">
        <f>VLOOKUP($A132,'Data shares'!$C:$FB,58)</f>
        <v>28938000</v>
      </c>
      <c r="K132" s="49">
        <f>VLOOKUP($A132,'Data shares'!$C:$FB,59)</f>
        <v>20174000</v>
      </c>
      <c r="L132" s="50">
        <f>VLOOKUP($A132,'Data shares'!$C:$FB,61)*100</f>
        <v>43.44</v>
      </c>
      <c r="M132" s="49">
        <f>VLOOKUP($A132,'Data shares'!$C:$FB,62)</f>
        <v>16180800</v>
      </c>
      <c r="N132" s="49">
        <f>VLOOKUP($A132,'Data shares'!$C:$FB,63)</f>
        <v>9638400</v>
      </c>
      <c r="O132" s="140">
        <f>VLOOKUP($A132,'Data shares'!$C:$FB,65)*100</f>
        <v>67.88</v>
      </c>
    </row>
    <row r="133" spans="1:15" x14ac:dyDescent="0.25">
      <c r="A133" s="101" t="str">
        <f>'Data shares'!C128</f>
        <v>KPITTECH</v>
      </c>
      <c r="B133" s="50">
        <f>VLOOKUP($A133,'Data shares'!$C:$FB,7)</f>
        <v>1226.4000000000001</v>
      </c>
      <c r="C133" s="50">
        <f>VLOOKUP($A133,'Data shares'!$C:$FB,10)*100</f>
        <v>-3.32</v>
      </c>
      <c r="D133" s="49">
        <f>VLOOKUP($A133,'Data shares'!$C:$FB,66)</f>
        <v>21055600</v>
      </c>
      <c r="E133" s="49">
        <f>VLOOKUP($A133,'Data shares'!$C:$FB,67)</f>
        <v>61515600</v>
      </c>
      <c r="F133" s="50">
        <f>VLOOKUP($A133,'Data shares'!$C:$FB,69)*100</f>
        <v>-65.77</v>
      </c>
      <c r="G133" s="49">
        <f>VLOOKUP($A133,'Data shares'!$C:$FB,42)</f>
        <v>6126400</v>
      </c>
      <c r="H133" s="49">
        <f>VLOOKUP($A133,'Data shares'!$C:$FB,43)</f>
        <v>9740800</v>
      </c>
      <c r="I133" s="50">
        <f>VLOOKUP($A133,'Data shares'!$C:$FB,45)*100</f>
        <v>-37.11</v>
      </c>
      <c r="J133" s="49">
        <f>VLOOKUP($A133,'Data shares'!$C:$FB,58)</f>
        <v>8636000</v>
      </c>
      <c r="K133" s="49">
        <f>VLOOKUP($A133,'Data shares'!$C:$FB,59)</f>
        <v>31739200</v>
      </c>
      <c r="L133" s="50">
        <f>VLOOKUP($A133,'Data shares'!$C:$FB,61)*100</f>
        <v>-72.789999999999992</v>
      </c>
      <c r="M133" s="49">
        <f>VLOOKUP($A133,'Data shares'!$C:$FB,62)</f>
        <v>6293200</v>
      </c>
      <c r="N133" s="49">
        <f>VLOOKUP($A133,'Data shares'!$C:$FB,63)</f>
        <v>20035600</v>
      </c>
      <c r="O133" s="140">
        <f>VLOOKUP($A133,'Data shares'!$C:$FB,65)*100</f>
        <v>-68.589999999999989</v>
      </c>
    </row>
    <row r="134" spans="1:15" x14ac:dyDescent="0.25">
      <c r="A134" s="101" t="str">
        <f>'Data shares'!C129</f>
        <v>LAURUSLABS</v>
      </c>
      <c r="B134" s="50">
        <f>VLOOKUP($A134,'Data shares'!$C:$FB,7)</f>
        <v>874.35</v>
      </c>
      <c r="C134" s="50">
        <f>VLOOKUP($A134,'Data shares'!$C:$FB,10)*100</f>
        <v>-0.80999999999999994</v>
      </c>
      <c r="D134" s="49">
        <f>VLOOKUP($A134,'Data shares'!$C:$FB,66)</f>
        <v>42248400</v>
      </c>
      <c r="E134" s="49">
        <f>VLOOKUP($A134,'Data shares'!$C:$FB,67)</f>
        <v>124839500</v>
      </c>
      <c r="F134" s="50">
        <f>VLOOKUP($A134,'Data shares'!$C:$FB,69)*100</f>
        <v>-66.16</v>
      </c>
      <c r="G134" s="49">
        <f>VLOOKUP($A134,'Data shares'!$C:$FB,42)</f>
        <v>10946300</v>
      </c>
      <c r="H134" s="49">
        <f>VLOOKUP($A134,'Data shares'!$C:$FB,43)</f>
        <v>16552900</v>
      </c>
      <c r="I134" s="50">
        <f>VLOOKUP($A134,'Data shares'!$C:$FB,45)*100</f>
        <v>-33.869999999999997</v>
      </c>
      <c r="J134" s="49">
        <f>VLOOKUP($A134,'Data shares'!$C:$FB,58)</f>
        <v>15952800</v>
      </c>
      <c r="K134" s="49">
        <f>VLOOKUP($A134,'Data shares'!$C:$FB,59)</f>
        <v>60341500</v>
      </c>
      <c r="L134" s="50">
        <f>VLOOKUP($A134,'Data shares'!$C:$FB,61)*100</f>
        <v>-73.56</v>
      </c>
      <c r="M134" s="49">
        <f>VLOOKUP($A134,'Data shares'!$C:$FB,62)</f>
        <v>15349300</v>
      </c>
      <c r="N134" s="49">
        <f>VLOOKUP($A134,'Data shares'!$C:$FB,63)</f>
        <v>47945100</v>
      </c>
      <c r="O134" s="140">
        <f>VLOOKUP($A134,'Data shares'!$C:$FB,65)*100</f>
        <v>-67.989999999999995</v>
      </c>
    </row>
    <row r="135" spans="1:15" x14ac:dyDescent="0.25">
      <c r="A135" s="101" t="str">
        <f>'Data shares'!C130</f>
        <v>LICHSGFIN</v>
      </c>
      <c r="B135" s="50">
        <f>VLOOKUP($A135,'Data shares'!$C:$FB,7)</f>
        <v>586.04999999999995</v>
      </c>
      <c r="C135" s="50">
        <f>VLOOKUP($A135,'Data shares'!$C:$FB,10)*100</f>
        <v>-0.67999999999999994</v>
      </c>
      <c r="D135" s="49">
        <f>VLOOKUP($A135,'Data shares'!$C:$FB,66)</f>
        <v>28436000</v>
      </c>
      <c r="E135" s="49">
        <f>VLOOKUP($A135,'Data shares'!$C:$FB,67)</f>
        <v>22826000</v>
      </c>
      <c r="F135" s="50">
        <f>VLOOKUP($A135,'Data shares'!$C:$FB,69)*100</f>
        <v>24.58</v>
      </c>
      <c r="G135" s="49">
        <f>VLOOKUP($A135,'Data shares'!$C:$FB,42)</f>
        <v>14012000</v>
      </c>
      <c r="H135" s="49">
        <f>VLOOKUP($A135,'Data shares'!$C:$FB,43)</f>
        <v>11890000</v>
      </c>
      <c r="I135" s="50">
        <f>VLOOKUP($A135,'Data shares'!$C:$FB,45)*100</f>
        <v>17.849999999999998</v>
      </c>
      <c r="J135" s="49">
        <f>VLOOKUP($A135,'Data shares'!$C:$FB,58)</f>
        <v>9076000</v>
      </c>
      <c r="K135" s="49">
        <f>VLOOKUP($A135,'Data shares'!$C:$FB,59)</f>
        <v>6048000</v>
      </c>
      <c r="L135" s="50">
        <f>VLOOKUP($A135,'Data shares'!$C:$FB,61)*100</f>
        <v>50.07</v>
      </c>
      <c r="M135" s="49">
        <f>VLOOKUP($A135,'Data shares'!$C:$FB,62)</f>
        <v>5348000</v>
      </c>
      <c r="N135" s="49">
        <f>VLOOKUP($A135,'Data shares'!$C:$FB,63)</f>
        <v>4888000</v>
      </c>
      <c r="O135" s="140">
        <f>VLOOKUP($A135,'Data shares'!$C:$FB,65)*100</f>
        <v>9.41</v>
      </c>
    </row>
    <row r="136" spans="1:15" x14ac:dyDescent="0.25">
      <c r="A136" s="101" t="str">
        <f>'Data shares'!C131</f>
        <v>LICI</v>
      </c>
      <c r="B136" s="50">
        <f>VLOOKUP($A136,'Data shares'!$C:$FB,7)</f>
        <v>895</v>
      </c>
      <c r="C136" s="50">
        <f>VLOOKUP($A136,'Data shares'!$C:$FB,10)*100</f>
        <v>-0.77999999999999992</v>
      </c>
      <c r="D136" s="49">
        <f>VLOOKUP($A136,'Data shares'!$C:$FB,66)</f>
        <v>7941500</v>
      </c>
      <c r="E136" s="49">
        <f>VLOOKUP($A136,'Data shares'!$C:$FB,67)</f>
        <v>9300200</v>
      </c>
      <c r="F136" s="50">
        <f>VLOOKUP($A136,'Data shares'!$C:$FB,69)*100</f>
        <v>-14.610000000000001</v>
      </c>
      <c r="G136" s="49">
        <f>VLOOKUP($A136,'Data shares'!$C:$FB,42)</f>
        <v>4381300</v>
      </c>
      <c r="H136" s="49">
        <f>VLOOKUP($A136,'Data shares'!$C:$FB,43)</f>
        <v>4236400</v>
      </c>
      <c r="I136" s="50">
        <f>VLOOKUP($A136,'Data shares'!$C:$FB,45)*100</f>
        <v>3.42</v>
      </c>
      <c r="J136" s="49">
        <f>VLOOKUP($A136,'Data shares'!$C:$FB,58)</f>
        <v>2190300</v>
      </c>
      <c r="K136" s="49">
        <f>VLOOKUP($A136,'Data shares'!$C:$FB,59)</f>
        <v>3836000</v>
      </c>
      <c r="L136" s="50">
        <f>VLOOKUP($A136,'Data shares'!$C:$FB,61)*100</f>
        <v>-42.9</v>
      </c>
      <c r="M136" s="49">
        <f>VLOOKUP($A136,'Data shares'!$C:$FB,62)</f>
        <v>1369900</v>
      </c>
      <c r="N136" s="49">
        <f>VLOOKUP($A136,'Data shares'!$C:$FB,63)</f>
        <v>1227800</v>
      </c>
      <c r="O136" s="140">
        <f>VLOOKUP($A136,'Data shares'!$C:$FB,65)*100</f>
        <v>11.57</v>
      </c>
    </row>
    <row r="137" spans="1:15" x14ac:dyDescent="0.25">
      <c r="A137" s="101" t="str">
        <f>'Data shares'!C132</f>
        <v>LODHA</v>
      </c>
      <c r="B137" s="50">
        <f>VLOOKUP($A137,'Data shares'!$C:$FB,7)</f>
        <v>1231.5999999999999</v>
      </c>
      <c r="C137" s="50">
        <f>VLOOKUP($A137,'Data shares'!$C:$FB,10)*100</f>
        <v>-0.53</v>
      </c>
      <c r="D137" s="49">
        <f>VLOOKUP($A137,'Data shares'!$C:$FB,66)</f>
        <v>8100450</v>
      </c>
      <c r="E137" s="49">
        <f>VLOOKUP($A137,'Data shares'!$C:$FB,67)</f>
        <v>9066600</v>
      </c>
      <c r="F137" s="50">
        <f>VLOOKUP($A137,'Data shares'!$C:$FB,69)*100</f>
        <v>-10.66</v>
      </c>
      <c r="G137" s="49">
        <f>VLOOKUP($A137,'Data shares'!$C:$FB,42)</f>
        <v>4230000</v>
      </c>
      <c r="H137" s="49">
        <f>VLOOKUP($A137,'Data shares'!$C:$FB,43)</f>
        <v>4456800</v>
      </c>
      <c r="I137" s="50">
        <f>VLOOKUP($A137,'Data shares'!$C:$FB,45)*100</f>
        <v>-5.09</v>
      </c>
      <c r="J137" s="49">
        <f>VLOOKUP($A137,'Data shares'!$C:$FB,58)</f>
        <v>2389050</v>
      </c>
      <c r="K137" s="49">
        <f>VLOOKUP($A137,'Data shares'!$C:$FB,59)</f>
        <v>2965500</v>
      </c>
      <c r="L137" s="50">
        <f>VLOOKUP($A137,'Data shares'!$C:$FB,61)*100</f>
        <v>-19.439999999999998</v>
      </c>
      <c r="M137" s="49">
        <f>VLOOKUP($A137,'Data shares'!$C:$FB,62)</f>
        <v>1481400</v>
      </c>
      <c r="N137" s="49">
        <f>VLOOKUP($A137,'Data shares'!$C:$FB,63)</f>
        <v>1644300</v>
      </c>
      <c r="O137" s="140">
        <f>VLOOKUP($A137,'Data shares'!$C:$FB,65)*100</f>
        <v>-9.91</v>
      </c>
    </row>
    <row r="138" spans="1:15" x14ac:dyDescent="0.25">
      <c r="A138" s="101" t="str">
        <f>'Data shares'!C133</f>
        <v>LT</v>
      </c>
      <c r="B138" s="50">
        <f>VLOOKUP($A138,'Data shares'!$C:$FB,7)</f>
        <v>3636.5</v>
      </c>
      <c r="C138" s="50">
        <f>VLOOKUP($A138,'Data shares'!$C:$FB,10)*100</f>
        <v>-0.77999999999999992</v>
      </c>
      <c r="D138" s="49">
        <f>VLOOKUP($A138,'Data shares'!$C:$FB,66)</f>
        <v>25561725</v>
      </c>
      <c r="E138" s="49">
        <f>VLOOKUP($A138,'Data shares'!$C:$FB,67)</f>
        <v>119108325</v>
      </c>
      <c r="F138" s="50">
        <f>VLOOKUP($A138,'Data shares'!$C:$FB,69)*100</f>
        <v>-78.539999999999992</v>
      </c>
      <c r="G138" s="49">
        <f>VLOOKUP($A138,'Data shares'!$C:$FB,42)</f>
        <v>6950650</v>
      </c>
      <c r="H138" s="49">
        <f>VLOOKUP($A138,'Data shares'!$C:$FB,43)</f>
        <v>14553525</v>
      </c>
      <c r="I138" s="50">
        <f>VLOOKUP($A138,'Data shares'!$C:$FB,45)*100</f>
        <v>-52.239999999999995</v>
      </c>
      <c r="J138" s="49">
        <f>VLOOKUP($A138,'Data shares'!$C:$FB,58)</f>
        <v>12095650</v>
      </c>
      <c r="K138" s="49">
        <f>VLOOKUP($A138,'Data shares'!$C:$FB,59)</f>
        <v>76775125</v>
      </c>
      <c r="L138" s="50">
        <f>VLOOKUP($A138,'Data shares'!$C:$FB,61)*100</f>
        <v>-84.25</v>
      </c>
      <c r="M138" s="49">
        <f>VLOOKUP($A138,'Data shares'!$C:$FB,62)</f>
        <v>6515425</v>
      </c>
      <c r="N138" s="49">
        <f>VLOOKUP($A138,'Data shares'!$C:$FB,63)</f>
        <v>27779675</v>
      </c>
      <c r="O138" s="140">
        <f>VLOOKUP($A138,'Data shares'!$C:$FB,65)*100</f>
        <v>-76.55</v>
      </c>
    </row>
    <row r="139" spans="1:15" x14ac:dyDescent="0.25">
      <c r="A139" s="101" t="str">
        <f>'Data shares'!C134</f>
        <v>LTF</v>
      </c>
      <c r="B139" s="50">
        <f>VLOOKUP($A139,'Data shares'!$C:$FB,7)</f>
        <v>202.59</v>
      </c>
      <c r="C139" s="50">
        <f>VLOOKUP($A139,'Data shares'!$C:$FB,10)*100</f>
        <v>-0.4</v>
      </c>
      <c r="D139" s="49">
        <f>VLOOKUP($A139,'Data shares'!$C:$FB,66)</f>
        <v>71240292</v>
      </c>
      <c r="E139" s="49">
        <f>VLOOKUP($A139,'Data shares'!$C:$FB,67)</f>
        <v>106695344</v>
      </c>
      <c r="F139" s="50">
        <f>VLOOKUP($A139,'Data shares'!$C:$FB,69)*100</f>
        <v>-33.229999999999997</v>
      </c>
      <c r="G139" s="49">
        <f>VLOOKUP($A139,'Data shares'!$C:$FB,42)</f>
        <v>35887866</v>
      </c>
      <c r="H139" s="49">
        <f>VLOOKUP($A139,'Data shares'!$C:$FB,43)</f>
        <v>38306270</v>
      </c>
      <c r="I139" s="50">
        <f>VLOOKUP($A139,'Data shares'!$C:$FB,45)*100</f>
        <v>-6.3100000000000005</v>
      </c>
      <c r="J139" s="49">
        <f>VLOOKUP($A139,'Data shares'!$C:$FB,58)</f>
        <v>23327336</v>
      </c>
      <c r="K139" s="49">
        <f>VLOOKUP($A139,'Data shares'!$C:$FB,59)</f>
        <v>41599226</v>
      </c>
      <c r="L139" s="50">
        <f>VLOOKUP($A139,'Data shares'!$C:$FB,61)*100</f>
        <v>-43.919999999999995</v>
      </c>
      <c r="M139" s="49">
        <f>VLOOKUP($A139,'Data shares'!$C:$FB,62)</f>
        <v>12025090</v>
      </c>
      <c r="N139" s="49">
        <f>VLOOKUP($A139,'Data shares'!$C:$FB,63)</f>
        <v>26789848</v>
      </c>
      <c r="O139" s="140">
        <f>VLOOKUP($A139,'Data shares'!$C:$FB,65)*100</f>
        <v>-55.110000000000007</v>
      </c>
    </row>
    <row r="140" spans="1:15" x14ac:dyDescent="0.25">
      <c r="A140" s="101" t="str">
        <f>'Data shares'!C135</f>
        <v>LTIM</v>
      </c>
      <c r="B140" s="50">
        <f>VLOOKUP($A140,'Data shares'!$C:$FB,7)</f>
        <v>5106</v>
      </c>
      <c r="C140" s="50">
        <f>VLOOKUP($A140,'Data shares'!$C:$FB,10)*100</f>
        <v>-0.65</v>
      </c>
      <c r="D140" s="49">
        <f>VLOOKUP($A140,'Data shares'!$C:$FB,66)</f>
        <v>1827900</v>
      </c>
      <c r="E140" s="49">
        <f>VLOOKUP($A140,'Data shares'!$C:$FB,67)</f>
        <v>3175050</v>
      </c>
      <c r="F140" s="50">
        <f>VLOOKUP($A140,'Data shares'!$C:$FB,69)*100</f>
        <v>-42.43</v>
      </c>
      <c r="G140" s="49">
        <f>VLOOKUP($A140,'Data shares'!$C:$FB,42)</f>
        <v>804450</v>
      </c>
      <c r="H140" s="49">
        <f>VLOOKUP($A140,'Data shares'!$C:$FB,43)</f>
        <v>1537500</v>
      </c>
      <c r="I140" s="50">
        <f>VLOOKUP($A140,'Data shares'!$C:$FB,45)*100</f>
        <v>-47.68</v>
      </c>
      <c r="J140" s="49">
        <f>VLOOKUP($A140,'Data shares'!$C:$FB,58)</f>
        <v>727050</v>
      </c>
      <c r="K140" s="49">
        <f>VLOOKUP($A140,'Data shares'!$C:$FB,59)</f>
        <v>1198050</v>
      </c>
      <c r="L140" s="50">
        <f>VLOOKUP($A140,'Data shares'!$C:$FB,61)*100</f>
        <v>-39.31</v>
      </c>
      <c r="M140" s="49">
        <f>VLOOKUP($A140,'Data shares'!$C:$FB,62)</f>
        <v>296400</v>
      </c>
      <c r="N140" s="49">
        <f>VLOOKUP($A140,'Data shares'!$C:$FB,63)</f>
        <v>439500</v>
      </c>
      <c r="O140" s="140">
        <f>VLOOKUP($A140,'Data shares'!$C:$FB,65)*100</f>
        <v>-32.56</v>
      </c>
    </row>
    <row r="141" spans="1:15" x14ac:dyDescent="0.25">
      <c r="A141" s="101" t="str">
        <f>'Data shares'!C136</f>
        <v>LUPIN</v>
      </c>
      <c r="B141" s="50">
        <f>VLOOKUP($A141,'Data shares'!$C:$FB,7)</f>
        <v>1929.1</v>
      </c>
      <c r="C141" s="50">
        <f>VLOOKUP($A141,'Data shares'!$C:$FB,10)*100</f>
        <v>-2.8000000000000003</v>
      </c>
      <c r="D141" s="49">
        <f>VLOOKUP($A141,'Data shares'!$C:$FB,66)</f>
        <v>14988475</v>
      </c>
      <c r="E141" s="49">
        <f>VLOOKUP($A141,'Data shares'!$C:$FB,67)</f>
        <v>12314800</v>
      </c>
      <c r="F141" s="50">
        <f>VLOOKUP($A141,'Data shares'!$C:$FB,69)*100</f>
        <v>21.709999999999997</v>
      </c>
      <c r="G141" s="49">
        <f>VLOOKUP($A141,'Data shares'!$C:$FB,42)</f>
        <v>8724400</v>
      </c>
      <c r="H141" s="49">
        <f>VLOOKUP($A141,'Data shares'!$C:$FB,43)</f>
        <v>7716725</v>
      </c>
      <c r="I141" s="50">
        <f>VLOOKUP($A141,'Data shares'!$C:$FB,45)*100</f>
        <v>13.059999999999999</v>
      </c>
      <c r="J141" s="49">
        <f>VLOOKUP($A141,'Data shares'!$C:$FB,58)</f>
        <v>3261025</v>
      </c>
      <c r="K141" s="49">
        <f>VLOOKUP($A141,'Data shares'!$C:$FB,59)</f>
        <v>3228725</v>
      </c>
      <c r="L141" s="50">
        <f>VLOOKUP($A141,'Data shares'!$C:$FB,61)*100</f>
        <v>1</v>
      </c>
      <c r="M141" s="49">
        <f>VLOOKUP($A141,'Data shares'!$C:$FB,62)</f>
        <v>3003050</v>
      </c>
      <c r="N141" s="49">
        <f>VLOOKUP($A141,'Data shares'!$C:$FB,63)</f>
        <v>1369350</v>
      </c>
      <c r="O141" s="140">
        <f>VLOOKUP($A141,'Data shares'!$C:$FB,65)*100</f>
        <v>119.30000000000001</v>
      </c>
    </row>
    <row r="142" spans="1:15" x14ac:dyDescent="0.25">
      <c r="A142" s="101" t="str">
        <f>'Data shares'!C137</f>
        <v>M&amp;M</v>
      </c>
      <c r="B142" s="50">
        <f>VLOOKUP($A142,'Data shares'!$C:$FB,7)</f>
        <v>3203.1</v>
      </c>
      <c r="C142" s="50">
        <f>VLOOKUP($A142,'Data shares'!$C:$FB,10)*100</f>
        <v>-0.18</v>
      </c>
      <c r="D142" s="49">
        <f>VLOOKUP($A142,'Data shares'!$C:$FB,66)</f>
        <v>49178200</v>
      </c>
      <c r="E142" s="49">
        <f>VLOOKUP($A142,'Data shares'!$C:$FB,67)</f>
        <v>43224600</v>
      </c>
      <c r="F142" s="50">
        <f>VLOOKUP($A142,'Data shares'!$C:$FB,69)*100</f>
        <v>13.77</v>
      </c>
      <c r="G142" s="49">
        <f>VLOOKUP($A142,'Data shares'!$C:$FB,42)</f>
        <v>10710800</v>
      </c>
      <c r="H142" s="49">
        <f>VLOOKUP($A142,'Data shares'!$C:$FB,43)</f>
        <v>14710400</v>
      </c>
      <c r="I142" s="50">
        <f>VLOOKUP($A142,'Data shares'!$C:$FB,45)*100</f>
        <v>-27.189999999999998</v>
      </c>
      <c r="J142" s="49">
        <f>VLOOKUP($A142,'Data shares'!$C:$FB,58)</f>
        <v>26863000</v>
      </c>
      <c r="K142" s="49">
        <f>VLOOKUP($A142,'Data shares'!$C:$FB,59)</f>
        <v>19473000</v>
      </c>
      <c r="L142" s="50">
        <f>VLOOKUP($A142,'Data shares'!$C:$FB,61)*100</f>
        <v>37.950000000000003</v>
      </c>
      <c r="M142" s="49">
        <f>VLOOKUP($A142,'Data shares'!$C:$FB,62)</f>
        <v>11604400</v>
      </c>
      <c r="N142" s="49">
        <f>VLOOKUP($A142,'Data shares'!$C:$FB,63)</f>
        <v>9041200</v>
      </c>
      <c r="O142" s="140">
        <f>VLOOKUP($A142,'Data shares'!$C:$FB,65)*100</f>
        <v>28.349999999999998</v>
      </c>
    </row>
    <row r="143" spans="1:15" x14ac:dyDescent="0.25">
      <c r="A143" s="101" t="str">
        <f>'Data shares'!C138</f>
        <v>M&amp;MFIN</v>
      </c>
      <c r="B143" s="50">
        <f>VLOOKUP($A143,'Data shares'!$C:$FB,7)</f>
        <v>257.5</v>
      </c>
      <c r="C143" s="50">
        <f>VLOOKUP($A143,'Data shares'!$C:$FB,10)*100</f>
        <v>-0.06</v>
      </c>
      <c r="D143" s="49">
        <f>VLOOKUP($A143,'Data shares'!$C:$FB,66)</f>
        <v>12708136</v>
      </c>
      <c r="E143" s="49">
        <f>VLOOKUP($A143,'Data shares'!$C:$FB,67)</f>
        <v>16388376</v>
      </c>
      <c r="F143" s="50">
        <f>VLOOKUP($A143,'Data shares'!$C:$FB,69)*100</f>
        <v>-22.46</v>
      </c>
      <c r="G143" s="49">
        <f>VLOOKUP($A143,'Data shares'!$C:$FB,42)</f>
        <v>6509296</v>
      </c>
      <c r="H143" s="49">
        <f>VLOOKUP($A143,'Data shares'!$C:$FB,43)</f>
        <v>6087816</v>
      </c>
      <c r="I143" s="50">
        <f>VLOOKUP($A143,'Data shares'!$C:$FB,45)*100</f>
        <v>6.92</v>
      </c>
      <c r="J143" s="49">
        <f>VLOOKUP($A143,'Data shares'!$C:$FB,58)</f>
        <v>4644504</v>
      </c>
      <c r="K143" s="49">
        <f>VLOOKUP($A143,'Data shares'!$C:$FB,59)</f>
        <v>8010176</v>
      </c>
      <c r="L143" s="50">
        <f>VLOOKUP($A143,'Data shares'!$C:$FB,61)*100</f>
        <v>-42.02</v>
      </c>
      <c r="M143" s="49">
        <f>VLOOKUP($A143,'Data shares'!$C:$FB,62)</f>
        <v>1554336</v>
      </c>
      <c r="N143" s="49">
        <f>VLOOKUP($A143,'Data shares'!$C:$FB,63)</f>
        <v>2290384</v>
      </c>
      <c r="O143" s="140">
        <f>VLOOKUP($A143,'Data shares'!$C:$FB,65)*100</f>
        <v>-32.14</v>
      </c>
    </row>
    <row r="144" spans="1:15" x14ac:dyDescent="0.25">
      <c r="A144" s="101" t="str">
        <f>'Data shares'!C139</f>
        <v>MANAPPURAM</v>
      </c>
      <c r="B144" s="50">
        <f>VLOOKUP($A144,'Data shares'!$C:$FB,7)</f>
        <v>253.05</v>
      </c>
      <c r="C144" s="50">
        <f>VLOOKUP($A144,'Data shares'!$C:$FB,10)*100</f>
        <v>-1.3599999999999999</v>
      </c>
      <c r="D144" s="49">
        <f>VLOOKUP($A144,'Data shares'!$C:$FB,66)</f>
        <v>34095000</v>
      </c>
      <c r="E144" s="49">
        <f>VLOOKUP($A144,'Data shares'!$C:$FB,67)</f>
        <v>45696000</v>
      </c>
      <c r="F144" s="50">
        <f>VLOOKUP($A144,'Data shares'!$C:$FB,69)*100</f>
        <v>-25.39</v>
      </c>
      <c r="G144" s="49">
        <f>VLOOKUP($A144,'Data shares'!$C:$FB,42)</f>
        <v>14553000</v>
      </c>
      <c r="H144" s="49">
        <f>VLOOKUP($A144,'Data shares'!$C:$FB,43)</f>
        <v>18078000</v>
      </c>
      <c r="I144" s="50">
        <f>VLOOKUP($A144,'Data shares'!$C:$FB,45)*100</f>
        <v>-19.5</v>
      </c>
      <c r="J144" s="49">
        <f>VLOOKUP($A144,'Data shares'!$C:$FB,58)</f>
        <v>9030000</v>
      </c>
      <c r="K144" s="49">
        <f>VLOOKUP($A144,'Data shares'!$C:$FB,59)</f>
        <v>13269000</v>
      </c>
      <c r="L144" s="50">
        <f>VLOOKUP($A144,'Data shares'!$C:$FB,61)*100</f>
        <v>-31.95</v>
      </c>
      <c r="M144" s="49">
        <f>VLOOKUP($A144,'Data shares'!$C:$FB,62)</f>
        <v>10512000</v>
      </c>
      <c r="N144" s="49">
        <f>VLOOKUP($A144,'Data shares'!$C:$FB,63)</f>
        <v>14349000</v>
      </c>
      <c r="O144" s="140">
        <f>VLOOKUP($A144,'Data shares'!$C:$FB,65)*100</f>
        <v>-26.740000000000002</v>
      </c>
    </row>
    <row r="145" spans="1:15" x14ac:dyDescent="0.25">
      <c r="A145" s="101" t="str">
        <f>'Data shares'!C140</f>
        <v>MANKIND</v>
      </c>
      <c r="B145" s="50">
        <f>VLOOKUP($A145,'Data shares'!$C:$FB,7)</f>
        <v>2567.1999999999998</v>
      </c>
      <c r="C145" s="50">
        <f>VLOOKUP($A145,'Data shares'!$C:$FB,10)*100</f>
        <v>-0.32</v>
      </c>
      <c r="D145" s="49">
        <f>VLOOKUP($A145,'Data shares'!$C:$FB,66)</f>
        <v>4750875</v>
      </c>
      <c r="E145" s="49">
        <f>VLOOKUP($A145,'Data shares'!$C:$FB,67)</f>
        <v>4218525</v>
      </c>
      <c r="F145" s="50">
        <f>VLOOKUP($A145,'Data shares'!$C:$FB,69)*100</f>
        <v>12.620000000000001</v>
      </c>
      <c r="G145" s="49">
        <f>VLOOKUP($A145,'Data shares'!$C:$FB,42)</f>
        <v>1939275</v>
      </c>
      <c r="H145" s="49">
        <f>VLOOKUP($A145,'Data shares'!$C:$FB,43)</f>
        <v>1620225</v>
      </c>
      <c r="I145" s="50">
        <f>VLOOKUP($A145,'Data shares'!$C:$FB,45)*100</f>
        <v>19.689999999999998</v>
      </c>
      <c r="J145" s="49">
        <f>VLOOKUP($A145,'Data shares'!$C:$FB,58)</f>
        <v>1849725</v>
      </c>
      <c r="K145" s="49">
        <f>VLOOKUP($A145,'Data shares'!$C:$FB,59)</f>
        <v>1944450</v>
      </c>
      <c r="L145" s="50">
        <f>VLOOKUP($A145,'Data shares'!$C:$FB,61)*100</f>
        <v>-4.87</v>
      </c>
      <c r="M145" s="49">
        <f>VLOOKUP($A145,'Data shares'!$C:$FB,62)</f>
        <v>961875</v>
      </c>
      <c r="N145" s="49">
        <f>VLOOKUP($A145,'Data shares'!$C:$FB,63)</f>
        <v>653850</v>
      </c>
      <c r="O145" s="140">
        <f>VLOOKUP($A145,'Data shares'!$C:$FB,65)*100</f>
        <v>47.11</v>
      </c>
    </row>
    <row r="146" spans="1:15" x14ac:dyDescent="0.25">
      <c r="A146" s="101" t="str">
        <f>'Data shares'!C141</f>
        <v>MARICO</v>
      </c>
      <c r="B146" s="50">
        <f>VLOOKUP($A146,'Data shares'!$C:$FB,7)</f>
        <v>709.8</v>
      </c>
      <c r="C146" s="50">
        <f>VLOOKUP($A146,'Data shares'!$C:$FB,10)*100</f>
        <v>0.96</v>
      </c>
      <c r="D146" s="49">
        <f>VLOOKUP($A146,'Data shares'!$C:$FB,66)</f>
        <v>14481600</v>
      </c>
      <c r="E146" s="49">
        <f>VLOOKUP($A146,'Data shares'!$C:$FB,67)</f>
        <v>15747600</v>
      </c>
      <c r="F146" s="50">
        <f>VLOOKUP($A146,'Data shares'!$C:$FB,69)*100</f>
        <v>-8.0399999999999991</v>
      </c>
      <c r="G146" s="49">
        <f>VLOOKUP($A146,'Data shares'!$C:$FB,42)</f>
        <v>7082400</v>
      </c>
      <c r="H146" s="49">
        <f>VLOOKUP($A146,'Data shares'!$C:$FB,43)</f>
        <v>10802400</v>
      </c>
      <c r="I146" s="50">
        <f>VLOOKUP($A146,'Data shares'!$C:$FB,45)*100</f>
        <v>-34.44</v>
      </c>
      <c r="J146" s="49">
        <f>VLOOKUP($A146,'Data shares'!$C:$FB,58)</f>
        <v>5470800</v>
      </c>
      <c r="K146" s="49">
        <f>VLOOKUP($A146,'Data shares'!$C:$FB,59)</f>
        <v>3196800</v>
      </c>
      <c r="L146" s="50">
        <f>VLOOKUP($A146,'Data shares'!$C:$FB,61)*100</f>
        <v>71.13000000000001</v>
      </c>
      <c r="M146" s="49">
        <f>VLOOKUP($A146,'Data shares'!$C:$FB,62)</f>
        <v>1928400</v>
      </c>
      <c r="N146" s="49">
        <f>VLOOKUP($A146,'Data shares'!$C:$FB,63)</f>
        <v>1748400</v>
      </c>
      <c r="O146" s="140">
        <f>VLOOKUP($A146,'Data shares'!$C:$FB,65)*100</f>
        <v>10.299999999999999</v>
      </c>
    </row>
    <row r="147" spans="1:15" x14ac:dyDescent="0.25">
      <c r="A147" s="101" t="str">
        <f>'Data shares'!C142</f>
        <v>MARUTI</v>
      </c>
      <c r="B147" s="50">
        <f>VLOOKUP($A147,'Data shares'!$C:$FB,7)</f>
        <v>12608</v>
      </c>
      <c r="C147" s="50">
        <f>VLOOKUP($A147,'Data shares'!$C:$FB,10)*100</f>
        <v>-0.08</v>
      </c>
      <c r="D147" s="49">
        <f>VLOOKUP($A147,'Data shares'!$C:$FB,66)</f>
        <v>12456750</v>
      </c>
      <c r="E147" s="49">
        <f>VLOOKUP($A147,'Data shares'!$C:$FB,67)</f>
        <v>9518600</v>
      </c>
      <c r="F147" s="50">
        <f>VLOOKUP($A147,'Data shares'!$C:$FB,69)*100</f>
        <v>30.869999999999997</v>
      </c>
      <c r="G147" s="49">
        <f>VLOOKUP($A147,'Data shares'!$C:$FB,42)</f>
        <v>2188300</v>
      </c>
      <c r="H147" s="49">
        <f>VLOOKUP($A147,'Data shares'!$C:$FB,43)</f>
        <v>2203850</v>
      </c>
      <c r="I147" s="50">
        <f>VLOOKUP($A147,'Data shares'!$C:$FB,45)*100</f>
        <v>-0.71000000000000008</v>
      </c>
      <c r="J147" s="49">
        <f>VLOOKUP($A147,'Data shares'!$C:$FB,58)</f>
        <v>7180300</v>
      </c>
      <c r="K147" s="49">
        <f>VLOOKUP($A147,'Data shares'!$C:$FB,59)</f>
        <v>5347550</v>
      </c>
      <c r="L147" s="50">
        <f>VLOOKUP($A147,'Data shares'!$C:$FB,61)*100</f>
        <v>34.270000000000003</v>
      </c>
      <c r="M147" s="49">
        <f>VLOOKUP($A147,'Data shares'!$C:$FB,62)</f>
        <v>3088150</v>
      </c>
      <c r="N147" s="49">
        <f>VLOOKUP($A147,'Data shares'!$C:$FB,63)</f>
        <v>1967200</v>
      </c>
      <c r="O147" s="140">
        <f>VLOOKUP($A147,'Data shares'!$C:$FB,65)*100</f>
        <v>56.98</v>
      </c>
    </row>
    <row r="148" spans="1:15" x14ac:dyDescent="0.25">
      <c r="A148" s="101" t="str">
        <f>'Data shares'!C143</f>
        <v>MAXHEALTH</v>
      </c>
      <c r="B148" s="50">
        <f>VLOOKUP($A148,'Data shares'!$C:$FB,7)</f>
        <v>1246</v>
      </c>
      <c r="C148" s="50">
        <f>VLOOKUP($A148,'Data shares'!$C:$FB,10)*100</f>
        <v>-1.47</v>
      </c>
      <c r="D148" s="49">
        <f>VLOOKUP($A148,'Data shares'!$C:$FB,66)</f>
        <v>8153775</v>
      </c>
      <c r="E148" s="49">
        <f>VLOOKUP($A148,'Data shares'!$C:$FB,67)</f>
        <v>10977225</v>
      </c>
      <c r="F148" s="50">
        <f>VLOOKUP($A148,'Data shares'!$C:$FB,69)*100</f>
        <v>-25.72</v>
      </c>
      <c r="G148" s="49">
        <f>VLOOKUP($A148,'Data shares'!$C:$FB,42)</f>
        <v>5548725</v>
      </c>
      <c r="H148" s="49">
        <f>VLOOKUP($A148,'Data shares'!$C:$FB,43)</f>
        <v>7746900</v>
      </c>
      <c r="I148" s="50">
        <f>VLOOKUP($A148,'Data shares'!$C:$FB,45)*100</f>
        <v>-28.37</v>
      </c>
      <c r="J148" s="49">
        <f>VLOOKUP($A148,'Data shares'!$C:$FB,58)</f>
        <v>1696275</v>
      </c>
      <c r="K148" s="49">
        <f>VLOOKUP($A148,'Data shares'!$C:$FB,59)</f>
        <v>2252775</v>
      </c>
      <c r="L148" s="50">
        <f>VLOOKUP($A148,'Data shares'!$C:$FB,61)*100</f>
        <v>-24.7</v>
      </c>
      <c r="M148" s="49">
        <f>VLOOKUP($A148,'Data shares'!$C:$FB,62)</f>
        <v>908775</v>
      </c>
      <c r="N148" s="49">
        <f>VLOOKUP($A148,'Data shares'!$C:$FB,63)</f>
        <v>977550</v>
      </c>
      <c r="O148" s="140">
        <f>VLOOKUP($A148,'Data shares'!$C:$FB,65)*100</f>
        <v>-7.04</v>
      </c>
    </row>
    <row r="149" spans="1:15" x14ac:dyDescent="0.25">
      <c r="A149" s="101" t="str">
        <f>'Data shares'!C144</f>
        <v>MAZDOCK</v>
      </c>
      <c r="B149" s="50">
        <f>VLOOKUP($A149,'Data shares'!$C:$FB,7)</f>
        <v>2771.2</v>
      </c>
      <c r="C149" s="50">
        <f>VLOOKUP($A149,'Data shares'!$C:$FB,10)*100</f>
        <v>0.42</v>
      </c>
      <c r="D149" s="49">
        <f>VLOOKUP($A149,'Data shares'!$C:$FB,66)</f>
        <v>9356200</v>
      </c>
      <c r="E149" s="49">
        <f>VLOOKUP($A149,'Data shares'!$C:$FB,67)</f>
        <v>10147200</v>
      </c>
      <c r="F149" s="50">
        <f>VLOOKUP($A149,'Data shares'!$C:$FB,69)*100</f>
        <v>-7.8</v>
      </c>
      <c r="G149" s="49">
        <f>VLOOKUP($A149,'Data shares'!$C:$FB,42)</f>
        <v>2387875</v>
      </c>
      <c r="H149" s="49">
        <f>VLOOKUP($A149,'Data shares'!$C:$FB,43)</f>
        <v>2838500</v>
      </c>
      <c r="I149" s="50">
        <f>VLOOKUP($A149,'Data shares'!$C:$FB,45)*100</f>
        <v>-15.879999999999999</v>
      </c>
      <c r="J149" s="49">
        <f>VLOOKUP($A149,'Data shares'!$C:$FB,58)</f>
        <v>5301975</v>
      </c>
      <c r="K149" s="49">
        <f>VLOOKUP($A149,'Data shares'!$C:$FB,59)</f>
        <v>5403125</v>
      </c>
      <c r="L149" s="50">
        <f>VLOOKUP($A149,'Data shares'!$C:$FB,61)*100</f>
        <v>-1.87</v>
      </c>
      <c r="M149" s="49">
        <f>VLOOKUP($A149,'Data shares'!$C:$FB,62)</f>
        <v>1666350</v>
      </c>
      <c r="N149" s="49">
        <f>VLOOKUP($A149,'Data shares'!$C:$FB,63)</f>
        <v>1905575</v>
      </c>
      <c r="O149" s="140">
        <f>VLOOKUP($A149,'Data shares'!$C:$FB,65)*100</f>
        <v>-12.55</v>
      </c>
    </row>
    <row r="150" spans="1:15" x14ac:dyDescent="0.25">
      <c r="A150" s="101" t="str">
        <f>'Data shares'!C145</f>
        <v>MCX</v>
      </c>
      <c r="B150" s="50">
        <f>VLOOKUP($A150,'Data shares'!$C:$FB,7)</f>
        <v>7693</v>
      </c>
      <c r="C150" s="50">
        <f>VLOOKUP($A150,'Data shares'!$C:$FB,10)*100</f>
        <v>-1.21</v>
      </c>
      <c r="D150" s="49">
        <f>VLOOKUP($A150,'Data shares'!$C:$FB,66)</f>
        <v>6898125</v>
      </c>
      <c r="E150" s="49">
        <f>VLOOKUP($A150,'Data shares'!$C:$FB,67)</f>
        <v>7934875</v>
      </c>
      <c r="F150" s="50">
        <f>VLOOKUP($A150,'Data shares'!$C:$FB,69)*100</f>
        <v>-13.07</v>
      </c>
      <c r="G150" s="49">
        <f>VLOOKUP($A150,'Data shares'!$C:$FB,42)</f>
        <v>1472625</v>
      </c>
      <c r="H150" s="49">
        <f>VLOOKUP($A150,'Data shares'!$C:$FB,43)</f>
        <v>1442250</v>
      </c>
      <c r="I150" s="50">
        <f>VLOOKUP($A150,'Data shares'!$C:$FB,45)*100</f>
        <v>2.11</v>
      </c>
      <c r="J150" s="49">
        <f>VLOOKUP($A150,'Data shares'!$C:$FB,58)</f>
        <v>3435875</v>
      </c>
      <c r="K150" s="49">
        <f>VLOOKUP($A150,'Data shares'!$C:$FB,59)</f>
        <v>3859500</v>
      </c>
      <c r="L150" s="50">
        <f>VLOOKUP($A150,'Data shares'!$C:$FB,61)*100</f>
        <v>-10.979999999999999</v>
      </c>
      <c r="M150" s="49">
        <f>VLOOKUP($A150,'Data shares'!$C:$FB,62)</f>
        <v>1989625</v>
      </c>
      <c r="N150" s="49">
        <f>VLOOKUP($A150,'Data shares'!$C:$FB,63)</f>
        <v>2633125</v>
      </c>
      <c r="O150" s="140">
        <f>VLOOKUP($A150,'Data shares'!$C:$FB,65)*100</f>
        <v>-24.44</v>
      </c>
    </row>
    <row r="151" spans="1:15" x14ac:dyDescent="0.25">
      <c r="A151" s="101" t="str">
        <f>'Data shares'!C146</f>
        <v>MFSL</v>
      </c>
      <c r="B151" s="50">
        <f>VLOOKUP($A151,'Data shares'!$C:$FB,7)</f>
        <v>1501.4</v>
      </c>
      <c r="C151" s="50">
        <f>VLOOKUP($A151,'Data shares'!$C:$FB,10)*100</f>
        <v>-0.44999999999999996</v>
      </c>
      <c r="D151" s="49">
        <f>VLOOKUP($A151,'Data shares'!$C:$FB,66)</f>
        <v>4313600</v>
      </c>
      <c r="E151" s="49">
        <f>VLOOKUP($A151,'Data shares'!$C:$FB,67)</f>
        <v>6964800</v>
      </c>
      <c r="F151" s="50">
        <f>VLOOKUP($A151,'Data shares'!$C:$FB,69)*100</f>
        <v>-38.07</v>
      </c>
      <c r="G151" s="49">
        <f>VLOOKUP($A151,'Data shares'!$C:$FB,42)</f>
        <v>2396800</v>
      </c>
      <c r="H151" s="49">
        <f>VLOOKUP($A151,'Data shares'!$C:$FB,43)</f>
        <v>3956800</v>
      </c>
      <c r="I151" s="50">
        <f>VLOOKUP($A151,'Data shares'!$C:$FB,45)*100</f>
        <v>-39.43</v>
      </c>
      <c r="J151" s="49">
        <f>VLOOKUP($A151,'Data shares'!$C:$FB,58)</f>
        <v>800000</v>
      </c>
      <c r="K151" s="49">
        <f>VLOOKUP($A151,'Data shares'!$C:$FB,59)</f>
        <v>2060800</v>
      </c>
      <c r="L151" s="50">
        <f>VLOOKUP($A151,'Data shares'!$C:$FB,61)*100</f>
        <v>-61.18</v>
      </c>
      <c r="M151" s="49">
        <f>VLOOKUP($A151,'Data shares'!$C:$FB,62)</f>
        <v>1116800</v>
      </c>
      <c r="N151" s="49">
        <f>VLOOKUP($A151,'Data shares'!$C:$FB,63)</f>
        <v>947200</v>
      </c>
      <c r="O151" s="140">
        <f>VLOOKUP($A151,'Data shares'!$C:$FB,65)*100</f>
        <v>17.91</v>
      </c>
    </row>
    <row r="152" spans="1:15" x14ac:dyDescent="0.25">
      <c r="A152" s="101" t="str">
        <f>'Data shares'!C147</f>
        <v>MGL</v>
      </c>
      <c r="B152" s="50">
        <f>VLOOKUP($A152,'Data shares'!$C:$FB,7)</f>
        <v>1358.1</v>
      </c>
      <c r="C152" s="50">
        <f>VLOOKUP($A152,'Data shares'!$C:$FB,10)*100</f>
        <v>-3.84</v>
      </c>
      <c r="D152" s="49">
        <f>VLOOKUP($A152,'Data shares'!$C:$FB,66)</f>
        <v>2914800</v>
      </c>
      <c r="E152" s="49">
        <f>VLOOKUP($A152,'Data shares'!$C:$FB,67)</f>
        <v>5013600</v>
      </c>
      <c r="F152" s="50">
        <f>VLOOKUP($A152,'Data shares'!$C:$FB,69)*100</f>
        <v>-41.86</v>
      </c>
      <c r="G152" s="49">
        <f>VLOOKUP($A152,'Data shares'!$C:$FB,42)</f>
        <v>760000</v>
      </c>
      <c r="H152" s="49">
        <f>VLOOKUP($A152,'Data shares'!$C:$FB,43)</f>
        <v>748800</v>
      </c>
      <c r="I152" s="50">
        <f>VLOOKUP($A152,'Data shares'!$C:$FB,45)*100</f>
        <v>1.5</v>
      </c>
      <c r="J152" s="49">
        <f>VLOOKUP($A152,'Data shares'!$C:$FB,58)</f>
        <v>1562800</v>
      </c>
      <c r="K152" s="49">
        <f>VLOOKUP($A152,'Data shares'!$C:$FB,59)</f>
        <v>3194400</v>
      </c>
      <c r="L152" s="50">
        <f>VLOOKUP($A152,'Data shares'!$C:$FB,61)*100</f>
        <v>-51.080000000000005</v>
      </c>
      <c r="M152" s="49">
        <f>VLOOKUP($A152,'Data shares'!$C:$FB,62)</f>
        <v>592000</v>
      </c>
      <c r="N152" s="49">
        <f>VLOOKUP($A152,'Data shares'!$C:$FB,63)</f>
        <v>1070400</v>
      </c>
      <c r="O152" s="140">
        <f>VLOOKUP($A152,'Data shares'!$C:$FB,65)*100</f>
        <v>-44.690000000000005</v>
      </c>
    </row>
    <row r="153" spans="1:15" x14ac:dyDescent="0.25">
      <c r="A153" s="101" t="str">
        <f>'Data shares'!C148</f>
        <v>MIDCPNIFTY</v>
      </c>
      <c r="B153" s="50">
        <f>VLOOKUP($A153,'Data shares'!$C:$FB,7)</f>
        <v>12867.1</v>
      </c>
      <c r="C153" s="50">
        <f>VLOOKUP($A153,'Data shares'!$C:$FB,10)*100</f>
        <v>-1.0999999999999999</v>
      </c>
      <c r="D153" s="49">
        <f>VLOOKUP($A153,'Data shares'!$C:$FB,66)</f>
        <v>1537693500</v>
      </c>
      <c r="E153" s="49">
        <f>VLOOKUP($A153,'Data shares'!$C:$FB,67)</f>
        <v>417705540</v>
      </c>
      <c r="F153" s="50">
        <f>VLOOKUP($A153,'Data shares'!$C:$FB,69)*100</f>
        <v>268.13</v>
      </c>
      <c r="G153" s="49">
        <f>VLOOKUP($A153,'Data shares'!$C:$FB,42)</f>
        <v>2360540</v>
      </c>
      <c r="H153" s="49">
        <f>VLOOKUP($A153,'Data shares'!$C:$FB,43)</f>
        <v>1387820</v>
      </c>
      <c r="I153" s="50">
        <f>VLOOKUP($A153,'Data shares'!$C:$FB,45)*100</f>
        <v>70.09</v>
      </c>
      <c r="J153" s="49">
        <f>VLOOKUP($A153,'Data shares'!$C:$FB,58)</f>
        <v>801517500</v>
      </c>
      <c r="K153" s="49">
        <f>VLOOKUP($A153,'Data shares'!$C:$FB,59)</f>
        <v>220692360</v>
      </c>
      <c r="L153" s="50">
        <f>VLOOKUP($A153,'Data shares'!$C:$FB,61)*100</f>
        <v>263.18</v>
      </c>
      <c r="M153" s="49">
        <f>VLOOKUP($A153,'Data shares'!$C:$FB,62)</f>
        <v>733815460</v>
      </c>
      <c r="N153" s="49">
        <f>VLOOKUP($A153,'Data shares'!$C:$FB,63)</f>
        <v>195625360</v>
      </c>
      <c r="O153" s="140">
        <f>VLOOKUP($A153,'Data shares'!$C:$FB,65)*100</f>
        <v>275.11</v>
      </c>
    </row>
    <row r="154" spans="1:15" x14ac:dyDescent="0.25">
      <c r="A154" s="101" t="str">
        <f>'Data shares'!C149</f>
        <v>MOTHERSON</v>
      </c>
      <c r="B154" s="50">
        <f>VLOOKUP($A154,'Data shares'!$C:$FB,7)</f>
        <v>97.17</v>
      </c>
      <c r="C154" s="50">
        <f>VLOOKUP($A154,'Data shares'!$C:$FB,10)*100</f>
        <v>-1.77</v>
      </c>
      <c r="D154" s="49">
        <f>VLOOKUP($A154,'Data shares'!$C:$FB,66)</f>
        <v>136726800</v>
      </c>
      <c r="E154" s="49">
        <f>VLOOKUP($A154,'Data shares'!$C:$FB,67)</f>
        <v>161572800</v>
      </c>
      <c r="F154" s="50">
        <f>VLOOKUP($A154,'Data shares'!$C:$FB,69)*100</f>
        <v>-15.379999999999999</v>
      </c>
      <c r="G154" s="49">
        <f>VLOOKUP($A154,'Data shares'!$C:$FB,42)</f>
        <v>86610450</v>
      </c>
      <c r="H154" s="49">
        <f>VLOOKUP($A154,'Data shares'!$C:$FB,43)</f>
        <v>96997800</v>
      </c>
      <c r="I154" s="50">
        <f>VLOOKUP($A154,'Data shares'!$C:$FB,45)*100</f>
        <v>-10.71</v>
      </c>
      <c r="J154" s="49">
        <f>VLOOKUP($A154,'Data shares'!$C:$FB,58)</f>
        <v>25694700</v>
      </c>
      <c r="K154" s="49">
        <f>VLOOKUP($A154,'Data shares'!$C:$FB,59)</f>
        <v>38726550</v>
      </c>
      <c r="L154" s="50">
        <f>VLOOKUP($A154,'Data shares'!$C:$FB,61)*100</f>
        <v>-33.650000000000006</v>
      </c>
      <c r="M154" s="49">
        <f>VLOOKUP($A154,'Data shares'!$C:$FB,62)</f>
        <v>24421650</v>
      </c>
      <c r="N154" s="49">
        <f>VLOOKUP($A154,'Data shares'!$C:$FB,63)</f>
        <v>25848450</v>
      </c>
      <c r="O154" s="140">
        <f>VLOOKUP($A154,'Data shares'!$C:$FB,65)*100</f>
        <v>-5.52</v>
      </c>
    </row>
    <row r="155" spans="1:15" x14ac:dyDescent="0.25">
      <c r="A155" s="101" t="str">
        <f>'Data shares'!C150</f>
        <v>MPHASIS</v>
      </c>
      <c r="B155" s="50">
        <f>VLOOKUP($A155,'Data shares'!$C:$FB,7)</f>
        <v>2790.2</v>
      </c>
      <c r="C155" s="50">
        <f>VLOOKUP($A155,'Data shares'!$C:$FB,10)*100</f>
        <v>-0.57999999999999996</v>
      </c>
      <c r="D155" s="49">
        <f>VLOOKUP($A155,'Data shares'!$C:$FB,66)</f>
        <v>5339125</v>
      </c>
      <c r="E155" s="49">
        <f>VLOOKUP($A155,'Data shares'!$C:$FB,67)</f>
        <v>9847200</v>
      </c>
      <c r="F155" s="50">
        <f>VLOOKUP($A155,'Data shares'!$C:$FB,69)*100</f>
        <v>-45.78</v>
      </c>
      <c r="G155" s="49">
        <f>VLOOKUP($A155,'Data shares'!$C:$FB,42)</f>
        <v>2613050</v>
      </c>
      <c r="H155" s="49">
        <f>VLOOKUP($A155,'Data shares'!$C:$FB,43)</f>
        <v>2988425</v>
      </c>
      <c r="I155" s="50">
        <f>VLOOKUP($A155,'Data shares'!$C:$FB,45)*100</f>
        <v>-12.559999999999999</v>
      </c>
      <c r="J155" s="49">
        <f>VLOOKUP($A155,'Data shares'!$C:$FB,58)</f>
        <v>1715450</v>
      </c>
      <c r="K155" s="49">
        <f>VLOOKUP($A155,'Data shares'!$C:$FB,59)</f>
        <v>4925525</v>
      </c>
      <c r="L155" s="50">
        <f>VLOOKUP($A155,'Data shares'!$C:$FB,61)*100</f>
        <v>-65.169999999999987</v>
      </c>
      <c r="M155" s="49">
        <f>VLOOKUP($A155,'Data shares'!$C:$FB,62)</f>
        <v>1010625</v>
      </c>
      <c r="N155" s="49">
        <f>VLOOKUP($A155,'Data shares'!$C:$FB,63)</f>
        <v>1933250</v>
      </c>
      <c r="O155" s="140">
        <f>VLOOKUP($A155,'Data shares'!$C:$FB,65)*100</f>
        <v>-47.72</v>
      </c>
    </row>
    <row r="156" spans="1:15" x14ac:dyDescent="0.25">
      <c r="A156" s="101" t="str">
        <f>'Data shares'!C151</f>
        <v>MUTHOOTFIN</v>
      </c>
      <c r="B156" s="50">
        <f>VLOOKUP($A156,'Data shares'!$C:$FB,7)</f>
        <v>2612.3000000000002</v>
      </c>
      <c r="C156" s="50">
        <f>VLOOKUP($A156,'Data shares'!$C:$FB,10)*100</f>
        <v>-0.79</v>
      </c>
      <c r="D156" s="49">
        <f>VLOOKUP($A156,'Data shares'!$C:$FB,66)</f>
        <v>6226550</v>
      </c>
      <c r="E156" s="49">
        <f>VLOOKUP($A156,'Data shares'!$C:$FB,67)</f>
        <v>5035250</v>
      </c>
      <c r="F156" s="50">
        <f>VLOOKUP($A156,'Data shares'!$C:$FB,69)*100</f>
        <v>23.66</v>
      </c>
      <c r="G156" s="49">
        <f>VLOOKUP($A156,'Data shares'!$C:$FB,42)</f>
        <v>3090725</v>
      </c>
      <c r="H156" s="49">
        <f>VLOOKUP($A156,'Data shares'!$C:$FB,43)</f>
        <v>2515700</v>
      </c>
      <c r="I156" s="50">
        <f>VLOOKUP($A156,'Data shares'!$C:$FB,45)*100</f>
        <v>22.86</v>
      </c>
      <c r="J156" s="49">
        <f>VLOOKUP($A156,'Data shares'!$C:$FB,58)</f>
        <v>2189275</v>
      </c>
      <c r="K156" s="49">
        <f>VLOOKUP($A156,'Data shares'!$C:$FB,59)</f>
        <v>1642025</v>
      </c>
      <c r="L156" s="50">
        <f>VLOOKUP($A156,'Data shares'!$C:$FB,61)*100</f>
        <v>33.33</v>
      </c>
      <c r="M156" s="49">
        <f>VLOOKUP($A156,'Data shares'!$C:$FB,62)</f>
        <v>946550</v>
      </c>
      <c r="N156" s="49">
        <f>VLOOKUP($A156,'Data shares'!$C:$FB,63)</f>
        <v>877525</v>
      </c>
      <c r="O156" s="140">
        <f>VLOOKUP($A156,'Data shares'!$C:$FB,65)*100</f>
        <v>7.870000000000001</v>
      </c>
    </row>
    <row r="157" spans="1:15" x14ac:dyDescent="0.25">
      <c r="A157" s="101" t="str">
        <f>'Data shares'!C152</f>
        <v>NATIONALUM</v>
      </c>
      <c r="B157" s="50">
        <f>VLOOKUP($A157,'Data shares'!$C:$FB,7)</f>
        <v>185.06</v>
      </c>
      <c r="C157" s="50">
        <f>VLOOKUP($A157,'Data shares'!$C:$FB,10)*100</f>
        <v>-1.1100000000000001</v>
      </c>
      <c r="D157" s="49">
        <f>VLOOKUP($A157,'Data shares'!$C:$FB,66)</f>
        <v>96607500</v>
      </c>
      <c r="E157" s="49">
        <f>VLOOKUP($A157,'Data shares'!$C:$FB,67)</f>
        <v>74456250</v>
      </c>
      <c r="F157" s="50">
        <f>VLOOKUP($A157,'Data shares'!$C:$FB,69)*100</f>
        <v>29.75</v>
      </c>
      <c r="G157" s="49">
        <f>VLOOKUP($A157,'Data shares'!$C:$FB,42)</f>
        <v>45633750</v>
      </c>
      <c r="H157" s="49">
        <f>VLOOKUP($A157,'Data shares'!$C:$FB,43)</f>
        <v>45435000</v>
      </c>
      <c r="I157" s="50">
        <f>VLOOKUP($A157,'Data shares'!$C:$FB,45)*100</f>
        <v>0.44</v>
      </c>
      <c r="J157" s="49">
        <f>VLOOKUP($A157,'Data shares'!$C:$FB,58)</f>
        <v>28110000</v>
      </c>
      <c r="K157" s="49">
        <f>VLOOKUP($A157,'Data shares'!$C:$FB,59)</f>
        <v>18442500</v>
      </c>
      <c r="L157" s="50">
        <f>VLOOKUP($A157,'Data shares'!$C:$FB,61)*100</f>
        <v>52.42</v>
      </c>
      <c r="M157" s="49">
        <f>VLOOKUP($A157,'Data shares'!$C:$FB,62)</f>
        <v>22863750</v>
      </c>
      <c r="N157" s="49">
        <f>VLOOKUP($A157,'Data shares'!$C:$FB,63)</f>
        <v>10578750</v>
      </c>
      <c r="O157" s="140">
        <f>VLOOKUP($A157,'Data shares'!$C:$FB,65)*100</f>
        <v>116.13</v>
      </c>
    </row>
    <row r="158" spans="1:15" x14ac:dyDescent="0.25">
      <c r="A158" s="101" t="str">
        <f>'Data shares'!C153</f>
        <v>NAUKRI</v>
      </c>
      <c r="B158" s="50">
        <f>VLOOKUP($A158,'Data shares'!$C:$FB,7)</f>
        <v>1392.3</v>
      </c>
      <c r="C158" s="50">
        <f>VLOOKUP($A158,'Data shares'!$C:$FB,10)*100</f>
        <v>-0.24</v>
      </c>
      <c r="D158" s="49">
        <f>VLOOKUP($A158,'Data shares'!$C:$FB,66)</f>
        <v>4625250</v>
      </c>
      <c r="E158" s="49">
        <f>VLOOKUP($A158,'Data shares'!$C:$FB,67)</f>
        <v>14045625</v>
      </c>
      <c r="F158" s="50">
        <f>VLOOKUP($A158,'Data shares'!$C:$FB,69)*100</f>
        <v>-67.069999999999993</v>
      </c>
      <c r="G158" s="49">
        <f>VLOOKUP($A158,'Data shares'!$C:$FB,42)</f>
        <v>3068250</v>
      </c>
      <c r="H158" s="49">
        <f>VLOOKUP($A158,'Data shares'!$C:$FB,43)</f>
        <v>7572375</v>
      </c>
      <c r="I158" s="50">
        <f>VLOOKUP($A158,'Data shares'!$C:$FB,45)*100</f>
        <v>-59.48</v>
      </c>
      <c r="J158" s="49">
        <f>VLOOKUP($A158,'Data shares'!$C:$FB,58)</f>
        <v>969000</v>
      </c>
      <c r="K158" s="49">
        <f>VLOOKUP($A158,'Data shares'!$C:$FB,59)</f>
        <v>3873000</v>
      </c>
      <c r="L158" s="50">
        <f>VLOOKUP($A158,'Data shares'!$C:$FB,61)*100</f>
        <v>-74.98</v>
      </c>
      <c r="M158" s="49">
        <f>VLOOKUP($A158,'Data shares'!$C:$FB,62)</f>
        <v>588000</v>
      </c>
      <c r="N158" s="49">
        <f>VLOOKUP($A158,'Data shares'!$C:$FB,63)</f>
        <v>2600250</v>
      </c>
      <c r="O158" s="140">
        <f>VLOOKUP($A158,'Data shares'!$C:$FB,65)*100</f>
        <v>-77.39</v>
      </c>
    </row>
    <row r="159" spans="1:15" x14ac:dyDescent="0.25">
      <c r="A159" s="101" t="str">
        <f>'Data shares'!C154</f>
        <v>NBCC</v>
      </c>
      <c r="B159" s="50">
        <f>VLOOKUP($A159,'Data shares'!$C:$FB,7)</f>
        <v>108.18</v>
      </c>
      <c r="C159" s="50">
        <f>VLOOKUP($A159,'Data shares'!$C:$FB,10)*100</f>
        <v>-0.59</v>
      </c>
      <c r="D159" s="49">
        <f>VLOOKUP($A159,'Data shares'!$C:$FB,66)</f>
        <v>61925500</v>
      </c>
      <c r="E159" s="49">
        <f>VLOOKUP($A159,'Data shares'!$C:$FB,67)</f>
        <v>42120000</v>
      </c>
      <c r="F159" s="50">
        <f>VLOOKUP($A159,'Data shares'!$C:$FB,69)*100</f>
        <v>47.02</v>
      </c>
      <c r="G159" s="49">
        <f>VLOOKUP($A159,'Data shares'!$C:$FB,42)</f>
        <v>49062000</v>
      </c>
      <c r="H159" s="49">
        <f>VLOOKUP($A159,'Data shares'!$C:$FB,43)</f>
        <v>33520500</v>
      </c>
      <c r="I159" s="50">
        <f>VLOOKUP($A159,'Data shares'!$C:$FB,45)*100</f>
        <v>46.36</v>
      </c>
      <c r="J159" s="49">
        <f>VLOOKUP($A159,'Data shares'!$C:$FB,58)</f>
        <v>7169500</v>
      </c>
      <c r="K159" s="49">
        <f>VLOOKUP($A159,'Data shares'!$C:$FB,59)</f>
        <v>5369000</v>
      </c>
      <c r="L159" s="50">
        <f>VLOOKUP($A159,'Data shares'!$C:$FB,61)*100</f>
        <v>33.54</v>
      </c>
      <c r="M159" s="49">
        <f>VLOOKUP($A159,'Data shares'!$C:$FB,62)</f>
        <v>5694000</v>
      </c>
      <c r="N159" s="49">
        <f>VLOOKUP($A159,'Data shares'!$C:$FB,63)</f>
        <v>3230500</v>
      </c>
      <c r="O159" s="140">
        <f>VLOOKUP($A159,'Data shares'!$C:$FB,65)*100</f>
        <v>76.259999999999991</v>
      </c>
    </row>
    <row r="160" spans="1:15" x14ac:dyDescent="0.25">
      <c r="A160" s="101" t="str">
        <f>'Data shares'!C155</f>
        <v>NCC</v>
      </c>
      <c r="B160" s="50">
        <f>VLOOKUP($A160,'Data shares'!$C:$FB,7)</f>
        <v>217.71</v>
      </c>
      <c r="C160" s="50">
        <f>VLOOKUP($A160,'Data shares'!$C:$FB,10)*100</f>
        <v>-2.29</v>
      </c>
      <c r="D160" s="49">
        <f>VLOOKUP($A160,'Data shares'!$C:$FB,66)</f>
        <v>17034300</v>
      </c>
      <c r="E160" s="49">
        <f>VLOOKUP($A160,'Data shares'!$C:$FB,67)</f>
        <v>21354300</v>
      </c>
      <c r="F160" s="50">
        <f>VLOOKUP($A160,'Data shares'!$C:$FB,69)*100</f>
        <v>-20.23</v>
      </c>
      <c r="G160" s="49">
        <f>VLOOKUP($A160,'Data shares'!$C:$FB,42)</f>
        <v>10575900</v>
      </c>
      <c r="H160" s="49">
        <f>VLOOKUP($A160,'Data shares'!$C:$FB,43)</f>
        <v>13859100</v>
      </c>
      <c r="I160" s="50">
        <f>VLOOKUP($A160,'Data shares'!$C:$FB,45)*100</f>
        <v>-23.69</v>
      </c>
      <c r="J160" s="49">
        <f>VLOOKUP($A160,'Data shares'!$C:$FB,58)</f>
        <v>4068900</v>
      </c>
      <c r="K160" s="49">
        <f>VLOOKUP($A160,'Data shares'!$C:$FB,59)</f>
        <v>5162400</v>
      </c>
      <c r="L160" s="50">
        <f>VLOOKUP($A160,'Data shares'!$C:$FB,61)*100</f>
        <v>-21.18</v>
      </c>
      <c r="M160" s="49">
        <f>VLOOKUP($A160,'Data shares'!$C:$FB,62)</f>
        <v>2389500</v>
      </c>
      <c r="N160" s="49">
        <f>VLOOKUP($A160,'Data shares'!$C:$FB,63)</f>
        <v>2332800</v>
      </c>
      <c r="O160" s="140">
        <f>VLOOKUP($A160,'Data shares'!$C:$FB,65)*100</f>
        <v>2.4299999999999997</v>
      </c>
    </row>
    <row r="161" spans="1:15" x14ac:dyDescent="0.25">
      <c r="A161" s="101" t="str">
        <f>'Data shares'!C156</f>
        <v>NESTLEIND</v>
      </c>
      <c r="B161" s="50">
        <f>VLOOKUP($A161,'Data shares'!$C:$FB,7)</f>
        <v>2247.6999999999998</v>
      </c>
      <c r="C161" s="50">
        <f>VLOOKUP($A161,'Data shares'!$C:$FB,10)*100</f>
        <v>0.73</v>
      </c>
      <c r="D161" s="49">
        <f>VLOOKUP($A161,'Data shares'!$C:$FB,66)</f>
        <v>8693250</v>
      </c>
      <c r="E161" s="49">
        <f>VLOOKUP($A161,'Data shares'!$C:$FB,67)</f>
        <v>9592000</v>
      </c>
      <c r="F161" s="50">
        <f>VLOOKUP($A161,'Data shares'!$C:$FB,69)*100</f>
        <v>-9.370000000000001</v>
      </c>
      <c r="G161" s="49">
        <f>VLOOKUP($A161,'Data shares'!$C:$FB,42)</f>
        <v>3446750</v>
      </c>
      <c r="H161" s="49">
        <f>VLOOKUP($A161,'Data shares'!$C:$FB,43)</f>
        <v>5997750</v>
      </c>
      <c r="I161" s="50">
        <f>VLOOKUP($A161,'Data shares'!$C:$FB,45)*100</f>
        <v>-42.53</v>
      </c>
      <c r="J161" s="49">
        <f>VLOOKUP($A161,'Data shares'!$C:$FB,58)</f>
        <v>3664000</v>
      </c>
      <c r="K161" s="49">
        <f>VLOOKUP($A161,'Data shares'!$C:$FB,59)</f>
        <v>2752500</v>
      </c>
      <c r="L161" s="50">
        <f>VLOOKUP($A161,'Data shares'!$C:$FB,61)*100</f>
        <v>33.119999999999997</v>
      </c>
      <c r="M161" s="49">
        <f>VLOOKUP($A161,'Data shares'!$C:$FB,62)</f>
        <v>1582500</v>
      </c>
      <c r="N161" s="49">
        <f>VLOOKUP($A161,'Data shares'!$C:$FB,63)</f>
        <v>841750</v>
      </c>
      <c r="O161" s="140">
        <f>VLOOKUP($A161,'Data shares'!$C:$FB,65)*100</f>
        <v>88</v>
      </c>
    </row>
    <row r="162" spans="1:15" x14ac:dyDescent="0.25">
      <c r="A162" s="101" t="str">
        <f>'Data shares'!C157</f>
        <v>NHPC</v>
      </c>
      <c r="B162" s="50">
        <f>VLOOKUP($A162,'Data shares'!$C:$FB,7)</f>
        <v>83.25</v>
      </c>
      <c r="C162" s="50">
        <f>VLOOKUP($A162,'Data shares'!$C:$FB,10)*100</f>
        <v>-1.43</v>
      </c>
      <c r="D162" s="49">
        <f>VLOOKUP($A162,'Data shares'!$C:$FB,66)</f>
        <v>42150400</v>
      </c>
      <c r="E162" s="49">
        <f>VLOOKUP($A162,'Data shares'!$C:$FB,67)</f>
        <v>43481600</v>
      </c>
      <c r="F162" s="50">
        <f>VLOOKUP($A162,'Data shares'!$C:$FB,69)*100</f>
        <v>-3.06</v>
      </c>
      <c r="G162" s="49">
        <f>VLOOKUP($A162,'Data shares'!$C:$FB,42)</f>
        <v>30163200</v>
      </c>
      <c r="H162" s="49">
        <f>VLOOKUP($A162,'Data shares'!$C:$FB,43)</f>
        <v>34982400</v>
      </c>
      <c r="I162" s="50">
        <f>VLOOKUP($A162,'Data shares'!$C:$FB,45)*100</f>
        <v>-13.780000000000001</v>
      </c>
      <c r="J162" s="49">
        <f>VLOOKUP($A162,'Data shares'!$C:$FB,58)</f>
        <v>7872000</v>
      </c>
      <c r="K162" s="49">
        <f>VLOOKUP($A162,'Data shares'!$C:$FB,59)</f>
        <v>5600000</v>
      </c>
      <c r="L162" s="50">
        <f>VLOOKUP($A162,'Data shares'!$C:$FB,61)*100</f>
        <v>40.57</v>
      </c>
      <c r="M162" s="49">
        <f>VLOOKUP($A162,'Data shares'!$C:$FB,62)</f>
        <v>4115200</v>
      </c>
      <c r="N162" s="49">
        <f>VLOOKUP($A162,'Data shares'!$C:$FB,63)</f>
        <v>2899200</v>
      </c>
      <c r="O162" s="140">
        <f>VLOOKUP($A162,'Data shares'!$C:$FB,65)*100</f>
        <v>41.94</v>
      </c>
    </row>
    <row r="163" spans="1:15" x14ac:dyDescent="0.25">
      <c r="A163" s="101" t="str">
        <f>'Data shares'!C158</f>
        <v>NIFTY</v>
      </c>
      <c r="B163" s="50">
        <f>VLOOKUP($A163,'Data shares'!$C:$FB,7)</f>
        <v>24768.35</v>
      </c>
      <c r="C163" s="50">
        <f>VLOOKUP($A163,'Data shares'!$C:$FB,10)*100</f>
        <v>-0.35000000000000003</v>
      </c>
      <c r="D163" s="49">
        <f>VLOOKUP($A163,'Data shares'!$C:$FB,66)</f>
        <v>22012720575</v>
      </c>
      <c r="E163" s="49">
        <f>VLOOKUP($A163,'Data shares'!$C:$FB,67)</f>
        <v>7353876150</v>
      </c>
      <c r="F163" s="50">
        <f>VLOOKUP($A163,'Data shares'!$C:$FB,69)*100</f>
        <v>199.33</v>
      </c>
      <c r="G163" s="49">
        <f>VLOOKUP($A163,'Data shares'!$C:$FB,42)</f>
        <v>16182675</v>
      </c>
      <c r="H163" s="49">
        <f>VLOOKUP($A163,'Data shares'!$C:$FB,43)</f>
        <v>10091475</v>
      </c>
      <c r="I163" s="50">
        <f>VLOOKUP($A163,'Data shares'!$C:$FB,45)*100</f>
        <v>60.36</v>
      </c>
      <c r="J163" s="49">
        <f>VLOOKUP($A163,'Data shares'!$C:$FB,58)</f>
        <v>11413356375</v>
      </c>
      <c r="K163" s="49">
        <f>VLOOKUP($A163,'Data shares'!$C:$FB,59)</f>
        <v>4006416975</v>
      </c>
      <c r="L163" s="50">
        <f>VLOOKUP($A163,'Data shares'!$C:$FB,61)*100</f>
        <v>184.88</v>
      </c>
      <c r="M163" s="49">
        <f>VLOOKUP($A163,'Data shares'!$C:$FB,62)</f>
        <v>10583181525</v>
      </c>
      <c r="N163" s="49">
        <f>VLOOKUP($A163,'Data shares'!$C:$FB,63)</f>
        <v>3337367700</v>
      </c>
      <c r="O163" s="140">
        <f>VLOOKUP($A163,'Data shares'!$C:$FB,65)*100</f>
        <v>217.11</v>
      </c>
    </row>
    <row r="164" spans="1:15" x14ac:dyDescent="0.25">
      <c r="A164" s="101" t="str">
        <f>'Data shares'!C159</f>
        <v>NIFTYNXT50</v>
      </c>
      <c r="B164" s="50">
        <f>VLOOKUP($A164,'Data shares'!$C:$FB,7)</f>
        <v>67096.149999999994</v>
      </c>
      <c r="C164" s="50">
        <f>VLOOKUP($A164,'Data shares'!$C:$FB,10)*100</f>
        <v>-0.5</v>
      </c>
      <c r="D164" s="49">
        <f>VLOOKUP($A164,'Data shares'!$C:$FB,66)</f>
        <v>493175</v>
      </c>
      <c r="E164" s="49">
        <f>VLOOKUP($A164,'Data shares'!$C:$FB,67)</f>
        <v>105075</v>
      </c>
      <c r="F164" s="50">
        <f>VLOOKUP($A164,'Data shares'!$C:$FB,69)*100</f>
        <v>369.36</v>
      </c>
      <c r="G164" s="49">
        <f>VLOOKUP($A164,'Data shares'!$C:$FB,42)</f>
        <v>24200</v>
      </c>
      <c r="H164" s="49">
        <f>VLOOKUP($A164,'Data shares'!$C:$FB,43)</f>
        <v>10475</v>
      </c>
      <c r="I164" s="50">
        <f>VLOOKUP($A164,'Data shares'!$C:$FB,45)*100</f>
        <v>131.03</v>
      </c>
      <c r="J164" s="49">
        <f>VLOOKUP($A164,'Data shares'!$C:$FB,58)</f>
        <v>268425</v>
      </c>
      <c r="K164" s="49">
        <f>VLOOKUP($A164,'Data shares'!$C:$FB,59)</f>
        <v>71950</v>
      </c>
      <c r="L164" s="50">
        <f>VLOOKUP($A164,'Data shares'!$C:$FB,61)*100</f>
        <v>273.07</v>
      </c>
      <c r="M164" s="49">
        <f>VLOOKUP($A164,'Data shares'!$C:$FB,62)</f>
        <v>200550</v>
      </c>
      <c r="N164" s="49">
        <f>VLOOKUP($A164,'Data shares'!$C:$FB,63)</f>
        <v>22650</v>
      </c>
      <c r="O164" s="140">
        <f>VLOOKUP($A164,'Data shares'!$C:$FB,65)*100</f>
        <v>785.43000000000006</v>
      </c>
    </row>
    <row r="165" spans="1:15" x14ac:dyDescent="0.25">
      <c r="A165" s="101" t="str">
        <f>'Data shares'!C160</f>
        <v>NMDC</v>
      </c>
      <c r="B165" s="50">
        <f>VLOOKUP($A165,'Data shares'!$C:$FB,7)</f>
        <v>70.790000000000006</v>
      </c>
      <c r="C165" s="50">
        <f>VLOOKUP($A165,'Data shares'!$C:$FB,10)*100</f>
        <v>-1.76</v>
      </c>
      <c r="D165" s="49">
        <f>VLOOKUP($A165,'Data shares'!$C:$FB,66)</f>
        <v>377635500</v>
      </c>
      <c r="E165" s="49">
        <f>VLOOKUP($A165,'Data shares'!$C:$FB,67)</f>
        <v>207643500</v>
      </c>
      <c r="F165" s="50">
        <f>VLOOKUP($A165,'Data shares'!$C:$FB,69)*100</f>
        <v>81.87</v>
      </c>
      <c r="G165" s="49">
        <f>VLOOKUP($A165,'Data shares'!$C:$FB,42)</f>
        <v>240246000</v>
      </c>
      <c r="H165" s="49">
        <f>VLOOKUP($A165,'Data shares'!$C:$FB,43)</f>
        <v>110767500</v>
      </c>
      <c r="I165" s="50">
        <f>VLOOKUP($A165,'Data shares'!$C:$FB,45)*100</f>
        <v>116.89</v>
      </c>
      <c r="J165" s="49">
        <f>VLOOKUP($A165,'Data shares'!$C:$FB,58)</f>
        <v>76504500</v>
      </c>
      <c r="K165" s="49">
        <f>VLOOKUP($A165,'Data shares'!$C:$FB,59)</f>
        <v>58576500</v>
      </c>
      <c r="L165" s="50">
        <f>VLOOKUP($A165,'Data shares'!$C:$FB,61)*100</f>
        <v>30.61</v>
      </c>
      <c r="M165" s="49">
        <f>VLOOKUP($A165,'Data shares'!$C:$FB,62)</f>
        <v>60885000</v>
      </c>
      <c r="N165" s="49">
        <f>VLOOKUP($A165,'Data shares'!$C:$FB,63)</f>
        <v>38299500</v>
      </c>
      <c r="O165" s="140">
        <f>VLOOKUP($A165,'Data shares'!$C:$FB,65)*100</f>
        <v>58.97</v>
      </c>
    </row>
    <row r="166" spans="1:15" x14ac:dyDescent="0.25">
      <c r="A166" s="101" t="str">
        <f>'Data shares'!C161</f>
        <v>NTPC</v>
      </c>
      <c r="B166" s="50">
        <f>VLOOKUP($A166,'Data shares'!$C:$FB,7)</f>
        <v>334.25</v>
      </c>
      <c r="C166" s="50">
        <f>VLOOKUP($A166,'Data shares'!$C:$FB,10)*100</f>
        <v>-1.34</v>
      </c>
      <c r="D166" s="49">
        <f>VLOOKUP($A166,'Data shares'!$C:$FB,66)</f>
        <v>70819500</v>
      </c>
      <c r="E166" s="49">
        <f>VLOOKUP($A166,'Data shares'!$C:$FB,67)</f>
        <v>223734000</v>
      </c>
      <c r="F166" s="50">
        <f>VLOOKUP($A166,'Data shares'!$C:$FB,69)*100</f>
        <v>-68.349999999999994</v>
      </c>
      <c r="G166" s="49">
        <f>VLOOKUP($A166,'Data shares'!$C:$FB,42)</f>
        <v>34273500</v>
      </c>
      <c r="H166" s="49">
        <f>VLOOKUP($A166,'Data shares'!$C:$FB,43)</f>
        <v>66592500</v>
      </c>
      <c r="I166" s="50">
        <f>VLOOKUP($A166,'Data shares'!$C:$FB,45)*100</f>
        <v>-48.53</v>
      </c>
      <c r="J166" s="49">
        <f>VLOOKUP($A166,'Data shares'!$C:$FB,58)</f>
        <v>19827000</v>
      </c>
      <c r="K166" s="49">
        <f>VLOOKUP($A166,'Data shares'!$C:$FB,59)</f>
        <v>111561000</v>
      </c>
      <c r="L166" s="50">
        <f>VLOOKUP($A166,'Data shares'!$C:$FB,61)*100</f>
        <v>-82.23</v>
      </c>
      <c r="M166" s="49">
        <f>VLOOKUP($A166,'Data shares'!$C:$FB,62)</f>
        <v>16719000</v>
      </c>
      <c r="N166" s="49">
        <f>VLOOKUP($A166,'Data shares'!$C:$FB,63)</f>
        <v>45580500</v>
      </c>
      <c r="O166" s="140">
        <f>VLOOKUP($A166,'Data shares'!$C:$FB,65)*100</f>
        <v>-63.32</v>
      </c>
    </row>
    <row r="167" spans="1:15" x14ac:dyDescent="0.25">
      <c r="A167" s="101" t="str">
        <f>'Data shares'!C162</f>
        <v>NYKAA</v>
      </c>
      <c r="B167" s="50">
        <f>VLOOKUP($A167,'Data shares'!$C:$FB,7)</f>
        <v>209.62</v>
      </c>
      <c r="C167" s="50">
        <f>VLOOKUP($A167,'Data shares'!$C:$FB,10)*100</f>
        <v>-1.97</v>
      </c>
      <c r="D167" s="49">
        <f>VLOOKUP($A167,'Data shares'!$C:$FB,66)</f>
        <v>42975000</v>
      </c>
      <c r="E167" s="49">
        <f>VLOOKUP($A167,'Data shares'!$C:$FB,67)</f>
        <v>49978125</v>
      </c>
      <c r="F167" s="50">
        <f>VLOOKUP($A167,'Data shares'!$C:$FB,69)*100</f>
        <v>-14.01</v>
      </c>
      <c r="G167" s="49">
        <f>VLOOKUP($A167,'Data shares'!$C:$FB,42)</f>
        <v>28046875</v>
      </c>
      <c r="H167" s="49">
        <f>VLOOKUP($A167,'Data shares'!$C:$FB,43)</f>
        <v>32565625</v>
      </c>
      <c r="I167" s="50">
        <f>VLOOKUP($A167,'Data shares'!$C:$FB,45)*100</f>
        <v>-13.88</v>
      </c>
      <c r="J167" s="49">
        <f>VLOOKUP($A167,'Data shares'!$C:$FB,58)</f>
        <v>10459375</v>
      </c>
      <c r="K167" s="49">
        <f>VLOOKUP($A167,'Data shares'!$C:$FB,59)</f>
        <v>12865625</v>
      </c>
      <c r="L167" s="50">
        <f>VLOOKUP($A167,'Data shares'!$C:$FB,61)*100</f>
        <v>-18.7</v>
      </c>
      <c r="M167" s="49">
        <f>VLOOKUP($A167,'Data shares'!$C:$FB,62)</f>
        <v>4468750</v>
      </c>
      <c r="N167" s="49">
        <f>VLOOKUP($A167,'Data shares'!$C:$FB,63)</f>
        <v>4546875</v>
      </c>
      <c r="O167" s="140">
        <f>VLOOKUP($A167,'Data shares'!$C:$FB,65)*100</f>
        <v>-1.72</v>
      </c>
    </row>
    <row r="168" spans="1:15" x14ac:dyDescent="0.25">
      <c r="A168" s="101" t="str">
        <f>'Data shares'!C163</f>
        <v>OBEROIRLTY</v>
      </c>
      <c r="B168" s="50">
        <f>VLOOKUP($A168,'Data shares'!$C:$FB,7)</f>
        <v>1630.1</v>
      </c>
      <c r="C168" s="50">
        <f>VLOOKUP($A168,'Data shares'!$C:$FB,10)*100</f>
        <v>-1.0900000000000001</v>
      </c>
      <c r="D168" s="49">
        <f>VLOOKUP($A168,'Data shares'!$C:$FB,66)</f>
        <v>7773850</v>
      </c>
      <c r="E168" s="49">
        <f>VLOOKUP($A168,'Data shares'!$C:$FB,67)</f>
        <v>6053600</v>
      </c>
      <c r="F168" s="50">
        <f>VLOOKUP($A168,'Data shares'!$C:$FB,69)*100</f>
        <v>28.42</v>
      </c>
      <c r="G168" s="49">
        <f>VLOOKUP($A168,'Data shares'!$C:$FB,42)</f>
        <v>3475500</v>
      </c>
      <c r="H168" s="49">
        <f>VLOOKUP($A168,'Data shares'!$C:$FB,43)</f>
        <v>3449950</v>
      </c>
      <c r="I168" s="50">
        <f>VLOOKUP($A168,'Data shares'!$C:$FB,45)*100</f>
        <v>0.74</v>
      </c>
      <c r="J168" s="49">
        <f>VLOOKUP($A168,'Data shares'!$C:$FB,58)</f>
        <v>2750650</v>
      </c>
      <c r="K168" s="49">
        <f>VLOOKUP($A168,'Data shares'!$C:$FB,59)</f>
        <v>1743350</v>
      </c>
      <c r="L168" s="50">
        <f>VLOOKUP($A168,'Data shares'!$C:$FB,61)*100</f>
        <v>57.78</v>
      </c>
      <c r="M168" s="49">
        <f>VLOOKUP($A168,'Data shares'!$C:$FB,62)</f>
        <v>1547700</v>
      </c>
      <c r="N168" s="49">
        <f>VLOOKUP($A168,'Data shares'!$C:$FB,63)</f>
        <v>860300</v>
      </c>
      <c r="O168" s="140">
        <f>VLOOKUP($A168,'Data shares'!$C:$FB,65)*100</f>
        <v>79.900000000000006</v>
      </c>
    </row>
    <row r="169" spans="1:15" x14ac:dyDescent="0.25">
      <c r="A169" s="101" t="str">
        <f>'Data shares'!C164</f>
        <v>OFSS</v>
      </c>
      <c r="B169" s="50">
        <f>VLOOKUP($A169,'Data shares'!$C:$FB,7)</f>
        <v>8475</v>
      </c>
      <c r="C169" s="50">
        <f>VLOOKUP($A169,'Data shares'!$C:$FB,10)*100</f>
        <v>-1.1100000000000001</v>
      </c>
      <c r="D169" s="49">
        <f>VLOOKUP($A169,'Data shares'!$C:$FB,66)</f>
        <v>1901025</v>
      </c>
      <c r="E169" s="49">
        <f>VLOOKUP($A169,'Data shares'!$C:$FB,67)</f>
        <v>1681500</v>
      </c>
      <c r="F169" s="50">
        <f>VLOOKUP($A169,'Data shares'!$C:$FB,69)*100</f>
        <v>13.059999999999999</v>
      </c>
      <c r="G169" s="49">
        <f>VLOOKUP($A169,'Data shares'!$C:$FB,42)</f>
        <v>756450</v>
      </c>
      <c r="H169" s="49">
        <f>VLOOKUP($A169,'Data shares'!$C:$FB,43)</f>
        <v>701025</v>
      </c>
      <c r="I169" s="50">
        <f>VLOOKUP($A169,'Data shares'!$C:$FB,45)*100</f>
        <v>7.91</v>
      </c>
      <c r="J169" s="49">
        <f>VLOOKUP($A169,'Data shares'!$C:$FB,58)</f>
        <v>724350</v>
      </c>
      <c r="K169" s="49">
        <f>VLOOKUP($A169,'Data shares'!$C:$FB,59)</f>
        <v>753750</v>
      </c>
      <c r="L169" s="50">
        <f>VLOOKUP($A169,'Data shares'!$C:$FB,61)*100</f>
        <v>-3.9</v>
      </c>
      <c r="M169" s="49">
        <f>VLOOKUP($A169,'Data shares'!$C:$FB,62)</f>
        <v>420225</v>
      </c>
      <c r="N169" s="49">
        <f>VLOOKUP($A169,'Data shares'!$C:$FB,63)</f>
        <v>226725</v>
      </c>
      <c r="O169" s="140">
        <f>VLOOKUP($A169,'Data shares'!$C:$FB,65)*100</f>
        <v>85.350000000000009</v>
      </c>
    </row>
    <row r="170" spans="1:15" x14ac:dyDescent="0.25">
      <c r="A170" s="101" t="str">
        <f>'Data shares'!C165</f>
        <v>OIL</v>
      </c>
      <c r="B170" s="50">
        <f>VLOOKUP($A170,'Data shares'!$C:$FB,7)</f>
        <v>440</v>
      </c>
      <c r="C170" s="50">
        <f>VLOOKUP($A170,'Data shares'!$C:$FB,10)*100</f>
        <v>-1.08</v>
      </c>
      <c r="D170" s="49">
        <f>VLOOKUP($A170,'Data shares'!$C:$FB,66)</f>
        <v>12307400</v>
      </c>
      <c r="E170" s="49">
        <f>VLOOKUP($A170,'Data shares'!$C:$FB,67)</f>
        <v>22010800</v>
      </c>
      <c r="F170" s="50">
        <f>VLOOKUP($A170,'Data shares'!$C:$FB,69)*100</f>
        <v>-44.080000000000005</v>
      </c>
      <c r="G170" s="49">
        <f>VLOOKUP($A170,'Data shares'!$C:$FB,42)</f>
        <v>7880600</v>
      </c>
      <c r="H170" s="49">
        <f>VLOOKUP($A170,'Data shares'!$C:$FB,43)</f>
        <v>10005800</v>
      </c>
      <c r="I170" s="50">
        <f>VLOOKUP($A170,'Data shares'!$C:$FB,45)*100</f>
        <v>-21.240000000000002</v>
      </c>
      <c r="J170" s="49">
        <f>VLOOKUP($A170,'Data shares'!$C:$FB,58)</f>
        <v>3054800</v>
      </c>
      <c r="K170" s="49">
        <f>VLOOKUP($A170,'Data shares'!$C:$FB,59)</f>
        <v>8474200</v>
      </c>
      <c r="L170" s="50">
        <f>VLOOKUP($A170,'Data shares'!$C:$FB,61)*100</f>
        <v>-63.949999999999996</v>
      </c>
      <c r="M170" s="49">
        <f>VLOOKUP($A170,'Data shares'!$C:$FB,62)</f>
        <v>1372000</v>
      </c>
      <c r="N170" s="49">
        <f>VLOOKUP($A170,'Data shares'!$C:$FB,63)</f>
        <v>3530800</v>
      </c>
      <c r="O170" s="140">
        <f>VLOOKUP($A170,'Data shares'!$C:$FB,65)*100</f>
        <v>-61.140000000000008</v>
      </c>
    </row>
    <row r="171" spans="1:15" x14ac:dyDescent="0.25">
      <c r="A171" s="101" t="str">
        <f>'Data shares'!C166</f>
        <v>ONGC</v>
      </c>
      <c r="B171" s="50">
        <f>VLOOKUP($A171,'Data shares'!$C:$FB,7)</f>
        <v>241</v>
      </c>
      <c r="C171" s="50">
        <f>VLOOKUP($A171,'Data shares'!$C:$FB,10)*100</f>
        <v>-0.33</v>
      </c>
      <c r="D171" s="49">
        <f>VLOOKUP($A171,'Data shares'!$C:$FB,66)</f>
        <v>85828500</v>
      </c>
      <c r="E171" s="49">
        <f>VLOOKUP($A171,'Data shares'!$C:$FB,67)</f>
        <v>116064000</v>
      </c>
      <c r="F171" s="50">
        <f>VLOOKUP($A171,'Data shares'!$C:$FB,69)*100</f>
        <v>-26.05</v>
      </c>
      <c r="G171" s="49">
        <f>VLOOKUP($A171,'Data shares'!$C:$FB,42)</f>
        <v>52924500</v>
      </c>
      <c r="H171" s="49">
        <f>VLOOKUP($A171,'Data shares'!$C:$FB,43)</f>
        <v>61341750</v>
      </c>
      <c r="I171" s="50">
        <f>VLOOKUP($A171,'Data shares'!$C:$FB,45)*100</f>
        <v>-13.719999999999999</v>
      </c>
      <c r="J171" s="49">
        <f>VLOOKUP($A171,'Data shares'!$C:$FB,58)</f>
        <v>20232000</v>
      </c>
      <c r="K171" s="49">
        <f>VLOOKUP($A171,'Data shares'!$C:$FB,59)</f>
        <v>38486250</v>
      </c>
      <c r="L171" s="50">
        <f>VLOOKUP($A171,'Data shares'!$C:$FB,61)*100</f>
        <v>-47.43</v>
      </c>
      <c r="M171" s="49">
        <f>VLOOKUP($A171,'Data shares'!$C:$FB,62)</f>
        <v>12672000</v>
      </c>
      <c r="N171" s="49">
        <f>VLOOKUP($A171,'Data shares'!$C:$FB,63)</f>
        <v>16236000</v>
      </c>
      <c r="O171" s="140">
        <f>VLOOKUP($A171,'Data shares'!$C:$FB,65)*100</f>
        <v>-21.95</v>
      </c>
    </row>
    <row r="172" spans="1:15" x14ac:dyDescent="0.25">
      <c r="A172" s="101" t="str">
        <f>'Data shares'!C167</f>
        <v>PAGEIND</v>
      </c>
      <c r="B172" s="50">
        <f>VLOOKUP($A172,'Data shares'!$C:$FB,7)</f>
        <v>48805</v>
      </c>
      <c r="C172" s="50">
        <f>VLOOKUP($A172,'Data shares'!$C:$FB,10)*100</f>
        <v>1.01</v>
      </c>
      <c r="D172" s="49">
        <f>VLOOKUP($A172,'Data shares'!$C:$FB,66)</f>
        <v>288750</v>
      </c>
      <c r="E172" s="49">
        <f>VLOOKUP($A172,'Data shares'!$C:$FB,67)</f>
        <v>768945</v>
      </c>
      <c r="F172" s="50">
        <f>VLOOKUP($A172,'Data shares'!$C:$FB,69)*100</f>
        <v>-62.45</v>
      </c>
      <c r="G172" s="49">
        <f>VLOOKUP($A172,'Data shares'!$C:$FB,42)</f>
        <v>139125</v>
      </c>
      <c r="H172" s="49">
        <f>VLOOKUP($A172,'Data shares'!$C:$FB,43)</f>
        <v>302925</v>
      </c>
      <c r="I172" s="50">
        <f>VLOOKUP($A172,'Data shares'!$C:$FB,45)*100</f>
        <v>-54.069999999999993</v>
      </c>
      <c r="J172" s="49">
        <f>VLOOKUP($A172,'Data shares'!$C:$FB,58)</f>
        <v>119055</v>
      </c>
      <c r="K172" s="49">
        <f>VLOOKUP($A172,'Data shares'!$C:$FB,59)</f>
        <v>387765</v>
      </c>
      <c r="L172" s="50">
        <f>VLOOKUP($A172,'Data shares'!$C:$FB,61)*100</f>
        <v>-69.3</v>
      </c>
      <c r="M172" s="49">
        <f>VLOOKUP($A172,'Data shares'!$C:$FB,62)</f>
        <v>30570</v>
      </c>
      <c r="N172" s="49">
        <f>VLOOKUP($A172,'Data shares'!$C:$FB,63)</f>
        <v>78255</v>
      </c>
      <c r="O172" s="140">
        <f>VLOOKUP($A172,'Data shares'!$C:$FB,65)*100</f>
        <v>-60.940000000000005</v>
      </c>
    </row>
    <row r="173" spans="1:15" x14ac:dyDescent="0.25">
      <c r="A173" s="101" t="str">
        <f>'Data shares'!C168</f>
        <v>PATANJALI</v>
      </c>
      <c r="B173" s="50">
        <f>VLOOKUP($A173,'Data shares'!$C:$FB,7)</f>
        <v>1873.7</v>
      </c>
      <c r="C173" s="50">
        <f>VLOOKUP($A173,'Data shares'!$C:$FB,10)*100</f>
        <v>-1.38</v>
      </c>
      <c r="D173" s="49">
        <f>VLOOKUP($A173,'Data shares'!$C:$FB,66)</f>
        <v>12201600</v>
      </c>
      <c r="E173" s="49">
        <f>VLOOKUP($A173,'Data shares'!$C:$FB,67)</f>
        <v>11770800</v>
      </c>
      <c r="F173" s="50">
        <f>VLOOKUP($A173,'Data shares'!$C:$FB,69)*100</f>
        <v>3.66</v>
      </c>
      <c r="G173" s="49">
        <f>VLOOKUP($A173,'Data shares'!$C:$FB,42)</f>
        <v>7362900</v>
      </c>
      <c r="H173" s="49">
        <f>VLOOKUP($A173,'Data shares'!$C:$FB,43)</f>
        <v>5595600</v>
      </c>
      <c r="I173" s="50">
        <f>VLOOKUP($A173,'Data shares'!$C:$FB,45)*100</f>
        <v>31.580000000000002</v>
      </c>
      <c r="J173" s="49">
        <f>VLOOKUP($A173,'Data shares'!$C:$FB,58)</f>
        <v>3183000</v>
      </c>
      <c r="K173" s="49">
        <f>VLOOKUP($A173,'Data shares'!$C:$FB,59)</f>
        <v>4523100</v>
      </c>
      <c r="L173" s="50">
        <f>VLOOKUP($A173,'Data shares'!$C:$FB,61)*100</f>
        <v>-29.630000000000003</v>
      </c>
      <c r="M173" s="49">
        <f>VLOOKUP($A173,'Data shares'!$C:$FB,62)</f>
        <v>1655700</v>
      </c>
      <c r="N173" s="49">
        <f>VLOOKUP($A173,'Data shares'!$C:$FB,63)</f>
        <v>1652100</v>
      </c>
      <c r="O173" s="140">
        <f>VLOOKUP($A173,'Data shares'!$C:$FB,65)*100</f>
        <v>0.22</v>
      </c>
    </row>
    <row r="174" spans="1:15" x14ac:dyDescent="0.25">
      <c r="A174" s="101" t="str">
        <f>'Data shares'!C169</f>
        <v>PAYTM</v>
      </c>
      <c r="B174" s="50">
        <f>VLOOKUP($A174,'Data shares'!$C:$FB,7)</f>
        <v>1089.3499999999999</v>
      </c>
      <c r="C174" s="50">
        <f>VLOOKUP($A174,'Data shares'!$C:$FB,10)*100</f>
        <v>1.9800000000000002</v>
      </c>
      <c r="D174" s="49">
        <f>VLOOKUP($A174,'Data shares'!$C:$FB,66)</f>
        <v>47114850</v>
      </c>
      <c r="E174" s="49">
        <f>VLOOKUP($A174,'Data shares'!$C:$FB,67)</f>
        <v>41475075</v>
      </c>
      <c r="F174" s="50">
        <f>VLOOKUP($A174,'Data shares'!$C:$FB,69)*100</f>
        <v>13.600000000000001</v>
      </c>
      <c r="G174" s="49">
        <f>VLOOKUP($A174,'Data shares'!$C:$FB,42)</f>
        <v>15194550</v>
      </c>
      <c r="H174" s="49">
        <f>VLOOKUP($A174,'Data shares'!$C:$FB,43)</f>
        <v>16358175</v>
      </c>
      <c r="I174" s="50">
        <f>VLOOKUP($A174,'Data shares'!$C:$FB,45)*100</f>
        <v>-7.1099999999999994</v>
      </c>
      <c r="J174" s="49">
        <f>VLOOKUP($A174,'Data shares'!$C:$FB,58)</f>
        <v>22293750</v>
      </c>
      <c r="K174" s="49">
        <f>VLOOKUP($A174,'Data shares'!$C:$FB,59)</f>
        <v>16269725</v>
      </c>
      <c r="L174" s="50">
        <f>VLOOKUP($A174,'Data shares'!$C:$FB,61)*100</f>
        <v>37.03</v>
      </c>
      <c r="M174" s="49">
        <f>VLOOKUP($A174,'Data shares'!$C:$FB,62)</f>
        <v>9626550</v>
      </c>
      <c r="N174" s="49">
        <f>VLOOKUP($A174,'Data shares'!$C:$FB,63)</f>
        <v>8847175</v>
      </c>
      <c r="O174" s="140">
        <f>VLOOKUP($A174,'Data shares'!$C:$FB,65)*100</f>
        <v>8.81</v>
      </c>
    </row>
    <row r="175" spans="1:15" x14ac:dyDescent="0.25">
      <c r="A175" s="101" t="str">
        <f>'Data shares'!C170</f>
        <v>PEL</v>
      </c>
      <c r="B175" s="50">
        <f>VLOOKUP($A175,'Data shares'!$C:$FB,7)</f>
        <v>1251.8</v>
      </c>
      <c r="C175" s="50">
        <f>VLOOKUP($A175,'Data shares'!$C:$FB,10)*100</f>
        <v>-2.78</v>
      </c>
      <c r="D175" s="49">
        <f>VLOOKUP($A175,'Data shares'!$C:$FB,66)</f>
        <v>12205500</v>
      </c>
      <c r="E175" s="49">
        <f>VLOOKUP($A175,'Data shares'!$C:$FB,67)</f>
        <v>51736500</v>
      </c>
      <c r="F175" s="50">
        <f>VLOOKUP($A175,'Data shares'!$C:$FB,69)*100</f>
        <v>-76.41</v>
      </c>
      <c r="G175" s="49">
        <f>VLOOKUP($A175,'Data shares'!$C:$FB,42)</f>
        <v>2472750</v>
      </c>
      <c r="H175" s="49">
        <f>VLOOKUP($A175,'Data shares'!$C:$FB,43)</f>
        <v>4659750</v>
      </c>
      <c r="I175" s="50">
        <f>VLOOKUP($A175,'Data shares'!$C:$FB,45)*100</f>
        <v>-46.93</v>
      </c>
      <c r="J175" s="49">
        <f>VLOOKUP($A175,'Data shares'!$C:$FB,58)</f>
        <v>7299000</v>
      </c>
      <c r="K175" s="49">
        <f>VLOOKUP($A175,'Data shares'!$C:$FB,59)</f>
        <v>34102500</v>
      </c>
      <c r="L175" s="50">
        <f>VLOOKUP($A175,'Data shares'!$C:$FB,61)*100</f>
        <v>-78.600000000000009</v>
      </c>
      <c r="M175" s="49">
        <f>VLOOKUP($A175,'Data shares'!$C:$FB,62)</f>
        <v>2433750</v>
      </c>
      <c r="N175" s="49">
        <f>VLOOKUP($A175,'Data shares'!$C:$FB,63)</f>
        <v>12974250</v>
      </c>
      <c r="O175" s="140">
        <f>VLOOKUP($A175,'Data shares'!$C:$FB,65)*100</f>
        <v>-81.239999999999995</v>
      </c>
    </row>
    <row r="176" spans="1:15" x14ac:dyDescent="0.25">
      <c r="A176" s="101" t="str">
        <f>'Data shares'!C171</f>
        <v>PERSISTENT</v>
      </c>
      <c r="B176" s="50">
        <f>VLOOKUP($A176,'Data shares'!$C:$FB,7)</f>
        <v>5160.5</v>
      </c>
      <c r="C176" s="50">
        <f>VLOOKUP($A176,'Data shares'!$C:$FB,10)*100</f>
        <v>-0.04</v>
      </c>
      <c r="D176" s="49">
        <f>VLOOKUP($A176,'Data shares'!$C:$FB,66)</f>
        <v>5994400</v>
      </c>
      <c r="E176" s="49">
        <f>VLOOKUP($A176,'Data shares'!$C:$FB,67)</f>
        <v>6903900</v>
      </c>
      <c r="F176" s="50">
        <f>VLOOKUP($A176,'Data shares'!$C:$FB,69)*100</f>
        <v>-13.170000000000002</v>
      </c>
      <c r="G176" s="49">
        <f>VLOOKUP($A176,'Data shares'!$C:$FB,42)</f>
        <v>1735300</v>
      </c>
      <c r="H176" s="49">
        <f>VLOOKUP($A176,'Data shares'!$C:$FB,43)</f>
        <v>1654300</v>
      </c>
      <c r="I176" s="50">
        <f>VLOOKUP($A176,'Data shares'!$C:$FB,45)*100</f>
        <v>4.9000000000000004</v>
      </c>
      <c r="J176" s="49">
        <f>VLOOKUP($A176,'Data shares'!$C:$FB,58)</f>
        <v>2862800</v>
      </c>
      <c r="K176" s="49">
        <f>VLOOKUP($A176,'Data shares'!$C:$FB,59)</f>
        <v>3889100</v>
      </c>
      <c r="L176" s="50">
        <f>VLOOKUP($A176,'Data shares'!$C:$FB,61)*100</f>
        <v>-26.39</v>
      </c>
      <c r="M176" s="49">
        <f>VLOOKUP($A176,'Data shares'!$C:$FB,62)</f>
        <v>1396300</v>
      </c>
      <c r="N176" s="49">
        <f>VLOOKUP($A176,'Data shares'!$C:$FB,63)</f>
        <v>1360500</v>
      </c>
      <c r="O176" s="140">
        <f>VLOOKUP($A176,'Data shares'!$C:$FB,65)*100</f>
        <v>2.63</v>
      </c>
    </row>
    <row r="177" spans="1:15" x14ac:dyDescent="0.25">
      <c r="A177" s="101" t="str">
        <f>'Data shares'!C172</f>
        <v>PETRONET</v>
      </c>
      <c r="B177" s="50">
        <f>VLOOKUP($A177,'Data shares'!$C:$FB,7)</f>
        <v>288.2</v>
      </c>
      <c r="C177" s="50">
        <f>VLOOKUP($A177,'Data shares'!$C:$FB,10)*100</f>
        <v>-1.32</v>
      </c>
      <c r="D177" s="49">
        <f>VLOOKUP($A177,'Data shares'!$C:$FB,66)</f>
        <v>47451600</v>
      </c>
      <c r="E177" s="49">
        <f>VLOOKUP($A177,'Data shares'!$C:$FB,67)</f>
        <v>36727200</v>
      </c>
      <c r="F177" s="50">
        <f>VLOOKUP($A177,'Data shares'!$C:$FB,69)*100</f>
        <v>29.2</v>
      </c>
      <c r="G177" s="49">
        <f>VLOOKUP($A177,'Data shares'!$C:$FB,42)</f>
        <v>18208800</v>
      </c>
      <c r="H177" s="49">
        <f>VLOOKUP($A177,'Data shares'!$C:$FB,43)</f>
        <v>22104000</v>
      </c>
      <c r="I177" s="50">
        <f>VLOOKUP($A177,'Data shares'!$C:$FB,45)*100</f>
        <v>-17.62</v>
      </c>
      <c r="J177" s="49">
        <f>VLOOKUP($A177,'Data shares'!$C:$FB,58)</f>
        <v>16738200</v>
      </c>
      <c r="K177" s="49">
        <f>VLOOKUP($A177,'Data shares'!$C:$FB,59)</f>
        <v>8024400</v>
      </c>
      <c r="L177" s="50">
        <f>VLOOKUP($A177,'Data shares'!$C:$FB,61)*100</f>
        <v>108.59</v>
      </c>
      <c r="M177" s="49">
        <f>VLOOKUP($A177,'Data shares'!$C:$FB,62)</f>
        <v>12504600</v>
      </c>
      <c r="N177" s="49">
        <f>VLOOKUP($A177,'Data shares'!$C:$FB,63)</f>
        <v>6598800</v>
      </c>
      <c r="O177" s="140">
        <f>VLOOKUP($A177,'Data shares'!$C:$FB,65)*100</f>
        <v>89.5</v>
      </c>
    </row>
    <row r="178" spans="1:15" x14ac:dyDescent="0.25">
      <c r="A178" s="101" t="str">
        <f>'Data shares'!C173</f>
        <v>PFC</v>
      </c>
      <c r="B178" s="50">
        <f>VLOOKUP($A178,'Data shares'!$C:$FB,7)</f>
        <v>409.95</v>
      </c>
      <c r="C178" s="50">
        <f>VLOOKUP($A178,'Data shares'!$C:$FB,10)*100</f>
        <v>-0.47000000000000003</v>
      </c>
      <c r="D178" s="49">
        <f>VLOOKUP($A178,'Data shares'!$C:$FB,66)</f>
        <v>67711800</v>
      </c>
      <c r="E178" s="49">
        <f>VLOOKUP($A178,'Data shares'!$C:$FB,67)</f>
        <v>71282900</v>
      </c>
      <c r="F178" s="50">
        <f>VLOOKUP($A178,'Data shares'!$C:$FB,69)*100</f>
        <v>-5.01</v>
      </c>
      <c r="G178" s="49">
        <f>VLOOKUP($A178,'Data shares'!$C:$FB,42)</f>
        <v>33647900</v>
      </c>
      <c r="H178" s="49">
        <f>VLOOKUP($A178,'Data shares'!$C:$FB,43)</f>
        <v>37259300</v>
      </c>
      <c r="I178" s="50">
        <f>VLOOKUP($A178,'Data shares'!$C:$FB,45)*100</f>
        <v>-9.69</v>
      </c>
      <c r="J178" s="49">
        <f>VLOOKUP($A178,'Data shares'!$C:$FB,58)</f>
        <v>19241300</v>
      </c>
      <c r="K178" s="49">
        <f>VLOOKUP($A178,'Data shares'!$C:$FB,59)</f>
        <v>19293300</v>
      </c>
      <c r="L178" s="50">
        <f>VLOOKUP($A178,'Data shares'!$C:$FB,61)*100</f>
        <v>-0.27</v>
      </c>
      <c r="M178" s="49">
        <f>VLOOKUP($A178,'Data shares'!$C:$FB,62)</f>
        <v>14822600</v>
      </c>
      <c r="N178" s="49">
        <f>VLOOKUP($A178,'Data shares'!$C:$FB,63)</f>
        <v>14730300</v>
      </c>
      <c r="O178" s="140">
        <f>VLOOKUP($A178,'Data shares'!$C:$FB,65)*100</f>
        <v>0.63</v>
      </c>
    </row>
    <row r="179" spans="1:15" x14ac:dyDescent="0.25">
      <c r="A179" s="101" t="str">
        <f>'Data shares'!C174</f>
        <v>PGEL</v>
      </c>
      <c r="B179" s="50">
        <f>VLOOKUP($A179,'Data shares'!$C:$FB,7)</f>
        <v>811.65</v>
      </c>
      <c r="C179" s="50">
        <f>VLOOKUP($A179,'Data shares'!$C:$FB,10)*100</f>
        <v>0.77999999999999992</v>
      </c>
      <c r="D179" s="49">
        <f>VLOOKUP($A179,'Data shares'!$C:$FB,66)</f>
        <v>9907100</v>
      </c>
      <c r="E179" s="49">
        <f>VLOOKUP($A179,'Data shares'!$C:$FB,67)</f>
        <v>7695100</v>
      </c>
      <c r="F179" s="50">
        <f>VLOOKUP($A179,'Data shares'!$C:$FB,69)*100</f>
        <v>28.749999999999996</v>
      </c>
      <c r="G179" s="49">
        <f>VLOOKUP($A179,'Data shares'!$C:$FB,42)</f>
        <v>6042400</v>
      </c>
      <c r="H179" s="49">
        <f>VLOOKUP($A179,'Data shares'!$C:$FB,43)</f>
        <v>4451300</v>
      </c>
      <c r="I179" s="50">
        <f>VLOOKUP($A179,'Data shares'!$C:$FB,45)*100</f>
        <v>35.74</v>
      </c>
      <c r="J179" s="49">
        <f>VLOOKUP($A179,'Data shares'!$C:$FB,58)</f>
        <v>3087700</v>
      </c>
      <c r="K179" s="49">
        <f>VLOOKUP($A179,'Data shares'!$C:$FB,59)</f>
        <v>2450700</v>
      </c>
      <c r="L179" s="50">
        <f>VLOOKUP($A179,'Data shares'!$C:$FB,61)*100</f>
        <v>25.990000000000002</v>
      </c>
      <c r="M179" s="49">
        <f>VLOOKUP($A179,'Data shares'!$C:$FB,62)</f>
        <v>777000</v>
      </c>
      <c r="N179" s="49">
        <f>VLOOKUP($A179,'Data shares'!$C:$FB,63)</f>
        <v>793100</v>
      </c>
      <c r="O179" s="140">
        <f>VLOOKUP($A179,'Data shares'!$C:$FB,65)*100</f>
        <v>-2.0299999999999998</v>
      </c>
    </row>
    <row r="180" spans="1:15" x14ac:dyDescent="0.25">
      <c r="A180" s="101" t="str">
        <f>'Data shares'!C175</f>
        <v>PHOENIXLTD</v>
      </c>
      <c r="B180" s="50">
        <f>VLOOKUP($A180,'Data shares'!$C:$FB,7)</f>
        <v>1484</v>
      </c>
      <c r="C180" s="50">
        <f>VLOOKUP($A180,'Data shares'!$C:$FB,10)*100</f>
        <v>-1.1900000000000002</v>
      </c>
      <c r="D180" s="49">
        <f>VLOOKUP($A180,'Data shares'!$C:$FB,66)</f>
        <v>3197950</v>
      </c>
      <c r="E180" s="49">
        <f>VLOOKUP($A180,'Data shares'!$C:$FB,67)</f>
        <v>3884650</v>
      </c>
      <c r="F180" s="50">
        <f>VLOOKUP($A180,'Data shares'!$C:$FB,69)*100</f>
        <v>-17.68</v>
      </c>
      <c r="G180" s="49">
        <f>VLOOKUP($A180,'Data shares'!$C:$FB,42)</f>
        <v>2241750</v>
      </c>
      <c r="H180" s="49">
        <f>VLOOKUP($A180,'Data shares'!$C:$FB,43)</f>
        <v>2563400</v>
      </c>
      <c r="I180" s="50">
        <f>VLOOKUP($A180,'Data shares'!$C:$FB,45)*100</f>
        <v>-12.55</v>
      </c>
      <c r="J180" s="49">
        <f>VLOOKUP($A180,'Data shares'!$C:$FB,58)</f>
        <v>675150</v>
      </c>
      <c r="K180" s="49">
        <f>VLOOKUP($A180,'Data shares'!$C:$FB,59)</f>
        <v>1069250</v>
      </c>
      <c r="L180" s="50">
        <f>VLOOKUP($A180,'Data shares'!$C:$FB,61)*100</f>
        <v>-36.86</v>
      </c>
      <c r="M180" s="49">
        <f>VLOOKUP($A180,'Data shares'!$C:$FB,62)</f>
        <v>281050</v>
      </c>
      <c r="N180" s="49">
        <f>VLOOKUP($A180,'Data shares'!$C:$FB,63)</f>
        <v>252000</v>
      </c>
      <c r="O180" s="140">
        <f>VLOOKUP($A180,'Data shares'!$C:$FB,65)*100</f>
        <v>11.53</v>
      </c>
    </row>
    <row r="181" spans="1:15" x14ac:dyDescent="0.25">
      <c r="A181" s="101" t="str">
        <f>'Data shares'!C176</f>
        <v>PIDILITIND</v>
      </c>
      <c r="B181" s="50">
        <f>VLOOKUP($A181,'Data shares'!$C:$FB,7)</f>
        <v>2869.8</v>
      </c>
      <c r="C181" s="50">
        <f>VLOOKUP($A181,'Data shares'!$C:$FB,10)*100</f>
        <v>-0.15</v>
      </c>
      <c r="D181" s="49">
        <f>VLOOKUP($A181,'Data shares'!$C:$FB,66)</f>
        <v>2745750</v>
      </c>
      <c r="E181" s="49">
        <f>VLOOKUP($A181,'Data shares'!$C:$FB,67)</f>
        <v>3145000</v>
      </c>
      <c r="F181" s="50">
        <f>VLOOKUP($A181,'Data shares'!$C:$FB,69)*100</f>
        <v>-12.690000000000001</v>
      </c>
      <c r="G181" s="49">
        <f>VLOOKUP($A181,'Data shares'!$C:$FB,42)</f>
        <v>1344500</v>
      </c>
      <c r="H181" s="49">
        <f>VLOOKUP($A181,'Data shares'!$C:$FB,43)</f>
        <v>2316500</v>
      </c>
      <c r="I181" s="50">
        <f>VLOOKUP($A181,'Data shares'!$C:$FB,45)*100</f>
        <v>-41.959999999999994</v>
      </c>
      <c r="J181" s="49">
        <f>VLOOKUP($A181,'Data shares'!$C:$FB,58)</f>
        <v>915250</v>
      </c>
      <c r="K181" s="49">
        <f>VLOOKUP($A181,'Data shares'!$C:$FB,59)</f>
        <v>633500</v>
      </c>
      <c r="L181" s="50">
        <f>VLOOKUP($A181,'Data shares'!$C:$FB,61)*100</f>
        <v>44.48</v>
      </c>
      <c r="M181" s="49">
        <f>VLOOKUP($A181,'Data shares'!$C:$FB,62)</f>
        <v>486000</v>
      </c>
      <c r="N181" s="49">
        <f>VLOOKUP($A181,'Data shares'!$C:$FB,63)</f>
        <v>195000</v>
      </c>
      <c r="O181" s="140">
        <f>VLOOKUP($A181,'Data shares'!$C:$FB,65)*100</f>
        <v>149.22999999999999</v>
      </c>
    </row>
    <row r="182" spans="1:15" x14ac:dyDescent="0.25">
      <c r="A182" s="101" t="str">
        <f>'Data shares'!C177</f>
        <v>PIIND</v>
      </c>
      <c r="B182" s="50">
        <f>VLOOKUP($A182,'Data shares'!$C:$FB,7)</f>
        <v>4250.8999999999996</v>
      </c>
      <c r="C182" s="50">
        <f>VLOOKUP($A182,'Data shares'!$C:$FB,10)*100</f>
        <v>-1.7000000000000002</v>
      </c>
      <c r="D182" s="49">
        <f>VLOOKUP($A182,'Data shares'!$C:$FB,66)</f>
        <v>1969275</v>
      </c>
      <c r="E182" s="49">
        <f>VLOOKUP($A182,'Data shares'!$C:$FB,67)</f>
        <v>4219075</v>
      </c>
      <c r="F182" s="50">
        <f>VLOOKUP($A182,'Data shares'!$C:$FB,69)*100</f>
        <v>-53.32</v>
      </c>
      <c r="G182" s="49">
        <f>VLOOKUP($A182,'Data shares'!$C:$FB,42)</f>
        <v>780325</v>
      </c>
      <c r="H182" s="49">
        <f>VLOOKUP($A182,'Data shares'!$C:$FB,43)</f>
        <v>1235675</v>
      </c>
      <c r="I182" s="50">
        <f>VLOOKUP($A182,'Data shares'!$C:$FB,45)*100</f>
        <v>-36.85</v>
      </c>
      <c r="J182" s="49">
        <f>VLOOKUP($A182,'Data shares'!$C:$FB,58)</f>
        <v>923650</v>
      </c>
      <c r="K182" s="49">
        <f>VLOOKUP($A182,'Data shares'!$C:$FB,59)</f>
        <v>2551850</v>
      </c>
      <c r="L182" s="50">
        <f>VLOOKUP($A182,'Data shares'!$C:$FB,61)*100</f>
        <v>-63.800000000000004</v>
      </c>
      <c r="M182" s="49">
        <f>VLOOKUP($A182,'Data shares'!$C:$FB,62)</f>
        <v>265300</v>
      </c>
      <c r="N182" s="49">
        <f>VLOOKUP($A182,'Data shares'!$C:$FB,63)</f>
        <v>431550</v>
      </c>
      <c r="O182" s="140">
        <f>VLOOKUP($A182,'Data shares'!$C:$FB,65)*100</f>
        <v>-38.519999999999996</v>
      </c>
    </row>
    <row r="183" spans="1:15" x14ac:dyDescent="0.25">
      <c r="A183" s="101" t="str">
        <f>'Data shares'!C178</f>
        <v>PNB</v>
      </c>
      <c r="B183" s="50">
        <f>VLOOKUP($A183,'Data shares'!$C:$FB,7)</f>
        <v>105.38</v>
      </c>
      <c r="C183" s="50">
        <f>VLOOKUP($A183,'Data shares'!$C:$FB,10)*100</f>
        <v>-2.52</v>
      </c>
      <c r="D183" s="49">
        <f>VLOOKUP($A183,'Data shares'!$C:$FB,66)</f>
        <v>805216000</v>
      </c>
      <c r="E183" s="49">
        <f>VLOOKUP($A183,'Data shares'!$C:$FB,67)</f>
        <v>1371376000</v>
      </c>
      <c r="F183" s="50">
        <f>VLOOKUP($A183,'Data shares'!$C:$FB,69)*100</f>
        <v>-41.28</v>
      </c>
      <c r="G183" s="49">
        <f>VLOOKUP($A183,'Data shares'!$C:$FB,42)</f>
        <v>217104000</v>
      </c>
      <c r="H183" s="49">
        <f>VLOOKUP($A183,'Data shares'!$C:$FB,43)</f>
        <v>309336000</v>
      </c>
      <c r="I183" s="50">
        <f>VLOOKUP($A183,'Data shares'!$C:$FB,45)*100</f>
        <v>-29.82</v>
      </c>
      <c r="J183" s="49">
        <f>VLOOKUP($A183,'Data shares'!$C:$FB,58)</f>
        <v>356072000</v>
      </c>
      <c r="K183" s="49">
        <f>VLOOKUP($A183,'Data shares'!$C:$FB,59)</f>
        <v>690144000</v>
      </c>
      <c r="L183" s="50">
        <f>VLOOKUP($A183,'Data shares'!$C:$FB,61)*100</f>
        <v>-48.41</v>
      </c>
      <c r="M183" s="49">
        <f>VLOOKUP($A183,'Data shares'!$C:$FB,62)</f>
        <v>232040000</v>
      </c>
      <c r="N183" s="49">
        <f>VLOOKUP($A183,'Data shares'!$C:$FB,63)</f>
        <v>371896000</v>
      </c>
      <c r="O183" s="140">
        <f>VLOOKUP($A183,'Data shares'!$C:$FB,65)*100</f>
        <v>-37.61</v>
      </c>
    </row>
    <row r="184" spans="1:15" x14ac:dyDescent="0.25">
      <c r="A184" s="101" t="str">
        <f>'Data shares'!C179</f>
        <v>PNBHOUSING</v>
      </c>
      <c r="B184" s="50">
        <f>VLOOKUP($A184,'Data shares'!$C:$FB,7)</f>
        <v>986.2</v>
      </c>
      <c r="C184" s="50">
        <f>VLOOKUP($A184,'Data shares'!$C:$FB,10)*100</f>
        <v>-0.06</v>
      </c>
      <c r="D184" s="49">
        <f>VLOOKUP($A184,'Data shares'!$C:$FB,66)</f>
        <v>7819500</v>
      </c>
      <c r="E184" s="49">
        <f>VLOOKUP($A184,'Data shares'!$C:$FB,67)</f>
        <v>8724300</v>
      </c>
      <c r="F184" s="50">
        <f>VLOOKUP($A184,'Data shares'!$C:$FB,69)*100</f>
        <v>-10.37</v>
      </c>
      <c r="G184" s="49">
        <f>VLOOKUP($A184,'Data shares'!$C:$FB,42)</f>
        <v>3516500</v>
      </c>
      <c r="H184" s="49">
        <f>VLOOKUP($A184,'Data shares'!$C:$FB,43)</f>
        <v>4884750</v>
      </c>
      <c r="I184" s="50">
        <f>VLOOKUP($A184,'Data shares'!$C:$FB,45)*100</f>
        <v>-28.01</v>
      </c>
      <c r="J184" s="49">
        <f>VLOOKUP($A184,'Data shares'!$C:$FB,58)</f>
        <v>2796950</v>
      </c>
      <c r="K184" s="49">
        <f>VLOOKUP($A184,'Data shares'!$C:$FB,59)</f>
        <v>2728050</v>
      </c>
      <c r="L184" s="50">
        <f>VLOOKUP($A184,'Data shares'!$C:$FB,61)*100</f>
        <v>2.5299999999999998</v>
      </c>
      <c r="M184" s="49">
        <f>VLOOKUP($A184,'Data shares'!$C:$FB,62)</f>
        <v>1506050</v>
      </c>
      <c r="N184" s="49">
        <f>VLOOKUP($A184,'Data shares'!$C:$FB,63)</f>
        <v>1111500</v>
      </c>
      <c r="O184" s="140">
        <f>VLOOKUP($A184,'Data shares'!$C:$FB,65)*100</f>
        <v>35.5</v>
      </c>
    </row>
    <row r="185" spans="1:15" x14ac:dyDescent="0.25">
      <c r="A185" s="101" t="str">
        <f>'Data shares'!C180</f>
        <v>POLICYBZR</v>
      </c>
      <c r="B185" s="50">
        <f>VLOOKUP($A185,'Data shares'!$C:$FB,7)</f>
        <v>1812.1</v>
      </c>
      <c r="C185" s="50">
        <f>VLOOKUP($A185,'Data shares'!$C:$FB,10)*100</f>
        <v>-0.51</v>
      </c>
      <c r="D185" s="49">
        <f>VLOOKUP($A185,'Data shares'!$C:$FB,66)</f>
        <v>7403900</v>
      </c>
      <c r="E185" s="49">
        <f>VLOOKUP($A185,'Data shares'!$C:$FB,67)</f>
        <v>9013900</v>
      </c>
      <c r="F185" s="50">
        <f>VLOOKUP($A185,'Data shares'!$C:$FB,69)*100</f>
        <v>-17.86</v>
      </c>
      <c r="G185" s="49">
        <f>VLOOKUP($A185,'Data shares'!$C:$FB,42)</f>
        <v>3656800</v>
      </c>
      <c r="H185" s="49">
        <f>VLOOKUP($A185,'Data shares'!$C:$FB,43)</f>
        <v>5109300</v>
      </c>
      <c r="I185" s="50">
        <f>VLOOKUP($A185,'Data shares'!$C:$FB,45)*100</f>
        <v>-28.43</v>
      </c>
      <c r="J185" s="49">
        <f>VLOOKUP($A185,'Data shares'!$C:$FB,58)</f>
        <v>2731050</v>
      </c>
      <c r="K185" s="49">
        <f>VLOOKUP($A185,'Data shares'!$C:$FB,59)</f>
        <v>3113600</v>
      </c>
      <c r="L185" s="50">
        <f>VLOOKUP($A185,'Data shares'!$C:$FB,61)*100</f>
        <v>-12.29</v>
      </c>
      <c r="M185" s="49">
        <f>VLOOKUP($A185,'Data shares'!$C:$FB,62)</f>
        <v>1016050</v>
      </c>
      <c r="N185" s="49">
        <f>VLOOKUP($A185,'Data shares'!$C:$FB,63)</f>
        <v>791000</v>
      </c>
      <c r="O185" s="140">
        <f>VLOOKUP($A185,'Data shares'!$C:$FB,65)*100</f>
        <v>28.449999999999996</v>
      </c>
    </row>
    <row r="186" spans="1:15" x14ac:dyDescent="0.25">
      <c r="A186" s="101" t="str">
        <f>'Data shares'!C181</f>
        <v>POLYCAB</v>
      </c>
      <c r="B186" s="50">
        <f>VLOOKUP($A186,'Data shares'!$C:$FB,7)</f>
        <v>6821</v>
      </c>
      <c r="C186" s="50">
        <f>VLOOKUP($A186,'Data shares'!$C:$FB,10)*100</f>
        <v>-1.59</v>
      </c>
      <c r="D186" s="49">
        <f>VLOOKUP($A186,'Data shares'!$C:$FB,66)</f>
        <v>5136375</v>
      </c>
      <c r="E186" s="49">
        <f>VLOOKUP($A186,'Data shares'!$C:$FB,67)</f>
        <v>3417125</v>
      </c>
      <c r="F186" s="50">
        <f>VLOOKUP($A186,'Data shares'!$C:$FB,69)*100</f>
        <v>50.31</v>
      </c>
      <c r="G186" s="49">
        <f>VLOOKUP($A186,'Data shares'!$C:$FB,42)</f>
        <v>1935500</v>
      </c>
      <c r="H186" s="49">
        <f>VLOOKUP($A186,'Data shares'!$C:$FB,43)</f>
        <v>985125</v>
      </c>
      <c r="I186" s="50">
        <f>VLOOKUP($A186,'Data shares'!$C:$FB,45)*100</f>
        <v>96.47</v>
      </c>
      <c r="J186" s="49">
        <f>VLOOKUP($A186,'Data shares'!$C:$FB,58)</f>
        <v>2033000</v>
      </c>
      <c r="K186" s="49">
        <f>VLOOKUP($A186,'Data shares'!$C:$FB,59)</f>
        <v>1420500</v>
      </c>
      <c r="L186" s="50">
        <f>VLOOKUP($A186,'Data shares'!$C:$FB,61)*100</f>
        <v>43.120000000000005</v>
      </c>
      <c r="M186" s="49">
        <f>VLOOKUP($A186,'Data shares'!$C:$FB,62)</f>
        <v>1167875</v>
      </c>
      <c r="N186" s="49">
        <f>VLOOKUP($A186,'Data shares'!$C:$FB,63)</f>
        <v>1011500</v>
      </c>
      <c r="O186" s="140">
        <f>VLOOKUP($A186,'Data shares'!$C:$FB,65)*100</f>
        <v>15.459999999999999</v>
      </c>
    </row>
    <row r="187" spans="1:15" x14ac:dyDescent="0.25">
      <c r="A187" s="101" t="str">
        <f>'Data shares'!C182</f>
        <v>POONAWALLA</v>
      </c>
      <c r="B187" s="50">
        <f>VLOOKUP($A187,'Data shares'!$C:$FB,7)</f>
        <v>422.25</v>
      </c>
      <c r="C187" s="50">
        <f>VLOOKUP($A187,'Data shares'!$C:$FB,10)*100</f>
        <v>1.9900000000000002</v>
      </c>
      <c r="D187" s="49">
        <f>VLOOKUP($A187,'Data shares'!$C:$FB,66)</f>
        <v>21226200</v>
      </c>
      <c r="E187" s="49">
        <f>VLOOKUP($A187,'Data shares'!$C:$FB,67)</f>
        <v>30030500</v>
      </c>
      <c r="F187" s="50">
        <f>VLOOKUP($A187,'Data shares'!$C:$FB,69)*100</f>
        <v>-29.32</v>
      </c>
      <c r="G187" s="49">
        <f>VLOOKUP($A187,'Data shares'!$C:$FB,42)</f>
        <v>10099700</v>
      </c>
      <c r="H187" s="49">
        <f>VLOOKUP($A187,'Data shares'!$C:$FB,43)</f>
        <v>12634400</v>
      </c>
      <c r="I187" s="50">
        <f>VLOOKUP($A187,'Data shares'!$C:$FB,45)*100</f>
        <v>-20.059999999999999</v>
      </c>
      <c r="J187" s="49">
        <f>VLOOKUP($A187,'Data shares'!$C:$FB,58)</f>
        <v>7629600</v>
      </c>
      <c r="K187" s="49">
        <f>VLOOKUP($A187,'Data shares'!$C:$FB,59)</f>
        <v>11641600</v>
      </c>
      <c r="L187" s="50">
        <f>VLOOKUP($A187,'Data shares'!$C:$FB,61)*100</f>
        <v>-34.46</v>
      </c>
      <c r="M187" s="49">
        <f>VLOOKUP($A187,'Data shares'!$C:$FB,62)</f>
        <v>3496900</v>
      </c>
      <c r="N187" s="49">
        <f>VLOOKUP($A187,'Data shares'!$C:$FB,63)</f>
        <v>5754500</v>
      </c>
      <c r="O187" s="140">
        <f>VLOOKUP($A187,'Data shares'!$C:$FB,65)*100</f>
        <v>-39.229999999999997</v>
      </c>
    </row>
    <row r="188" spans="1:15" x14ac:dyDescent="0.25">
      <c r="A188" s="101" t="str">
        <f>'Data shares'!C183</f>
        <v>POWERGRID</v>
      </c>
      <c r="B188" s="50">
        <f>VLOOKUP($A188,'Data shares'!$C:$FB,7)</f>
        <v>291</v>
      </c>
      <c r="C188" s="50">
        <f>VLOOKUP($A188,'Data shares'!$C:$FB,10)*100</f>
        <v>0.71000000000000008</v>
      </c>
      <c r="D188" s="49">
        <f>VLOOKUP($A188,'Data shares'!$C:$FB,66)</f>
        <v>77428800</v>
      </c>
      <c r="E188" s="49">
        <f>VLOOKUP($A188,'Data shares'!$C:$FB,67)</f>
        <v>123885700</v>
      </c>
      <c r="F188" s="50">
        <f>VLOOKUP($A188,'Data shares'!$C:$FB,69)*100</f>
        <v>-37.5</v>
      </c>
      <c r="G188" s="49">
        <f>VLOOKUP($A188,'Data shares'!$C:$FB,42)</f>
        <v>29379700</v>
      </c>
      <c r="H188" s="49">
        <f>VLOOKUP($A188,'Data shares'!$C:$FB,43)</f>
        <v>44640500</v>
      </c>
      <c r="I188" s="50">
        <f>VLOOKUP($A188,'Data shares'!$C:$FB,45)*100</f>
        <v>-34.19</v>
      </c>
      <c r="J188" s="49">
        <f>VLOOKUP($A188,'Data shares'!$C:$FB,58)</f>
        <v>27937600</v>
      </c>
      <c r="K188" s="49">
        <f>VLOOKUP($A188,'Data shares'!$C:$FB,59)</f>
        <v>42134400</v>
      </c>
      <c r="L188" s="50">
        <f>VLOOKUP($A188,'Data shares'!$C:$FB,61)*100</f>
        <v>-33.69</v>
      </c>
      <c r="M188" s="49">
        <f>VLOOKUP($A188,'Data shares'!$C:$FB,62)</f>
        <v>20111500</v>
      </c>
      <c r="N188" s="49">
        <f>VLOOKUP($A188,'Data shares'!$C:$FB,63)</f>
        <v>37110800</v>
      </c>
      <c r="O188" s="140">
        <f>VLOOKUP($A188,'Data shares'!$C:$FB,65)*100</f>
        <v>-45.81</v>
      </c>
    </row>
    <row r="189" spans="1:15" x14ac:dyDescent="0.25">
      <c r="A189" s="101" t="str">
        <f>'Data shares'!C231</f>
        <v>ZYDUSLIFE</v>
      </c>
      <c r="B189" s="50">
        <f>VLOOKUP($A189,'Data shares'!$C:$FB,7)</f>
        <v>969.8</v>
      </c>
      <c r="C189" s="50">
        <f>VLOOKUP($A189,'Data shares'!$C:$FB,10)*100</f>
        <v>-2.5499999999999998</v>
      </c>
      <c r="D189" s="49">
        <f>VLOOKUP($A189,'Data shares'!$C:$FB,66)</f>
        <v>12847500</v>
      </c>
      <c r="E189" s="49">
        <f>VLOOKUP($A189,'Data shares'!$C:$FB,67)</f>
        <v>8752500</v>
      </c>
      <c r="F189" s="50">
        <f>VLOOKUP($A189,'Data shares'!$C:$FB,69)*100</f>
        <v>46.79</v>
      </c>
      <c r="G189" s="49">
        <f>VLOOKUP($A189,'Data shares'!$C:$FB,42)</f>
        <v>6387300</v>
      </c>
      <c r="H189" s="49">
        <f>VLOOKUP($A189,'Data shares'!$C:$FB,43)</f>
        <v>4598100</v>
      </c>
      <c r="I189" s="50">
        <f>VLOOKUP($A189,'Data shares'!$C:$FB,45)*100</f>
        <v>38.909999999999997</v>
      </c>
      <c r="J189" s="49">
        <f>VLOOKUP($A189,'Data shares'!$C:$FB,58)</f>
        <v>2884500</v>
      </c>
      <c r="K189" s="49">
        <f>VLOOKUP($A189,'Data shares'!$C:$FB,59)</f>
        <v>2877300</v>
      </c>
      <c r="L189" s="50">
        <f>VLOOKUP($A189,'Data shares'!$C:$FB,61)*100</f>
        <v>0.25</v>
      </c>
      <c r="M189" s="49">
        <f>VLOOKUP($A189,'Data shares'!$C:$FB,62)</f>
        <v>3575700</v>
      </c>
      <c r="N189" s="49">
        <f>VLOOKUP($A189,'Data shares'!$C:$FB,63)</f>
        <v>1277100</v>
      </c>
      <c r="O189" s="140">
        <f>VLOOKUP($A189,'Data shares'!$C:$FB,65)*100</f>
        <v>179.99</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37298345586</v>
      </c>
      <c r="E209" s="133">
        <f>SUM(E7:E172)</f>
        <v>19680969344</v>
      </c>
      <c r="F209" s="134">
        <f>(D209-E209)/E209</f>
        <v>0.89514779145626211</v>
      </c>
      <c r="G209" s="133">
        <f>SUM(G7:G172)</f>
        <v>5500003366</v>
      </c>
      <c r="H209" s="133">
        <f>SUM(H7:H172)</f>
        <v>6294329463</v>
      </c>
      <c r="I209" s="134">
        <f>(G209-H209)/H209</f>
        <v>-0.12619709560316036</v>
      </c>
      <c r="J209" s="133">
        <f>SUM(J7:J172)</f>
        <v>16832792166</v>
      </c>
      <c r="K209" s="133">
        <f>SUM(K7:K172)</f>
        <v>7856560436</v>
      </c>
      <c r="L209" s="134">
        <f>(J209-K209)/K209</f>
        <v>1.1425141832893551</v>
      </c>
      <c r="M209" s="133">
        <f>SUM(M7:M172)</f>
        <v>14965550054</v>
      </c>
      <c r="N209" s="133">
        <f>SUM(N7:N172)</f>
        <v>5530079445</v>
      </c>
      <c r="O209" s="134">
        <f>(M209-N209)/N209</f>
        <v>1.7062088714712851</v>
      </c>
    </row>
    <row r="210" spans="1:15" x14ac:dyDescent="0.25">
      <c r="A210" s="133" t="s">
        <v>398</v>
      </c>
      <c r="B210" s="133"/>
      <c r="C210" s="133"/>
      <c r="D210" s="133">
        <f>D209/10000000</f>
        <v>3729.8345586</v>
      </c>
      <c r="E210" s="133">
        <f>E209/10000000</f>
        <v>1968.0969344</v>
      </c>
      <c r="F210" s="134">
        <f>(D210-E210)/E210</f>
        <v>0.89514779145626211</v>
      </c>
      <c r="G210" s="133">
        <f>G209/10000000</f>
        <v>550.00033659999997</v>
      </c>
      <c r="H210" s="133">
        <f>H209/10000000</f>
        <v>629.43294630000003</v>
      </c>
      <c r="I210" s="134">
        <f>(G210-H210)/H210</f>
        <v>-0.12619709560316045</v>
      </c>
      <c r="J210" s="133">
        <f>J209/10000000</f>
        <v>1683.2792165999999</v>
      </c>
      <c r="K210" s="133">
        <f>K209/10000000</f>
        <v>785.65604359999998</v>
      </c>
      <c r="L210" s="134">
        <f>(J210-K210)/K210</f>
        <v>1.1425141832893551</v>
      </c>
      <c r="M210" s="133">
        <f>M209/10000000</f>
        <v>1496.5550054</v>
      </c>
      <c r="N210" s="133">
        <f>N209/10000000</f>
        <v>553.00794450000001</v>
      </c>
      <c r="O210" s="134">
        <f>(M210-N210)/N210</f>
        <v>1.7062088714712851</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68" activePane="bottomLeft" state="frozen"/>
      <selection pane="bottomLeft" activeCell="H187" sqref="H187:M187"/>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45869</v>
      </c>
      <c r="C6" s="76" t="s">
        <v>322</v>
      </c>
      <c r="D6" s="76" t="s">
        <v>328</v>
      </c>
      <c r="E6" s="3">
        <f>B6</f>
        <v>45869</v>
      </c>
      <c r="F6" s="76" t="s">
        <v>322</v>
      </c>
      <c r="G6" s="76" t="s">
        <v>328</v>
      </c>
      <c r="H6" s="3">
        <f>E6</f>
        <v>45869</v>
      </c>
      <c r="I6" s="76" t="s">
        <v>333</v>
      </c>
      <c r="J6" s="3">
        <f>E6</f>
        <v>45869</v>
      </c>
      <c r="K6" s="76" t="s">
        <v>333</v>
      </c>
      <c r="L6" s="3">
        <f>E6</f>
        <v>45869</v>
      </c>
      <c r="M6" s="76" t="s">
        <v>333</v>
      </c>
      <c r="N6" s="3">
        <f>E6</f>
        <v>45869</v>
      </c>
      <c r="O6" s="76" t="s">
        <v>333</v>
      </c>
    </row>
    <row r="7" spans="1:19" x14ac:dyDescent="0.25">
      <c r="A7" s="105" t="str">
        <f>'Data shares'!C2</f>
        <v>360ONE</v>
      </c>
      <c r="B7" s="143">
        <f>VLOOKUP($A7,'Data shares'!$C:$FA,118)</f>
        <v>0.75</v>
      </c>
      <c r="C7" s="143">
        <f>VLOOKUP($A7,'Data shares'!$C:$FA,119)</f>
        <v>0.57999999999999996</v>
      </c>
      <c r="D7" s="143">
        <f>VLOOKUP($A7,'Data shares'!$C:$FA,121)*100</f>
        <v>29.310000000000002</v>
      </c>
      <c r="E7" s="143">
        <f>VLOOKUP($A7,'Data shares'!$C:$FA,124)</f>
        <v>0.4</v>
      </c>
      <c r="F7" s="143">
        <f>VLOOKUP($A7,'Data shares'!$C:$FA,125)</f>
        <v>0.2</v>
      </c>
      <c r="G7" s="143">
        <f>VLOOKUP($A7,'Data shares'!$C:$FA,127)*100</f>
        <v>100</v>
      </c>
      <c r="H7" s="103">
        <f>VLOOKUP($A7,'OI(Volume)'!$A$7:$O$427,8)</f>
        <v>828500</v>
      </c>
      <c r="I7" s="103">
        <f>VLOOKUP($A7,'OI(Volume)'!$A$7:$O$427,9)</f>
        <v>-1426500</v>
      </c>
      <c r="J7" s="103">
        <f>VLOOKUP($A7,'OI(Volume)'!$A$7:$O$427,11)</f>
        <v>619500</v>
      </c>
      <c r="K7" s="103">
        <f>VLOOKUP($A7,'OI(Volume)'!$A$7:$O$427,12)</f>
        <v>-686500</v>
      </c>
      <c r="L7" s="103">
        <f>VLOOKUP($A7,'OI(Value)'!$A$7:$O$306,8,0)</f>
        <v>88</v>
      </c>
      <c r="M7" s="103">
        <f>VLOOKUP($A7,'OI(Value)'!$A$7:$O$306,9,0)</f>
        <v>-151</v>
      </c>
      <c r="N7" s="103">
        <f>VLOOKUP($A7,'OI(Value)'!$A$7:$O$306,11,0)</f>
        <v>66</v>
      </c>
      <c r="O7" s="103">
        <f>VLOOKUP($A7,'OI(Value)'!$A$7:$O$306,12,0)</f>
        <v>-73</v>
      </c>
      <c r="P7" s="179">
        <f>VLOOKUP(A7,'OI(Value)'!A7:O182,8,0)</f>
        <v>88</v>
      </c>
      <c r="Q7" s="179">
        <f>VLOOKUP(A7,'OI(Value)'!A7:O182,9,0)</f>
        <v>-151</v>
      </c>
      <c r="R7" s="179">
        <f>VLOOKUP(A7,'OI(Value)'!A7:O182,11,0)</f>
        <v>66</v>
      </c>
      <c r="S7" s="179">
        <f>VLOOKUP(A7,'OI(Value)'!A7:O182,12,0)</f>
        <v>-73</v>
      </c>
    </row>
    <row r="8" spans="1:19" x14ac:dyDescent="0.25">
      <c r="A8" s="105" t="str">
        <f>'Data shares'!C3</f>
        <v>AARTIIND</v>
      </c>
      <c r="B8" s="143">
        <f>VLOOKUP($A8,'Data shares'!$C:$FA,118)</f>
        <v>0.37</v>
      </c>
      <c r="C8" s="143">
        <f>VLOOKUP($A8,'Data shares'!$C:$FA,119)</f>
        <v>0.43</v>
      </c>
      <c r="D8" s="143">
        <f>VLOOKUP($A8,'Data shares'!$C:$FA,121)*100</f>
        <v>-13.950000000000001</v>
      </c>
      <c r="E8" s="143">
        <f>VLOOKUP($A8,'Data shares'!$C:$FA,124)</f>
        <v>0.74</v>
      </c>
      <c r="F8" s="143">
        <f>VLOOKUP($A8,'Data shares'!$C:$FA,125)</f>
        <v>0.48</v>
      </c>
      <c r="G8" s="143">
        <f>VLOOKUP($A8,'Data shares'!$C:$FA,127)*100</f>
        <v>54.169999999999995</v>
      </c>
      <c r="H8" s="103">
        <f>VLOOKUP($A8,'OI(Volume)'!$A$7:$O$427,8)</f>
        <v>6145350</v>
      </c>
      <c r="I8" s="103">
        <f>VLOOKUP($A8,'OI(Volume)'!$A$7:$O$427,9)</f>
        <v>-867875</v>
      </c>
      <c r="J8" s="103">
        <f>VLOOKUP($A8,'OI(Volume)'!$A$7:$O$427,11)</f>
        <v>2261775</v>
      </c>
      <c r="K8" s="103">
        <f>VLOOKUP($A8,'OI(Volume)'!$A$7:$O$427,12)</f>
        <v>-724775</v>
      </c>
      <c r="L8" s="103">
        <f>VLOOKUP($A8,'OI(Value)'!$A$7:$O$306,8,0)</f>
        <v>0</v>
      </c>
      <c r="M8" s="103">
        <f>VLOOKUP($A8,'OI(Value)'!$A$7:$O$306,9,0)</f>
        <v>0</v>
      </c>
      <c r="N8" s="103">
        <f>VLOOKUP($A8,'OI(Value)'!$A$7:$O$306,11,0)</f>
        <v>0</v>
      </c>
      <c r="O8" s="103">
        <f>VLOOKUP($A8,'OI(Value)'!$A$7:$O$306,12,0)</f>
        <v>0</v>
      </c>
      <c r="P8" s="179">
        <f>VLOOKUP(A8,'OI(Value)'!A8:O209,8,0)</f>
        <v>0</v>
      </c>
      <c r="Q8" s="179">
        <f>VLOOKUP(A8,'OI(Value)'!A8:O209,9,0)</f>
        <v>0</v>
      </c>
      <c r="R8" s="179">
        <f>VLOOKUP(A8,'OI(Value)'!A8:O209,11,0)</f>
        <v>0</v>
      </c>
      <c r="S8" s="179">
        <f>VLOOKUP(A8,'OI(Value)'!A8:O209,11,0)</f>
        <v>0</v>
      </c>
    </row>
    <row r="9" spans="1:19" x14ac:dyDescent="0.25">
      <c r="A9" s="105" t="str">
        <f>'Data shares'!C4</f>
        <v>ABB</v>
      </c>
      <c r="B9" s="143">
        <f>VLOOKUP($A9,'Data shares'!$C:$FA,118)</f>
        <v>1.1399999999999999</v>
      </c>
      <c r="C9" s="143">
        <f>VLOOKUP($A9,'Data shares'!$C:$FA,119)</f>
        <v>0.59</v>
      </c>
      <c r="D9" s="143">
        <f>VLOOKUP($A9,'Data shares'!$C:$FA,121)*100</f>
        <v>93.22</v>
      </c>
      <c r="E9" s="143">
        <f>VLOOKUP($A9,'Data shares'!$C:$FA,124)</f>
        <v>0.56999999999999995</v>
      </c>
      <c r="F9" s="143">
        <f>VLOOKUP($A9,'Data shares'!$C:$FA,125)</f>
        <v>0.7</v>
      </c>
      <c r="G9" s="143">
        <f>VLOOKUP($A9,'Data shares'!$C:$FA,127)*100</f>
        <v>-18.57</v>
      </c>
      <c r="H9" s="103">
        <f>VLOOKUP($A9,'OI(Volume)'!$A$7:$O$427,8)</f>
        <v>417375</v>
      </c>
      <c r="I9" s="103">
        <f>VLOOKUP($A9,'OI(Volume)'!$A$7:$O$427,9)</f>
        <v>-1025375</v>
      </c>
      <c r="J9" s="103">
        <f>VLOOKUP($A9,'OI(Volume)'!$A$7:$O$427,11)</f>
        <v>474375</v>
      </c>
      <c r="K9" s="103">
        <f>VLOOKUP($A9,'OI(Volume)'!$A$7:$O$427,12)</f>
        <v>-381250</v>
      </c>
      <c r="L9" s="103">
        <f>VLOOKUP($A9,'OI(Value)'!$A$7:$O$306,8,0)</f>
        <v>231</v>
      </c>
      <c r="M9" s="103">
        <f>VLOOKUP($A9,'OI(Value)'!$A$7:$O$306,9,0)</f>
        <v>-567</v>
      </c>
      <c r="N9" s="103">
        <f>VLOOKUP($A9,'OI(Value)'!$A$7:$O$306,11,0)</f>
        <v>262</v>
      </c>
      <c r="O9" s="103">
        <f>VLOOKUP($A9,'OI(Value)'!$A$7:$O$306,12,0)</f>
        <v>-211</v>
      </c>
      <c r="P9" s="179">
        <f>VLOOKUP(A9,'OI(Value)'!A9:O210,8,0)</f>
        <v>231</v>
      </c>
      <c r="Q9" s="179">
        <f>VLOOKUP(A9,'OI(Value)'!A9:O210,9,0)</f>
        <v>-567</v>
      </c>
      <c r="R9" s="179">
        <f>VLOOKUP(A9,'OI(Value)'!A9:O210,11,0)</f>
        <v>262</v>
      </c>
      <c r="S9" s="179">
        <f>VLOOKUP(A9,'OI(Value)'!A9:O210,11,0)</f>
        <v>262</v>
      </c>
    </row>
    <row r="10" spans="1:19" x14ac:dyDescent="0.25">
      <c r="A10" s="105" t="str">
        <f>'Data shares'!C5</f>
        <v>ABCAPITAL</v>
      </c>
      <c r="B10" s="143">
        <f>VLOOKUP($A10,'Data shares'!$C:$FA,118)</f>
        <v>0.56999999999999995</v>
      </c>
      <c r="C10" s="143">
        <f>VLOOKUP($A10,'Data shares'!$C:$FA,119)</f>
        <v>0.51</v>
      </c>
      <c r="D10" s="143">
        <f>VLOOKUP($A10,'Data shares'!$C:$FA,121)*100</f>
        <v>11.76</v>
      </c>
      <c r="E10" s="143">
        <f>VLOOKUP($A10,'Data shares'!$C:$FA,124)</f>
        <v>0.5</v>
      </c>
      <c r="F10" s="143">
        <f>VLOOKUP($A10,'Data shares'!$C:$FA,125)</f>
        <v>0.54</v>
      </c>
      <c r="G10" s="143">
        <f>VLOOKUP($A10,'Data shares'!$C:$FA,127)*100</f>
        <v>-7.41</v>
      </c>
      <c r="H10" s="103">
        <f>VLOOKUP($A10,'OI(Volume)'!$A$7:$O$427,8)</f>
        <v>10766300</v>
      </c>
      <c r="I10" s="103">
        <f>VLOOKUP($A10,'OI(Volume)'!$A$7:$O$427,9)</f>
        <v>-12350400</v>
      </c>
      <c r="J10" s="103">
        <f>VLOOKUP($A10,'OI(Volume)'!$A$7:$O$427,11)</f>
        <v>6172100</v>
      </c>
      <c r="K10" s="103">
        <f>VLOOKUP($A10,'OI(Volume)'!$A$7:$O$427,12)</f>
        <v>-5707100</v>
      </c>
      <c r="L10" s="103">
        <f>VLOOKUP($A10,'OI(Value)'!$A$7:$O$306,8,0)</f>
        <v>277</v>
      </c>
      <c r="M10" s="103">
        <f>VLOOKUP($A10,'OI(Value)'!$A$7:$O$306,9,0)</f>
        <v>-318</v>
      </c>
      <c r="N10" s="103">
        <f>VLOOKUP($A10,'OI(Value)'!$A$7:$O$306,11,0)</f>
        <v>159</v>
      </c>
      <c r="O10" s="103">
        <f>VLOOKUP($A10,'OI(Value)'!$A$7:$O$306,12,0)</f>
        <v>-147</v>
      </c>
      <c r="P10" s="179">
        <f>VLOOKUP(A10,'OI(Value)'!A10:O211,8,0)</f>
        <v>277</v>
      </c>
      <c r="Q10" s="179">
        <f>VLOOKUP(A10,'OI(Value)'!A10:O211,9,0)</f>
        <v>-318</v>
      </c>
      <c r="R10" s="179">
        <f>VLOOKUP(A10,'OI(Value)'!A10:O211,11,0)</f>
        <v>159</v>
      </c>
      <c r="S10" s="179">
        <f>VLOOKUP(A10,'OI(Value)'!A10:O211,11,0)</f>
        <v>159</v>
      </c>
    </row>
    <row r="11" spans="1:19" x14ac:dyDescent="0.25">
      <c r="A11" s="105" t="str">
        <f>'Data shares'!C6</f>
        <v>ABFRL</v>
      </c>
      <c r="B11" s="143">
        <f>VLOOKUP($A11,'Data shares'!$C:$FA,118)</f>
        <v>0.96</v>
      </c>
      <c r="C11" s="143">
        <f>VLOOKUP($A11,'Data shares'!$C:$FA,119)</f>
        <v>0.69</v>
      </c>
      <c r="D11" s="143">
        <f>VLOOKUP($A11,'Data shares'!$C:$FA,121)*100</f>
        <v>39.129999999999995</v>
      </c>
      <c r="E11" s="143">
        <f>VLOOKUP($A11,'Data shares'!$C:$FA,124)</f>
        <v>1.27</v>
      </c>
      <c r="F11" s="143">
        <f>VLOOKUP($A11,'Data shares'!$C:$FA,125)</f>
        <v>1.1299999999999999</v>
      </c>
      <c r="G11" s="143">
        <f>VLOOKUP($A11,'Data shares'!$C:$FA,127)*100</f>
        <v>12.389999999999999</v>
      </c>
      <c r="H11" s="103">
        <f>VLOOKUP($A11,'OI(Volume)'!$A$7:$O$427,8)</f>
        <v>7256600</v>
      </c>
      <c r="I11" s="103">
        <f>VLOOKUP($A11,'OI(Volume)'!$A$7:$O$427,9)</f>
        <v>-16702400</v>
      </c>
      <c r="J11" s="103">
        <f>VLOOKUP($A11,'OI(Volume)'!$A$7:$O$427,11)</f>
        <v>6952400</v>
      </c>
      <c r="K11" s="103">
        <f>VLOOKUP($A11,'OI(Volume)'!$A$7:$O$427,12)</f>
        <v>-9591400</v>
      </c>
      <c r="L11" s="103">
        <f>VLOOKUP($A11,'OI(Value)'!$A$7:$O$306,8,0)</f>
        <v>53</v>
      </c>
      <c r="M11" s="103">
        <f>VLOOKUP($A11,'OI(Value)'!$A$7:$O$306,9,0)</f>
        <v>-122</v>
      </c>
      <c r="N11" s="103">
        <f>VLOOKUP($A11,'OI(Value)'!$A$7:$O$306,11,0)</f>
        <v>51</v>
      </c>
      <c r="O11" s="103">
        <f>VLOOKUP($A11,'OI(Value)'!$A$7:$O$306,12,0)</f>
        <v>-70</v>
      </c>
      <c r="P11" s="179">
        <f>VLOOKUP(A11,'OI(Value)'!A11:O212,8,0)</f>
        <v>53</v>
      </c>
      <c r="Q11" s="179">
        <f>VLOOKUP(A11,'OI(Value)'!A11:O212,9,0)</f>
        <v>-122</v>
      </c>
      <c r="R11" s="179">
        <f>VLOOKUP(A11,'OI(Value)'!A11:O212,11,0)</f>
        <v>51</v>
      </c>
      <c r="S11" s="179">
        <f>VLOOKUP(A11,'OI(Value)'!A11:O212,11,0)</f>
        <v>51</v>
      </c>
    </row>
    <row r="12" spans="1:19" x14ac:dyDescent="0.25">
      <c r="A12" s="105" t="str">
        <f>'Data shares'!C7</f>
        <v>ACC</v>
      </c>
      <c r="B12" s="143">
        <f>VLOOKUP($A12,'Data shares'!$C:$FA,118)</f>
        <v>0.49</v>
      </c>
      <c r="C12" s="143">
        <f>VLOOKUP($A12,'Data shares'!$C:$FA,119)</f>
        <v>0.59</v>
      </c>
      <c r="D12" s="143">
        <f>VLOOKUP($A12,'Data shares'!$C:$FA,121)*100</f>
        <v>-16.950000000000003</v>
      </c>
      <c r="E12" s="143">
        <f>VLOOKUP($A12,'Data shares'!$C:$FA,124)</f>
        <v>0.77</v>
      </c>
      <c r="F12" s="143">
        <f>VLOOKUP($A12,'Data shares'!$C:$FA,125)</f>
        <v>0.4</v>
      </c>
      <c r="G12" s="143">
        <f>VLOOKUP($A12,'Data shares'!$C:$FA,127)*100</f>
        <v>92.5</v>
      </c>
      <c r="H12" s="103">
        <f>VLOOKUP($A12,'OI(Volume)'!$A$7:$O$427,8)</f>
        <v>1215300</v>
      </c>
      <c r="I12" s="103">
        <f>VLOOKUP($A12,'OI(Volume)'!$A$7:$O$427,9)</f>
        <v>-411600</v>
      </c>
      <c r="J12" s="103">
        <f>VLOOKUP($A12,'OI(Volume)'!$A$7:$O$427,11)</f>
        <v>596700</v>
      </c>
      <c r="K12" s="103">
        <f>VLOOKUP($A12,'OI(Volume)'!$A$7:$O$427,12)</f>
        <v>-363000</v>
      </c>
      <c r="L12" s="103">
        <f>VLOOKUP($A12,'OI(Value)'!$A$7:$O$306,8,0)</f>
        <v>0</v>
      </c>
      <c r="M12" s="103">
        <f>VLOOKUP($A12,'OI(Value)'!$A$7:$O$306,9,0)</f>
        <v>0</v>
      </c>
      <c r="N12" s="103">
        <f>VLOOKUP($A12,'OI(Value)'!$A$7:$O$306,11,0)</f>
        <v>0</v>
      </c>
      <c r="O12" s="103">
        <f>VLOOKUP($A12,'OI(Value)'!$A$7:$O$306,12,0)</f>
        <v>0</v>
      </c>
      <c r="P12" s="179">
        <f>VLOOKUP(A12,'OI(Value)'!A12:O213,8,0)</f>
        <v>0</v>
      </c>
      <c r="Q12" s="179">
        <f>VLOOKUP(A12,'OI(Value)'!A12:O213,9,0)</f>
        <v>0</v>
      </c>
      <c r="R12" s="179">
        <f>VLOOKUP(A12,'OI(Value)'!A12:O213,11,0)</f>
        <v>0</v>
      </c>
      <c r="S12" s="179">
        <f>VLOOKUP(A12,'OI(Value)'!A12:O213,11,0)</f>
        <v>0</v>
      </c>
    </row>
    <row r="13" spans="1:19" x14ac:dyDescent="0.25">
      <c r="A13" s="105" t="str">
        <f>'Data shares'!C8</f>
        <v>ADANIENSOL</v>
      </c>
      <c r="B13" s="143">
        <f>VLOOKUP($A13,'Data shares'!$C:$FA,118)</f>
        <v>1.02</v>
      </c>
      <c r="C13" s="143">
        <f>VLOOKUP($A13,'Data shares'!$C:$FA,119)</f>
        <v>0.72</v>
      </c>
      <c r="D13" s="143">
        <f>VLOOKUP($A13,'Data shares'!$C:$FA,121)*100</f>
        <v>41.67</v>
      </c>
      <c r="E13" s="143">
        <f>VLOOKUP($A13,'Data shares'!$C:$FA,124)</f>
        <v>0.71</v>
      </c>
      <c r="F13" s="143">
        <f>VLOOKUP($A13,'Data shares'!$C:$FA,125)</f>
        <v>0.59</v>
      </c>
      <c r="G13" s="143">
        <f>VLOOKUP($A13,'Data shares'!$C:$FA,127)*100</f>
        <v>20.34</v>
      </c>
      <c r="H13" s="103">
        <f>VLOOKUP($A13,'OI(Volume)'!$A$7:$O$427,8)</f>
        <v>1393875</v>
      </c>
      <c r="I13" s="103">
        <f>VLOOKUP($A13,'OI(Volume)'!$A$7:$O$427,9)</f>
        <v>-2506275</v>
      </c>
      <c r="J13" s="103">
        <f>VLOOKUP($A13,'OI(Volume)'!$A$7:$O$427,11)</f>
        <v>1420200</v>
      </c>
      <c r="K13" s="103">
        <f>VLOOKUP($A13,'OI(Volume)'!$A$7:$O$427,12)</f>
        <v>-1405350</v>
      </c>
      <c r="L13" s="103">
        <f>VLOOKUP($A13,'OI(Value)'!$A$7:$O$306,8,0)</f>
        <v>113</v>
      </c>
      <c r="M13" s="103">
        <f>VLOOKUP($A13,'OI(Value)'!$A$7:$O$306,9,0)</f>
        <v>-203</v>
      </c>
      <c r="N13" s="103">
        <f>VLOOKUP($A13,'OI(Value)'!$A$7:$O$306,11,0)</f>
        <v>115</v>
      </c>
      <c r="O13" s="103">
        <f>VLOOKUP($A13,'OI(Value)'!$A$7:$O$306,12,0)</f>
        <v>-114</v>
      </c>
      <c r="P13" s="179">
        <f>VLOOKUP(A13,'OI(Value)'!A13:O214,8,0)</f>
        <v>113</v>
      </c>
      <c r="Q13" s="179">
        <f>VLOOKUP(A13,'OI(Value)'!A13:O214,9,0)</f>
        <v>-203</v>
      </c>
      <c r="R13" s="179">
        <f>VLOOKUP(A13,'OI(Value)'!A13:O214,11,0)</f>
        <v>115</v>
      </c>
      <c r="S13" s="179">
        <f>VLOOKUP(A13,'OI(Value)'!A13:O214,11,0)</f>
        <v>115</v>
      </c>
    </row>
    <row r="14" spans="1:19" x14ac:dyDescent="0.25">
      <c r="A14" s="105" t="str">
        <f>'Data shares'!C9</f>
        <v>ADANIENT</v>
      </c>
      <c r="B14" s="143">
        <f>VLOOKUP($A14,'Data shares'!$C:$FA,118)</f>
        <v>1.08</v>
      </c>
      <c r="C14" s="143">
        <f>VLOOKUP($A14,'Data shares'!$C:$FA,119)</f>
        <v>0.8</v>
      </c>
      <c r="D14" s="143">
        <f>VLOOKUP($A14,'Data shares'!$C:$FA,121)*100</f>
        <v>35</v>
      </c>
      <c r="E14" s="143">
        <f>VLOOKUP($A14,'Data shares'!$C:$FA,124)</f>
        <v>0.61</v>
      </c>
      <c r="F14" s="143">
        <f>VLOOKUP($A14,'Data shares'!$C:$FA,125)</f>
        <v>0.4</v>
      </c>
      <c r="G14" s="143">
        <f>VLOOKUP($A14,'Data shares'!$C:$FA,127)*100</f>
        <v>52.5</v>
      </c>
      <c r="H14" s="103">
        <f>VLOOKUP($A14,'OI(Volume)'!$A$7:$O$427,8)</f>
        <v>4551000</v>
      </c>
      <c r="I14" s="103">
        <f>VLOOKUP($A14,'OI(Volume)'!$A$7:$O$427,9)</f>
        <v>-3786900</v>
      </c>
      <c r="J14" s="103">
        <f>VLOOKUP($A14,'OI(Volume)'!$A$7:$O$427,11)</f>
        <v>4905600</v>
      </c>
      <c r="K14" s="103">
        <f>VLOOKUP($A14,'OI(Volume)'!$A$7:$O$427,12)</f>
        <v>-1779600</v>
      </c>
      <c r="L14" s="103">
        <f>VLOOKUP($A14,'OI(Value)'!$A$7:$O$306,8,0)</f>
        <v>1110</v>
      </c>
      <c r="M14" s="103">
        <f>VLOOKUP($A14,'OI(Value)'!$A$7:$O$306,9,0)</f>
        <v>-924</v>
      </c>
      <c r="N14" s="103">
        <f>VLOOKUP($A14,'OI(Value)'!$A$7:$O$306,11,0)</f>
        <v>1197</v>
      </c>
      <c r="O14" s="103">
        <f>VLOOKUP($A14,'OI(Value)'!$A$7:$O$306,12,0)</f>
        <v>-434</v>
      </c>
      <c r="P14" s="179">
        <f>VLOOKUP(A14,'OI(Value)'!A14:O215,8,0)</f>
        <v>1110</v>
      </c>
      <c r="Q14" s="179">
        <f>VLOOKUP(A14,'OI(Value)'!A14:O215,9,0)</f>
        <v>-924</v>
      </c>
      <c r="R14" s="179">
        <f>VLOOKUP(A14,'OI(Value)'!A14:O215,11,0)</f>
        <v>1197</v>
      </c>
      <c r="S14" s="179">
        <f>VLOOKUP(A14,'OI(Value)'!A14:O215,11,0)</f>
        <v>1197</v>
      </c>
    </row>
    <row r="15" spans="1:19" x14ac:dyDescent="0.25">
      <c r="A15" s="105" t="str">
        <f>'Data shares'!C10</f>
        <v>ADANIGREEN</v>
      </c>
      <c r="B15" s="143">
        <f>VLOOKUP($A15,'Data shares'!$C:$FA,118)</f>
        <v>0.63</v>
      </c>
      <c r="C15" s="143">
        <f>VLOOKUP($A15,'Data shares'!$C:$FA,119)</f>
        <v>0.62</v>
      </c>
      <c r="D15" s="143">
        <f>VLOOKUP($A15,'Data shares'!$C:$FA,121)*100</f>
        <v>1.6099999999999999</v>
      </c>
      <c r="E15" s="143">
        <f>VLOOKUP($A15,'Data shares'!$C:$FA,124)</f>
        <v>0.7</v>
      </c>
      <c r="F15" s="143">
        <f>VLOOKUP($A15,'Data shares'!$C:$FA,125)</f>
        <v>0.56000000000000005</v>
      </c>
      <c r="G15" s="143">
        <f>VLOOKUP($A15,'Data shares'!$C:$FA,127)*100</f>
        <v>25</v>
      </c>
      <c r="H15" s="103">
        <f>VLOOKUP($A15,'OI(Volume)'!$A$7:$O$427,8)</f>
        <v>3477600</v>
      </c>
      <c r="I15" s="103">
        <f>VLOOKUP($A15,'OI(Volume)'!$A$7:$O$427,9)</f>
        <v>-4179000</v>
      </c>
      <c r="J15" s="103">
        <f>VLOOKUP($A15,'OI(Volume)'!$A$7:$O$427,11)</f>
        <v>2175000</v>
      </c>
      <c r="K15" s="103">
        <f>VLOOKUP($A15,'OI(Volume)'!$A$7:$O$427,12)</f>
        <v>-2583600</v>
      </c>
      <c r="L15" s="103">
        <f>VLOOKUP($A15,'OI(Value)'!$A$7:$O$306,8,0)</f>
        <v>344</v>
      </c>
      <c r="M15" s="103">
        <f>VLOOKUP($A15,'OI(Value)'!$A$7:$O$306,9,0)</f>
        <v>-413</v>
      </c>
      <c r="N15" s="103">
        <f>VLOOKUP($A15,'OI(Value)'!$A$7:$O$306,11,0)</f>
        <v>215</v>
      </c>
      <c r="O15" s="103">
        <f>VLOOKUP($A15,'OI(Value)'!$A$7:$O$306,12,0)</f>
        <v>-255</v>
      </c>
      <c r="P15" s="179">
        <f>VLOOKUP(A15,'OI(Value)'!A15:O216,8,0)</f>
        <v>344</v>
      </c>
      <c r="Q15" s="179">
        <f>VLOOKUP(A15,'OI(Value)'!A15:O216,9,0)</f>
        <v>-413</v>
      </c>
      <c r="R15" s="179">
        <f>VLOOKUP(A15,'OI(Value)'!A15:O216,11,0)</f>
        <v>215</v>
      </c>
      <c r="S15" s="179">
        <f>VLOOKUP(A15,'OI(Value)'!A15:O216,11,0)</f>
        <v>215</v>
      </c>
    </row>
    <row r="16" spans="1:19" x14ac:dyDescent="0.25">
      <c r="A16" s="105" t="str">
        <f>'Data shares'!C11</f>
        <v>ADANIPORTS</v>
      </c>
      <c r="B16" s="143">
        <f>VLOOKUP($A16,'Data shares'!$C:$FA,118)</f>
        <v>1.1000000000000001</v>
      </c>
      <c r="C16" s="143">
        <f>VLOOKUP($A16,'Data shares'!$C:$FA,119)</f>
        <v>0.79</v>
      </c>
      <c r="D16" s="143">
        <f>VLOOKUP($A16,'Data shares'!$C:$FA,121)*100</f>
        <v>39.24</v>
      </c>
      <c r="E16" s="143">
        <f>VLOOKUP($A16,'Data shares'!$C:$FA,124)</f>
        <v>0.86</v>
      </c>
      <c r="F16" s="143">
        <f>VLOOKUP($A16,'Data shares'!$C:$FA,125)</f>
        <v>0.57999999999999996</v>
      </c>
      <c r="G16" s="143">
        <f>VLOOKUP($A16,'Data shares'!$C:$FA,127)*100</f>
        <v>48.28</v>
      </c>
      <c r="H16" s="103">
        <f>VLOOKUP($A16,'OI(Volume)'!$A$7:$O$427,8)</f>
        <v>2773525</v>
      </c>
      <c r="I16" s="103">
        <f>VLOOKUP($A16,'OI(Volume)'!$A$7:$O$427,9)</f>
        <v>-4621750</v>
      </c>
      <c r="J16" s="103">
        <f>VLOOKUP($A16,'OI(Volume)'!$A$7:$O$427,11)</f>
        <v>3063750</v>
      </c>
      <c r="K16" s="103">
        <f>VLOOKUP($A16,'OI(Volume)'!$A$7:$O$427,12)</f>
        <v>-2792050</v>
      </c>
      <c r="L16" s="103">
        <f>VLOOKUP($A16,'OI(Value)'!$A$7:$O$306,8,0)</f>
        <v>383</v>
      </c>
      <c r="M16" s="103">
        <f>VLOOKUP($A16,'OI(Value)'!$A$7:$O$306,9,0)</f>
        <v>-638</v>
      </c>
      <c r="N16" s="103">
        <f>VLOOKUP($A16,'OI(Value)'!$A$7:$O$306,11,0)</f>
        <v>423</v>
      </c>
      <c r="O16" s="103">
        <f>VLOOKUP($A16,'OI(Value)'!$A$7:$O$306,12,0)</f>
        <v>-386</v>
      </c>
      <c r="P16" s="179">
        <f>VLOOKUP(A16,'OI(Value)'!A16:O217,8,0)</f>
        <v>383</v>
      </c>
      <c r="Q16" s="179">
        <f>VLOOKUP(A16,'OI(Value)'!A16:O217,9,0)</f>
        <v>-638</v>
      </c>
      <c r="R16" s="179">
        <f>VLOOKUP(A16,'OI(Value)'!A16:O217,11,0)</f>
        <v>423</v>
      </c>
      <c r="S16" s="179">
        <f>VLOOKUP(A16,'OI(Value)'!A16:O217,11,0)</f>
        <v>423</v>
      </c>
    </row>
    <row r="17" spans="1:19" x14ac:dyDescent="0.25">
      <c r="A17" s="105" t="str">
        <f>'Data shares'!C12</f>
        <v>ALKEM</v>
      </c>
      <c r="B17" s="143">
        <f>VLOOKUP($A17,'Data shares'!$C:$FA,118)</f>
        <v>0.59</v>
      </c>
      <c r="C17" s="143">
        <f>VLOOKUP($A17,'Data shares'!$C:$FA,119)</f>
        <v>0.69</v>
      </c>
      <c r="D17" s="143">
        <f>VLOOKUP($A17,'Data shares'!$C:$FA,121)*100</f>
        <v>-14.49</v>
      </c>
      <c r="E17" s="143">
        <f>VLOOKUP($A17,'Data shares'!$C:$FA,124)</f>
        <v>0.57999999999999996</v>
      </c>
      <c r="F17" s="143">
        <f>VLOOKUP($A17,'Data shares'!$C:$FA,125)</f>
        <v>0.56999999999999995</v>
      </c>
      <c r="G17" s="143">
        <f>VLOOKUP($A17,'Data shares'!$C:$FA,127)*100</f>
        <v>1.7500000000000002</v>
      </c>
      <c r="H17" s="103">
        <f>VLOOKUP($A17,'OI(Volume)'!$A$7:$O$427,8)</f>
        <v>100125</v>
      </c>
      <c r="I17" s="103">
        <f>VLOOKUP($A17,'OI(Volume)'!$A$7:$O$427,9)</f>
        <v>-197500</v>
      </c>
      <c r="J17" s="103">
        <f>VLOOKUP($A17,'OI(Volume)'!$A$7:$O$427,11)</f>
        <v>58625</v>
      </c>
      <c r="K17" s="103">
        <f>VLOOKUP($A17,'OI(Volume)'!$A$7:$O$427,12)</f>
        <v>-145500</v>
      </c>
      <c r="L17" s="103">
        <f>VLOOKUP($A17,'OI(Value)'!$A$7:$O$306,8,0)</f>
        <v>50</v>
      </c>
      <c r="M17" s="103">
        <f>VLOOKUP($A17,'OI(Value)'!$A$7:$O$306,9,0)</f>
        <v>-100</v>
      </c>
      <c r="N17" s="103">
        <f>VLOOKUP($A17,'OI(Value)'!$A$7:$O$306,11,0)</f>
        <v>30</v>
      </c>
      <c r="O17" s="103">
        <f>VLOOKUP($A17,'OI(Value)'!$A$7:$O$306,12,0)</f>
        <v>-73</v>
      </c>
      <c r="P17" s="179">
        <f>VLOOKUP(A17,'OI(Value)'!A17:O218,8,0)</f>
        <v>50</v>
      </c>
      <c r="Q17" s="179">
        <f>VLOOKUP(A17,'OI(Value)'!A17:O218,9,0)</f>
        <v>-100</v>
      </c>
      <c r="R17" s="179">
        <f>VLOOKUP(A17,'OI(Value)'!A17:O218,11,0)</f>
        <v>30</v>
      </c>
      <c r="S17" s="179">
        <f>VLOOKUP(A17,'OI(Value)'!A17:O218,11,0)</f>
        <v>30</v>
      </c>
    </row>
    <row r="18" spans="1:19" x14ac:dyDescent="0.25">
      <c r="A18" s="105" t="str">
        <f>'Data shares'!C13</f>
        <v>AMBER</v>
      </c>
      <c r="B18" s="143">
        <f>VLOOKUP($A18,'Data shares'!$C:$FA,118)</f>
        <v>0.63</v>
      </c>
      <c r="C18" s="143">
        <f>VLOOKUP($A18,'Data shares'!$C:$FA,119)</f>
        <v>0.8</v>
      </c>
      <c r="D18" s="143">
        <f>VLOOKUP($A18,'Data shares'!$C:$FA,121)*100</f>
        <v>-21.25</v>
      </c>
      <c r="E18" s="143">
        <f>VLOOKUP($A18,'Data shares'!$C:$FA,124)</f>
        <v>0.63</v>
      </c>
      <c r="F18" s="143">
        <f>VLOOKUP($A18,'Data shares'!$C:$FA,125)</f>
        <v>0.31</v>
      </c>
      <c r="G18" s="143">
        <f>VLOOKUP($A18,'Data shares'!$C:$FA,127)*100</f>
        <v>103.23</v>
      </c>
      <c r="H18" s="103">
        <f>VLOOKUP($A18,'OI(Volume)'!$A$7:$O$427,8)</f>
        <v>227300</v>
      </c>
      <c r="I18" s="103">
        <f>VLOOKUP($A18,'OI(Volume)'!$A$7:$O$427,9)</f>
        <v>-235800</v>
      </c>
      <c r="J18" s="103">
        <f>VLOOKUP($A18,'OI(Volume)'!$A$7:$O$427,11)</f>
        <v>142500</v>
      </c>
      <c r="K18" s="103">
        <f>VLOOKUP($A18,'OI(Volume)'!$A$7:$O$427,12)</f>
        <v>-229700</v>
      </c>
      <c r="L18" s="103">
        <f>VLOOKUP($A18,'OI(Value)'!$A$7:$O$306,8,0)</f>
        <v>182</v>
      </c>
      <c r="M18" s="103">
        <f>VLOOKUP($A18,'OI(Value)'!$A$7:$O$306,9,0)</f>
        <v>-189</v>
      </c>
      <c r="N18" s="103">
        <f>VLOOKUP($A18,'OI(Value)'!$A$7:$O$306,11,0)</f>
        <v>114</v>
      </c>
      <c r="O18" s="103">
        <f>VLOOKUP($A18,'OI(Value)'!$A$7:$O$306,12,0)</f>
        <v>-184</v>
      </c>
      <c r="P18" s="179">
        <f>VLOOKUP(A18,'OI(Value)'!A18:O219,8,0)</f>
        <v>182</v>
      </c>
      <c r="Q18" s="179">
        <f>VLOOKUP(A18,'OI(Value)'!A18:O219,9,0)</f>
        <v>-189</v>
      </c>
      <c r="R18" s="179">
        <f>VLOOKUP(A18,'OI(Value)'!A18:O219,11,0)</f>
        <v>114</v>
      </c>
      <c r="S18" s="179">
        <f>VLOOKUP(A18,'OI(Value)'!A18:O219,11,0)</f>
        <v>114</v>
      </c>
    </row>
    <row r="19" spans="1:19" x14ac:dyDescent="0.25">
      <c r="A19" s="105" t="str">
        <f>'Data shares'!C14</f>
        <v>AMBUJACEM</v>
      </c>
      <c r="B19" s="143">
        <f>VLOOKUP($A19,'Data shares'!$C:$FA,118)</f>
        <v>0.56999999999999995</v>
      </c>
      <c r="C19" s="143">
        <f>VLOOKUP($A19,'Data shares'!$C:$FA,119)</f>
        <v>0.88</v>
      </c>
      <c r="D19" s="143">
        <f>VLOOKUP($A19,'Data shares'!$C:$FA,121)*100</f>
        <v>-35.229999999999997</v>
      </c>
      <c r="E19" s="143">
        <f>VLOOKUP($A19,'Data shares'!$C:$FA,124)</f>
        <v>0.41</v>
      </c>
      <c r="F19" s="143">
        <f>VLOOKUP($A19,'Data shares'!$C:$FA,125)</f>
        <v>0.42</v>
      </c>
      <c r="G19" s="143">
        <f>VLOOKUP($A19,'Data shares'!$C:$FA,127)*100</f>
        <v>-2.3800000000000003</v>
      </c>
      <c r="H19" s="103">
        <f>VLOOKUP($A19,'OI(Volume)'!$A$7:$O$427,8)</f>
        <v>7826700</v>
      </c>
      <c r="I19" s="103">
        <f>VLOOKUP($A19,'OI(Volume)'!$A$7:$O$427,9)</f>
        <v>564900</v>
      </c>
      <c r="J19" s="103">
        <f>VLOOKUP($A19,'OI(Volume)'!$A$7:$O$427,11)</f>
        <v>4486650</v>
      </c>
      <c r="K19" s="103">
        <f>VLOOKUP($A19,'OI(Volume)'!$A$7:$O$427,12)</f>
        <v>-1933050</v>
      </c>
      <c r="L19" s="103">
        <f>VLOOKUP($A19,'OI(Value)'!$A$7:$O$306,8,0)</f>
        <v>465</v>
      </c>
      <c r="M19" s="103">
        <f>VLOOKUP($A19,'OI(Value)'!$A$7:$O$306,9,0)</f>
        <v>34</v>
      </c>
      <c r="N19" s="103">
        <f>VLOOKUP($A19,'OI(Value)'!$A$7:$O$306,11,0)</f>
        <v>267</v>
      </c>
      <c r="O19" s="103">
        <f>VLOOKUP($A19,'OI(Value)'!$A$7:$O$306,12,0)</f>
        <v>-115</v>
      </c>
      <c r="P19" s="179">
        <f>VLOOKUP(A19,'OI(Value)'!A19:O220,8,0)</f>
        <v>465</v>
      </c>
      <c r="Q19" s="179">
        <f>VLOOKUP(A19,'OI(Value)'!A19:O220,9,0)</f>
        <v>34</v>
      </c>
      <c r="R19" s="179">
        <f>VLOOKUP(A19,'OI(Value)'!A19:O220,11,0)</f>
        <v>267</v>
      </c>
      <c r="S19" s="179">
        <f>VLOOKUP(A19,'OI(Value)'!A19:O220,11,0)</f>
        <v>267</v>
      </c>
    </row>
    <row r="20" spans="1:19" x14ac:dyDescent="0.25">
      <c r="A20" s="105" t="str">
        <f>'Data shares'!C15</f>
        <v>ANGELONE</v>
      </c>
      <c r="B20" s="143">
        <f>VLOOKUP($A20,'Data shares'!$C:$FA,118)</f>
        <v>0.82</v>
      </c>
      <c r="C20" s="143">
        <f>VLOOKUP($A20,'Data shares'!$C:$FA,119)</f>
        <v>0.63</v>
      </c>
      <c r="D20" s="143">
        <f>VLOOKUP($A20,'Data shares'!$C:$FA,121)*100</f>
        <v>30.159999999999997</v>
      </c>
      <c r="E20" s="143">
        <f>VLOOKUP($A20,'Data shares'!$C:$FA,124)</f>
        <v>0.64</v>
      </c>
      <c r="F20" s="143">
        <f>VLOOKUP($A20,'Data shares'!$C:$FA,125)</f>
        <v>0.56999999999999995</v>
      </c>
      <c r="G20" s="143">
        <f>VLOOKUP($A20,'Data shares'!$C:$FA,127)*100</f>
        <v>12.280000000000001</v>
      </c>
      <c r="H20" s="103">
        <f>VLOOKUP($A20,'OI(Volume)'!$A$7:$O$427,8)</f>
        <v>660250</v>
      </c>
      <c r="I20" s="103">
        <f>VLOOKUP($A20,'OI(Volume)'!$A$7:$O$427,9)</f>
        <v>-2076750</v>
      </c>
      <c r="J20" s="103">
        <f>VLOOKUP($A20,'OI(Volume)'!$A$7:$O$427,11)</f>
        <v>541000</v>
      </c>
      <c r="K20" s="103">
        <f>VLOOKUP($A20,'OI(Volume)'!$A$7:$O$427,12)</f>
        <v>-1189000</v>
      </c>
      <c r="L20" s="103">
        <f>VLOOKUP($A20,'OI(Value)'!$A$7:$O$306,8,0)</f>
        <v>172</v>
      </c>
      <c r="M20" s="103">
        <f>VLOOKUP($A20,'OI(Value)'!$A$7:$O$306,9,0)</f>
        <v>-542</v>
      </c>
      <c r="N20" s="103">
        <f>VLOOKUP($A20,'OI(Value)'!$A$7:$O$306,11,0)</f>
        <v>141</v>
      </c>
      <c r="O20" s="103">
        <f>VLOOKUP($A20,'OI(Value)'!$A$7:$O$306,12,0)</f>
        <v>-311</v>
      </c>
      <c r="P20" s="179">
        <f>VLOOKUP(A20,'OI(Value)'!A20:O221,8,0)</f>
        <v>172</v>
      </c>
      <c r="Q20" s="179">
        <f>VLOOKUP(A20,'OI(Value)'!A20:O221,9,0)</f>
        <v>-542</v>
      </c>
      <c r="R20" s="179">
        <f>VLOOKUP(A20,'OI(Value)'!A20:O221,11,0)</f>
        <v>141</v>
      </c>
      <c r="S20" s="179">
        <f>VLOOKUP(A20,'OI(Value)'!A20:O221,11,0)</f>
        <v>141</v>
      </c>
    </row>
    <row r="21" spans="1:19" x14ac:dyDescent="0.25">
      <c r="A21" s="105" t="str">
        <f>'Data shares'!C16</f>
        <v>APLAPOLLO</v>
      </c>
      <c r="B21" s="143">
        <f>VLOOKUP($A21,'Data shares'!$C:$FA,118)</f>
        <v>1.0900000000000001</v>
      </c>
      <c r="C21" s="143">
        <f>VLOOKUP($A21,'Data shares'!$C:$FA,119)</f>
        <v>0.72</v>
      </c>
      <c r="D21" s="143">
        <f>VLOOKUP($A21,'Data shares'!$C:$FA,121)*100</f>
        <v>51.39</v>
      </c>
      <c r="E21" s="143">
        <f>VLOOKUP($A21,'Data shares'!$C:$FA,124)</f>
        <v>0.27</v>
      </c>
      <c r="F21" s="143">
        <f>VLOOKUP($A21,'Data shares'!$C:$FA,125)</f>
        <v>0.27</v>
      </c>
      <c r="G21" s="143">
        <f>VLOOKUP($A21,'Data shares'!$C:$FA,127)*100</f>
        <v>0</v>
      </c>
      <c r="H21" s="103">
        <f>VLOOKUP($A21,'OI(Volume)'!$A$7:$O$427,8)</f>
        <v>1258250</v>
      </c>
      <c r="I21" s="103">
        <f>VLOOKUP($A21,'OI(Volume)'!$A$7:$O$427,9)</f>
        <v>-2392950</v>
      </c>
      <c r="J21" s="103">
        <f>VLOOKUP($A21,'OI(Volume)'!$A$7:$O$427,11)</f>
        <v>1375500</v>
      </c>
      <c r="K21" s="103">
        <f>VLOOKUP($A21,'OI(Volume)'!$A$7:$O$427,12)</f>
        <v>-1255100</v>
      </c>
      <c r="L21" s="103">
        <f>VLOOKUP($A21,'OI(Value)'!$A$7:$O$306,8,0)</f>
        <v>201</v>
      </c>
      <c r="M21" s="103">
        <f>VLOOKUP($A21,'OI(Value)'!$A$7:$O$306,9,0)</f>
        <v>-383</v>
      </c>
      <c r="N21" s="103">
        <f>VLOOKUP($A21,'OI(Value)'!$A$7:$O$306,11,0)</f>
        <v>220</v>
      </c>
      <c r="O21" s="103">
        <f>VLOOKUP($A21,'OI(Value)'!$A$7:$O$306,12,0)</f>
        <v>-201</v>
      </c>
      <c r="P21" s="179">
        <f>VLOOKUP(A21,'OI(Value)'!A21:O222,8,0)</f>
        <v>201</v>
      </c>
      <c r="Q21" s="179">
        <f>VLOOKUP(A21,'OI(Value)'!A21:O222,9,0)</f>
        <v>-383</v>
      </c>
      <c r="R21" s="179">
        <f>VLOOKUP(A21,'OI(Value)'!A21:O222,11,0)</f>
        <v>220</v>
      </c>
      <c r="S21" s="179">
        <f>VLOOKUP(A21,'OI(Value)'!A21:O222,11,0)</f>
        <v>220</v>
      </c>
    </row>
    <row r="22" spans="1:19" x14ac:dyDescent="0.25">
      <c r="A22" s="105" t="str">
        <f>'Data shares'!C17</f>
        <v>APOLLOHOSP</v>
      </c>
      <c r="B22" s="143">
        <f>VLOOKUP($A22,'Data shares'!$C:$FA,118)</f>
        <v>0.64</v>
      </c>
      <c r="C22" s="143">
        <f>VLOOKUP($A22,'Data shares'!$C:$FA,119)</f>
        <v>0.56000000000000005</v>
      </c>
      <c r="D22" s="143">
        <f>VLOOKUP($A22,'Data shares'!$C:$FA,121)*100</f>
        <v>14.29</v>
      </c>
      <c r="E22" s="143">
        <f>VLOOKUP($A22,'Data shares'!$C:$FA,124)</f>
        <v>0.37</v>
      </c>
      <c r="F22" s="143">
        <f>VLOOKUP($A22,'Data shares'!$C:$FA,125)</f>
        <v>0.5</v>
      </c>
      <c r="G22" s="143">
        <f>VLOOKUP($A22,'Data shares'!$C:$FA,127)*100</f>
        <v>-26</v>
      </c>
      <c r="H22" s="103">
        <f>VLOOKUP($A22,'OI(Volume)'!$A$7:$O$427,8)</f>
        <v>216750</v>
      </c>
      <c r="I22" s="103">
        <f>VLOOKUP($A22,'OI(Volume)'!$A$7:$O$427,9)</f>
        <v>-1361750</v>
      </c>
      <c r="J22" s="103">
        <f>VLOOKUP($A22,'OI(Volume)'!$A$7:$O$427,11)</f>
        <v>139250</v>
      </c>
      <c r="K22" s="103">
        <f>VLOOKUP($A22,'OI(Volume)'!$A$7:$O$427,12)</f>
        <v>-737500</v>
      </c>
      <c r="L22" s="103">
        <f>VLOOKUP($A22,'OI(Value)'!$A$7:$O$306,8,0)</f>
        <v>163</v>
      </c>
      <c r="M22" s="103">
        <f>VLOOKUP($A22,'OI(Value)'!$A$7:$O$306,9,0)</f>
        <v>-1024</v>
      </c>
      <c r="N22" s="103">
        <f>VLOOKUP($A22,'OI(Value)'!$A$7:$O$306,11,0)</f>
        <v>105</v>
      </c>
      <c r="O22" s="103">
        <f>VLOOKUP($A22,'OI(Value)'!$A$7:$O$306,12,0)</f>
        <v>-554</v>
      </c>
      <c r="P22" s="179">
        <f>VLOOKUP(A22,'OI(Value)'!A22:O223,8,0)</f>
        <v>163</v>
      </c>
      <c r="Q22" s="179">
        <f>VLOOKUP(A22,'OI(Value)'!A22:O223,9,0)</f>
        <v>-1024</v>
      </c>
      <c r="R22" s="179">
        <f>VLOOKUP(A22,'OI(Value)'!A22:O223,11,0)</f>
        <v>105</v>
      </c>
      <c r="S22" s="179">
        <f>VLOOKUP(A22,'OI(Value)'!A22:O223,11,0)</f>
        <v>105</v>
      </c>
    </row>
    <row r="23" spans="1:19" x14ac:dyDescent="0.25">
      <c r="A23" s="105" t="str">
        <f>'Data shares'!C18</f>
        <v>ASHOKLEY</v>
      </c>
      <c r="B23" s="143">
        <f>VLOOKUP($A23,'Data shares'!$C:$FA,118)</f>
        <v>0.79</v>
      </c>
      <c r="C23" s="143">
        <f>VLOOKUP($A23,'Data shares'!$C:$FA,119)</f>
        <v>0.68</v>
      </c>
      <c r="D23" s="143">
        <f>VLOOKUP($A23,'Data shares'!$C:$FA,121)*100</f>
        <v>16.18</v>
      </c>
      <c r="E23" s="143">
        <f>VLOOKUP($A23,'Data shares'!$C:$FA,124)</f>
        <v>0.99</v>
      </c>
      <c r="F23" s="143">
        <f>VLOOKUP($A23,'Data shares'!$C:$FA,125)</f>
        <v>0.75</v>
      </c>
      <c r="G23" s="143">
        <f>VLOOKUP($A23,'Data shares'!$C:$FA,127)*100</f>
        <v>32</v>
      </c>
      <c r="H23" s="103">
        <f>VLOOKUP($A23,'OI(Volume)'!$A$7:$O$427,8)</f>
        <v>10595000</v>
      </c>
      <c r="I23" s="103">
        <f>VLOOKUP($A23,'OI(Volume)'!$A$7:$O$427,9)</f>
        <v>-19805000</v>
      </c>
      <c r="J23" s="103">
        <f>VLOOKUP($A23,'OI(Volume)'!$A$7:$O$427,11)</f>
        <v>8385000</v>
      </c>
      <c r="K23" s="103">
        <f>VLOOKUP($A23,'OI(Volume)'!$A$7:$O$427,12)</f>
        <v>-12250000</v>
      </c>
      <c r="L23" s="103">
        <f>VLOOKUP($A23,'OI(Value)'!$A$7:$O$306,8,0)</f>
        <v>129</v>
      </c>
      <c r="M23" s="103">
        <f>VLOOKUP($A23,'OI(Value)'!$A$7:$O$306,9,0)</f>
        <v>-241</v>
      </c>
      <c r="N23" s="103">
        <f>VLOOKUP($A23,'OI(Value)'!$A$7:$O$306,11,0)</f>
        <v>102</v>
      </c>
      <c r="O23" s="103">
        <f>VLOOKUP($A23,'OI(Value)'!$A$7:$O$306,12,0)</f>
        <v>-149</v>
      </c>
      <c r="P23" s="179">
        <f>VLOOKUP(A23,'OI(Value)'!A23:O224,8,0)</f>
        <v>129</v>
      </c>
      <c r="Q23" s="179">
        <f>VLOOKUP(A23,'OI(Value)'!A23:O224,9,0)</f>
        <v>-241</v>
      </c>
      <c r="R23" s="179">
        <f>VLOOKUP(A23,'OI(Value)'!A23:O224,11,0)</f>
        <v>102</v>
      </c>
      <c r="S23" s="179">
        <f>VLOOKUP(A23,'OI(Value)'!A23:O224,11,0)</f>
        <v>102</v>
      </c>
    </row>
    <row r="24" spans="1:19" x14ac:dyDescent="0.25">
      <c r="A24" s="105" t="str">
        <f>'Data shares'!C19</f>
        <v>ASIANPAINT</v>
      </c>
      <c r="B24" s="143">
        <f>VLOOKUP($A24,'Data shares'!$C:$FA,118)</f>
        <v>0.78</v>
      </c>
      <c r="C24" s="143">
        <f>VLOOKUP($A24,'Data shares'!$C:$FA,119)</f>
        <v>0.56999999999999995</v>
      </c>
      <c r="D24" s="143">
        <f>VLOOKUP($A24,'Data shares'!$C:$FA,121)*100</f>
        <v>36.840000000000003</v>
      </c>
      <c r="E24" s="143">
        <f>VLOOKUP($A24,'Data shares'!$C:$FA,124)</f>
        <v>0.75</v>
      </c>
      <c r="F24" s="143">
        <f>VLOOKUP($A24,'Data shares'!$C:$FA,125)</f>
        <v>0.49</v>
      </c>
      <c r="G24" s="143">
        <f>VLOOKUP($A24,'Data shares'!$C:$FA,127)*100</f>
        <v>53.059999999999995</v>
      </c>
      <c r="H24" s="103">
        <f>VLOOKUP($A24,'OI(Volume)'!$A$7:$O$427,8)</f>
        <v>2684000</v>
      </c>
      <c r="I24" s="103">
        <f>VLOOKUP($A24,'OI(Volume)'!$A$7:$O$427,9)</f>
        <v>-5461000</v>
      </c>
      <c r="J24" s="103">
        <f>VLOOKUP($A24,'OI(Volume)'!$A$7:$O$427,11)</f>
        <v>2102250</v>
      </c>
      <c r="K24" s="103">
        <f>VLOOKUP($A24,'OI(Volume)'!$A$7:$O$427,12)</f>
        <v>-2574750</v>
      </c>
      <c r="L24" s="103">
        <f>VLOOKUP($A24,'OI(Value)'!$A$7:$O$306,8,0)</f>
        <v>645</v>
      </c>
      <c r="M24" s="103">
        <f>VLOOKUP($A24,'OI(Value)'!$A$7:$O$306,9,0)</f>
        <v>-1313</v>
      </c>
      <c r="N24" s="103">
        <f>VLOOKUP($A24,'OI(Value)'!$A$7:$O$306,11,0)</f>
        <v>506</v>
      </c>
      <c r="O24" s="103">
        <f>VLOOKUP($A24,'OI(Value)'!$A$7:$O$306,12,0)</f>
        <v>-619</v>
      </c>
      <c r="P24" s="179">
        <f>VLOOKUP(A24,'OI(Value)'!A24:O225,8,0)</f>
        <v>645</v>
      </c>
      <c r="Q24" s="179">
        <f>VLOOKUP(A24,'OI(Value)'!A24:O225,9,0)</f>
        <v>-1313</v>
      </c>
      <c r="R24" s="179">
        <f>VLOOKUP(A24,'OI(Value)'!A24:O225,11,0)</f>
        <v>506</v>
      </c>
      <c r="S24" s="179">
        <f>VLOOKUP(A24,'OI(Value)'!A24:O225,11,0)</f>
        <v>506</v>
      </c>
    </row>
    <row r="25" spans="1:19" x14ac:dyDescent="0.25">
      <c r="A25" s="105" t="str">
        <f>'Data shares'!C20</f>
        <v>ASTRAL</v>
      </c>
      <c r="B25" s="143">
        <f>VLOOKUP($A25,'Data shares'!$C:$FA,118)</f>
        <v>0.76</v>
      </c>
      <c r="C25" s="143">
        <f>VLOOKUP($A25,'Data shares'!$C:$FA,119)</f>
        <v>0.44</v>
      </c>
      <c r="D25" s="143">
        <f>VLOOKUP($A25,'Data shares'!$C:$FA,121)*100</f>
        <v>72.72999999999999</v>
      </c>
      <c r="E25" s="143">
        <f>VLOOKUP($A25,'Data shares'!$C:$FA,124)</f>
        <v>0.61</v>
      </c>
      <c r="F25" s="143">
        <f>VLOOKUP($A25,'Data shares'!$C:$FA,125)</f>
        <v>0.66</v>
      </c>
      <c r="G25" s="143">
        <f>VLOOKUP($A25,'Data shares'!$C:$FA,127)*100</f>
        <v>-7.580000000000001</v>
      </c>
      <c r="H25" s="103">
        <f>VLOOKUP($A25,'OI(Volume)'!$A$7:$O$427,8)</f>
        <v>1009800</v>
      </c>
      <c r="I25" s="103">
        <f>VLOOKUP($A25,'OI(Volume)'!$A$7:$O$427,9)</f>
        <v>-2131375</v>
      </c>
      <c r="J25" s="103">
        <f>VLOOKUP($A25,'OI(Volume)'!$A$7:$O$427,11)</f>
        <v>767125</v>
      </c>
      <c r="K25" s="103">
        <f>VLOOKUP($A25,'OI(Volume)'!$A$7:$O$427,12)</f>
        <v>-624750</v>
      </c>
      <c r="L25" s="103">
        <f>VLOOKUP($A25,'OI(Value)'!$A$7:$O$306,8,0)</f>
        <v>142</v>
      </c>
      <c r="M25" s="103">
        <f>VLOOKUP($A25,'OI(Value)'!$A$7:$O$306,9,0)</f>
        <v>-300</v>
      </c>
      <c r="N25" s="103">
        <f>VLOOKUP($A25,'OI(Value)'!$A$7:$O$306,11,0)</f>
        <v>108</v>
      </c>
      <c r="O25" s="103">
        <f>VLOOKUP($A25,'OI(Value)'!$A$7:$O$306,12,0)</f>
        <v>-88</v>
      </c>
      <c r="P25" s="179">
        <f>VLOOKUP(A25,'OI(Value)'!A25:O226,8,0)</f>
        <v>142</v>
      </c>
      <c r="Q25" s="179">
        <f>VLOOKUP(A25,'OI(Value)'!A25:O226,9,0)</f>
        <v>-300</v>
      </c>
      <c r="R25" s="179">
        <f>VLOOKUP(A25,'OI(Value)'!A25:O226,11,0)</f>
        <v>108</v>
      </c>
      <c r="S25" s="179">
        <f>VLOOKUP(A25,'OI(Value)'!A25:O226,11,0)</f>
        <v>108</v>
      </c>
    </row>
    <row r="26" spans="1:19" x14ac:dyDescent="0.25">
      <c r="A26" s="105" t="str">
        <f>'Data shares'!C21</f>
        <v>ATGL</v>
      </c>
      <c r="B26" s="143">
        <f>VLOOKUP($A26,'Data shares'!$C:$FA,118)</f>
        <v>0.78</v>
      </c>
      <c r="C26" s="143">
        <f>VLOOKUP($A26,'Data shares'!$C:$FA,119)</f>
        <v>0.52</v>
      </c>
      <c r="D26" s="143">
        <f>VLOOKUP($A26,'Data shares'!$C:$FA,121)*100</f>
        <v>50</v>
      </c>
      <c r="E26" s="143">
        <f>VLOOKUP($A26,'Data shares'!$C:$FA,124)</f>
        <v>0.9</v>
      </c>
      <c r="F26" s="143">
        <f>VLOOKUP($A26,'Data shares'!$C:$FA,125)</f>
        <v>0.32</v>
      </c>
      <c r="G26" s="143">
        <f>VLOOKUP($A26,'Data shares'!$C:$FA,127)*100</f>
        <v>181.25</v>
      </c>
      <c r="H26" s="103">
        <f>VLOOKUP($A26,'OI(Volume)'!$A$7:$O$427,8)</f>
        <v>755125</v>
      </c>
      <c r="I26" s="103">
        <f>VLOOKUP($A26,'OI(Volume)'!$A$7:$O$427,9)</f>
        <v>-2366000</v>
      </c>
      <c r="J26" s="103">
        <f>VLOOKUP($A26,'OI(Volume)'!$A$7:$O$427,11)</f>
        <v>588875</v>
      </c>
      <c r="K26" s="103">
        <f>VLOOKUP($A26,'OI(Volume)'!$A$7:$O$427,12)</f>
        <v>-1030750</v>
      </c>
      <c r="L26" s="103">
        <f>VLOOKUP($A26,'OI(Value)'!$A$7:$O$306,8,0)</f>
        <v>46</v>
      </c>
      <c r="M26" s="103">
        <f>VLOOKUP($A26,'OI(Value)'!$A$7:$O$306,9,0)</f>
        <v>-143</v>
      </c>
      <c r="N26" s="103">
        <f>VLOOKUP($A26,'OI(Value)'!$A$7:$O$306,11,0)</f>
        <v>36</v>
      </c>
      <c r="O26" s="103">
        <f>VLOOKUP($A26,'OI(Value)'!$A$7:$O$306,12,0)</f>
        <v>-62</v>
      </c>
      <c r="P26" s="179">
        <f>VLOOKUP(A26,'OI(Value)'!A26:O227,8,0)</f>
        <v>46</v>
      </c>
      <c r="Q26" s="179">
        <f>VLOOKUP(A26,'OI(Value)'!A26:O227,9,0)</f>
        <v>-143</v>
      </c>
      <c r="R26" s="179">
        <f>VLOOKUP(A26,'OI(Value)'!A26:O227,11,0)</f>
        <v>36</v>
      </c>
      <c r="S26" s="179">
        <f>VLOOKUP(A26,'OI(Value)'!A26:O227,11,0)</f>
        <v>36</v>
      </c>
    </row>
    <row r="27" spans="1:19" x14ac:dyDescent="0.25">
      <c r="A27" s="105" t="str">
        <f>'Data shares'!C22</f>
        <v>AUBANK</v>
      </c>
      <c r="B27" s="143">
        <f>VLOOKUP($A27,'Data shares'!$C:$FA,118)</f>
        <v>0.87</v>
      </c>
      <c r="C27" s="143">
        <f>VLOOKUP($A27,'Data shares'!$C:$FA,119)</f>
        <v>0.62</v>
      </c>
      <c r="D27" s="143">
        <f>VLOOKUP($A27,'Data shares'!$C:$FA,121)*100</f>
        <v>40.32</v>
      </c>
      <c r="E27" s="143">
        <f>VLOOKUP($A27,'Data shares'!$C:$FA,124)</f>
        <v>0.5</v>
      </c>
      <c r="F27" s="143">
        <f>VLOOKUP($A27,'Data shares'!$C:$FA,125)</f>
        <v>0.48</v>
      </c>
      <c r="G27" s="143">
        <f>VLOOKUP($A27,'Data shares'!$C:$FA,127)*100</f>
        <v>4.17</v>
      </c>
      <c r="H27" s="103">
        <f>VLOOKUP($A27,'OI(Volume)'!$A$7:$O$427,8)</f>
        <v>3031000</v>
      </c>
      <c r="I27" s="103">
        <f>VLOOKUP($A27,'OI(Volume)'!$A$7:$O$427,9)</f>
        <v>-5753000</v>
      </c>
      <c r="J27" s="103">
        <f>VLOOKUP($A27,'OI(Volume)'!$A$7:$O$427,11)</f>
        <v>2647000</v>
      </c>
      <c r="K27" s="103">
        <f>VLOOKUP($A27,'OI(Volume)'!$A$7:$O$427,12)</f>
        <v>-2770000</v>
      </c>
      <c r="L27" s="103">
        <f>VLOOKUP($A27,'OI(Value)'!$A$7:$O$306,8,0)</f>
        <v>226</v>
      </c>
      <c r="M27" s="103">
        <f>VLOOKUP($A27,'OI(Value)'!$A$7:$O$306,9,0)</f>
        <v>-429</v>
      </c>
      <c r="N27" s="103">
        <f>VLOOKUP($A27,'OI(Value)'!$A$7:$O$306,11,0)</f>
        <v>197</v>
      </c>
      <c r="O27" s="103">
        <f>VLOOKUP($A27,'OI(Value)'!$A$7:$O$306,12,0)</f>
        <v>-207</v>
      </c>
      <c r="P27" s="179">
        <f>VLOOKUP(A27,'OI(Value)'!A27:O228,8,0)</f>
        <v>226</v>
      </c>
      <c r="Q27" s="179">
        <f>VLOOKUP(A27,'OI(Value)'!A27:O228,9,0)</f>
        <v>-429</v>
      </c>
      <c r="R27" s="179">
        <f>VLOOKUP(A27,'OI(Value)'!A27:O228,11,0)</f>
        <v>197</v>
      </c>
      <c r="S27" s="179">
        <f>VLOOKUP(A27,'OI(Value)'!A27:O228,11,0)</f>
        <v>197</v>
      </c>
    </row>
    <row r="28" spans="1:19" x14ac:dyDescent="0.25">
      <c r="A28" s="105" t="str">
        <f>'Data shares'!C23</f>
        <v>AUROPHARMA</v>
      </c>
      <c r="B28" s="143">
        <f>VLOOKUP($A28,'Data shares'!$C:$FA,118)</f>
        <v>1.1499999999999999</v>
      </c>
      <c r="C28" s="143">
        <f>VLOOKUP($A28,'Data shares'!$C:$FA,119)</f>
        <v>0.84</v>
      </c>
      <c r="D28" s="143">
        <f>VLOOKUP($A28,'Data shares'!$C:$FA,121)*100</f>
        <v>36.9</v>
      </c>
      <c r="E28" s="143">
        <f>VLOOKUP($A28,'Data shares'!$C:$FA,124)</f>
        <v>0.56999999999999995</v>
      </c>
      <c r="F28" s="143">
        <f>VLOOKUP($A28,'Data shares'!$C:$FA,125)</f>
        <v>0.85</v>
      </c>
      <c r="G28" s="143">
        <f>VLOOKUP($A28,'Data shares'!$C:$FA,127)*100</f>
        <v>-32.940000000000005</v>
      </c>
      <c r="H28" s="103">
        <f>VLOOKUP($A28,'OI(Volume)'!$A$7:$O$427,8)</f>
        <v>1371700</v>
      </c>
      <c r="I28" s="103">
        <f>VLOOKUP($A28,'OI(Volume)'!$A$7:$O$427,9)</f>
        <v>-2123000</v>
      </c>
      <c r="J28" s="103">
        <f>VLOOKUP($A28,'OI(Volume)'!$A$7:$O$427,11)</f>
        <v>1570800</v>
      </c>
      <c r="K28" s="103">
        <f>VLOOKUP($A28,'OI(Volume)'!$A$7:$O$427,12)</f>
        <v>-1371700</v>
      </c>
      <c r="L28" s="103">
        <f>VLOOKUP($A28,'OI(Value)'!$A$7:$O$306,8,0)</f>
        <v>157</v>
      </c>
      <c r="M28" s="103">
        <f>VLOOKUP($A28,'OI(Value)'!$A$7:$O$306,9,0)</f>
        <v>-243</v>
      </c>
      <c r="N28" s="103">
        <f>VLOOKUP($A28,'OI(Value)'!$A$7:$O$306,11,0)</f>
        <v>180</v>
      </c>
      <c r="O28" s="103">
        <f>VLOOKUP($A28,'OI(Value)'!$A$7:$O$306,12,0)</f>
        <v>-157</v>
      </c>
      <c r="P28" s="179">
        <f>VLOOKUP(A28,'OI(Value)'!A28:O229,8,0)</f>
        <v>157</v>
      </c>
      <c r="Q28" s="179">
        <f>VLOOKUP(A28,'OI(Value)'!A28:O229,9,0)</f>
        <v>-243</v>
      </c>
      <c r="R28" s="179">
        <f>VLOOKUP(A28,'OI(Value)'!A28:O229,11,0)</f>
        <v>180</v>
      </c>
      <c r="S28" s="179">
        <f>VLOOKUP(A28,'OI(Value)'!A28:O229,11,0)</f>
        <v>180</v>
      </c>
    </row>
    <row r="29" spans="1:19" x14ac:dyDescent="0.25">
      <c r="A29" s="105" t="str">
        <f>'Data shares'!C24</f>
        <v>AXISBANK</v>
      </c>
      <c r="B29" s="143">
        <f>VLOOKUP($A29,'Data shares'!$C:$FA,118)</f>
        <v>0.6</v>
      </c>
      <c r="C29" s="143">
        <f>VLOOKUP($A29,'Data shares'!$C:$FA,119)</f>
        <v>0.4</v>
      </c>
      <c r="D29" s="143">
        <f>VLOOKUP($A29,'Data shares'!$C:$FA,121)*100</f>
        <v>50</v>
      </c>
      <c r="E29" s="143">
        <f>VLOOKUP($A29,'Data shares'!$C:$FA,124)</f>
        <v>0.63</v>
      </c>
      <c r="F29" s="143">
        <f>VLOOKUP($A29,'Data shares'!$C:$FA,125)</f>
        <v>0.51</v>
      </c>
      <c r="G29" s="143">
        <f>VLOOKUP($A29,'Data shares'!$C:$FA,127)*100</f>
        <v>23.53</v>
      </c>
      <c r="H29" s="103">
        <f>VLOOKUP($A29,'OI(Volume)'!$A$7:$O$427,8)</f>
        <v>13629375</v>
      </c>
      <c r="I29" s="103">
        <f>VLOOKUP($A29,'OI(Volume)'!$A$7:$O$427,9)</f>
        <v>-31176875</v>
      </c>
      <c r="J29" s="103">
        <f>VLOOKUP($A29,'OI(Volume)'!$A$7:$O$427,11)</f>
        <v>8191875</v>
      </c>
      <c r="K29" s="103">
        <f>VLOOKUP($A29,'OI(Volume)'!$A$7:$O$427,12)</f>
        <v>-9576250</v>
      </c>
      <c r="L29" s="103">
        <f>VLOOKUP($A29,'OI(Value)'!$A$7:$O$306,8,0)</f>
        <v>1464</v>
      </c>
      <c r="M29" s="103">
        <f>VLOOKUP($A29,'OI(Value)'!$A$7:$O$306,9,0)</f>
        <v>-3350</v>
      </c>
      <c r="N29" s="103">
        <f>VLOOKUP($A29,'OI(Value)'!$A$7:$O$306,11,0)</f>
        <v>880</v>
      </c>
      <c r="O29" s="103">
        <f>VLOOKUP($A29,'OI(Value)'!$A$7:$O$306,12,0)</f>
        <v>-1029</v>
      </c>
      <c r="P29" s="179">
        <f>VLOOKUP(A29,'OI(Value)'!A29:O230,8,0)</f>
        <v>1464</v>
      </c>
      <c r="Q29" s="179">
        <f>VLOOKUP(A29,'OI(Value)'!A29:O230,9,0)</f>
        <v>-3350</v>
      </c>
      <c r="R29" s="179">
        <f>VLOOKUP(A29,'OI(Value)'!A29:O230,11,0)</f>
        <v>880</v>
      </c>
      <c r="S29" s="179">
        <f>VLOOKUP(A29,'OI(Value)'!A29:O230,11,0)</f>
        <v>880</v>
      </c>
    </row>
    <row r="30" spans="1:19" x14ac:dyDescent="0.25">
      <c r="A30" s="105" t="str">
        <f>'Data shares'!C25</f>
        <v>BAJAJ-AUTO</v>
      </c>
      <c r="B30" s="143">
        <f>VLOOKUP($A30,'Data shares'!$C:$FA,118)</f>
        <v>0.94</v>
      </c>
      <c r="C30" s="143">
        <f>VLOOKUP($A30,'Data shares'!$C:$FA,119)</f>
        <v>0.66</v>
      </c>
      <c r="D30" s="143">
        <f>VLOOKUP($A30,'Data shares'!$C:$FA,121)*100</f>
        <v>42.42</v>
      </c>
      <c r="E30" s="143">
        <f>VLOOKUP($A30,'Data shares'!$C:$FA,124)</f>
        <v>0.8</v>
      </c>
      <c r="F30" s="143">
        <f>VLOOKUP($A30,'Data shares'!$C:$FA,125)</f>
        <v>0.55000000000000004</v>
      </c>
      <c r="G30" s="143">
        <f>VLOOKUP($A30,'Data shares'!$C:$FA,127)*100</f>
        <v>45.45</v>
      </c>
      <c r="H30" s="103">
        <f>VLOOKUP($A30,'OI(Volume)'!$A$7:$O$427,8)</f>
        <v>444300</v>
      </c>
      <c r="I30" s="103">
        <f>VLOOKUP($A30,'OI(Volume)'!$A$7:$O$427,9)</f>
        <v>-950100</v>
      </c>
      <c r="J30" s="103">
        <f>VLOOKUP($A30,'OI(Volume)'!$A$7:$O$427,11)</f>
        <v>416850</v>
      </c>
      <c r="K30" s="103">
        <f>VLOOKUP($A30,'OI(Volume)'!$A$7:$O$427,12)</f>
        <v>-500250</v>
      </c>
      <c r="L30" s="103">
        <f>VLOOKUP($A30,'OI(Value)'!$A$7:$O$306,8,0)</f>
        <v>358</v>
      </c>
      <c r="M30" s="103">
        <f>VLOOKUP($A30,'OI(Value)'!$A$7:$O$306,9,0)</f>
        <v>-765</v>
      </c>
      <c r="N30" s="103">
        <f>VLOOKUP($A30,'OI(Value)'!$A$7:$O$306,11,0)</f>
        <v>336</v>
      </c>
      <c r="O30" s="103">
        <f>VLOOKUP($A30,'OI(Value)'!$A$7:$O$306,12,0)</f>
        <v>-403</v>
      </c>
      <c r="P30" s="179">
        <f>VLOOKUP(A30,'OI(Value)'!A30:O231,8,0)</f>
        <v>358</v>
      </c>
      <c r="Q30" s="179">
        <f>VLOOKUP(A30,'OI(Value)'!A30:O231,9,0)</f>
        <v>-765</v>
      </c>
      <c r="R30" s="179">
        <f>VLOOKUP(A30,'OI(Value)'!A30:O231,11,0)</f>
        <v>336</v>
      </c>
      <c r="S30" s="179">
        <f>VLOOKUP(A30,'OI(Value)'!A30:O231,11,0)</f>
        <v>336</v>
      </c>
    </row>
    <row r="31" spans="1:19" x14ac:dyDescent="0.25">
      <c r="A31" s="105" t="str">
        <f>'Data shares'!C26</f>
        <v>BAJAJFINSV</v>
      </c>
      <c r="B31" s="143">
        <f>VLOOKUP($A31,'Data shares'!$C:$FA,118)</f>
        <v>0.63</v>
      </c>
      <c r="C31" s="143">
        <f>VLOOKUP($A31,'Data shares'!$C:$FA,119)</f>
        <v>0.44</v>
      </c>
      <c r="D31" s="143">
        <f>VLOOKUP($A31,'Data shares'!$C:$FA,121)*100</f>
        <v>43.18</v>
      </c>
      <c r="E31" s="143">
        <f>VLOOKUP($A31,'Data shares'!$C:$FA,124)</f>
        <v>0.51</v>
      </c>
      <c r="F31" s="143">
        <f>VLOOKUP($A31,'Data shares'!$C:$FA,125)</f>
        <v>0.53</v>
      </c>
      <c r="G31" s="143">
        <f>VLOOKUP($A31,'Data shares'!$C:$FA,127)*100</f>
        <v>-3.7699999999999996</v>
      </c>
      <c r="H31" s="103">
        <f>VLOOKUP($A31,'OI(Volume)'!$A$7:$O$427,8)</f>
        <v>3290500</v>
      </c>
      <c r="I31" s="103">
        <f>VLOOKUP($A31,'OI(Volume)'!$A$7:$O$427,9)</f>
        <v>-6778500</v>
      </c>
      <c r="J31" s="103">
        <f>VLOOKUP($A31,'OI(Volume)'!$A$7:$O$427,11)</f>
        <v>2060500</v>
      </c>
      <c r="K31" s="103">
        <f>VLOOKUP($A31,'OI(Volume)'!$A$7:$O$427,12)</f>
        <v>-2387500</v>
      </c>
      <c r="L31" s="103">
        <f>VLOOKUP($A31,'OI(Value)'!$A$7:$O$306,8,0)</f>
        <v>643</v>
      </c>
      <c r="M31" s="103">
        <f>VLOOKUP($A31,'OI(Value)'!$A$7:$O$306,9,0)</f>
        <v>-1325</v>
      </c>
      <c r="N31" s="103">
        <f>VLOOKUP($A31,'OI(Value)'!$A$7:$O$306,11,0)</f>
        <v>403</v>
      </c>
      <c r="O31" s="103">
        <f>VLOOKUP($A31,'OI(Value)'!$A$7:$O$306,12,0)</f>
        <v>-467</v>
      </c>
      <c r="P31" s="179">
        <f>VLOOKUP(A31,'OI(Value)'!A31:O232,8,0)</f>
        <v>643</v>
      </c>
      <c r="Q31" s="179">
        <f>VLOOKUP(A31,'OI(Value)'!A31:O232,9,0)</f>
        <v>-1325</v>
      </c>
      <c r="R31" s="179">
        <f>VLOOKUP(A31,'OI(Value)'!A31:O232,11,0)</f>
        <v>403</v>
      </c>
      <c r="S31" s="179">
        <f>VLOOKUP(A31,'OI(Value)'!A31:O232,11,0)</f>
        <v>403</v>
      </c>
    </row>
    <row r="32" spans="1:19" x14ac:dyDescent="0.25">
      <c r="A32" s="105" t="str">
        <f>'Data shares'!C27</f>
        <v>BAJFINANCE</v>
      </c>
      <c r="B32" s="143">
        <f>VLOOKUP($A32,'Data shares'!$C:$FA,118)</f>
        <v>0.55000000000000004</v>
      </c>
      <c r="C32" s="143">
        <f>VLOOKUP($A32,'Data shares'!$C:$FA,119)</f>
        <v>0.51</v>
      </c>
      <c r="D32" s="143">
        <f>VLOOKUP($A32,'Data shares'!$C:$FA,121)*100</f>
        <v>7.84</v>
      </c>
      <c r="E32" s="143">
        <f>VLOOKUP($A32,'Data shares'!$C:$FA,124)</f>
        <v>0.57999999999999996</v>
      </c>
      <c r="F32" s="143">
        <f>VLOOKUP($A32,'Data shares'!$C:$FA,125)</f>
        <v>0.56000000000000005</v>
      </c>
      <c r="G32" s="143">
        <f>VLOOKUP($A32,'Data shares'!$C:$FA,127)*100</f>
        <v>3.5700000000000003</v>
      </c>
      <c r="H32" s="103">
        <f>VLOOKUP($A32,'OI(Volume)'!$A$7:$O$427,8)</f>
        <v>18120750</v>
      </c>
      <c r="I32" s="103">
        <f>VLOOKUP($A32,'OI(Volume)'!$A$7:$O$427,9)</f>
        <v>-14925750</v>
      </c>
      <c r="J32" s="103">
        <f>VLOOKUP($A32,'OI(Volume)'!$A$7:$O$427,11)</f>
        <v>9882000</v>
      </c>
      <c r="K32" s="103">
        <f>VLOOKUP($A32,'OI(Volume)'!$A$7:$O$427,12)</f>
        <v>-6910500</v>
      </c>
      <c r="L32" s="103">
        <f>VLOOKUP($A32,'OI(Value)'!$A$7:$O$306,8,0)</f>
        <v>1602</v>
      </c>
      <c r="M32" s="103">
        <f>VLOOKUP($A32,'OI(Value)'!$A$7:$O$306,9,0)</f>
        <v>-1319</v>
      </c>
      <c r="N32" s="103">
        <f>VLOOKUP($A32,'OI(Value)'!$A$7:$O$306,11,0)</f>
        <v>874</v>
      </c>
      <c r="O32" s="103">
        <f>VLOOKUP($A32,'OI(Value)'!$A$7:$O$306,12,0)</f>
        <v>-611</v>
      </c>
      <c r="P32" s="179">
        <f>VLOOKUP(A32,'OI(Value)'!A32:O233,8,0)</f>
        <v>1602</v>
      </c>
      <c r="Q32" s="179">
        <f>VLOOKUP(A32,'OI(Value)'!A32:O233,9,0)</f>
        <v>-1319</v>
      </c>
      <c r="R32" s="179">
        <f>VLOOKUP(A32,'OI(Value)'!A32:O233,11,0)</f>
        <v>874</v>
      </c>
      <c r="S32" s="179">
        <f>VLOOKUP(A32,'OI(Value)'!A32:O233,11,0)</f>
        <v>874</v>
      </c>
    </row>
    <row r="33" spans="1:19" x14ac:dyDescent="0.25">
      <c r="A33" s="105" t="str">
        <f>'Data shares'!C28</f>
        <v>BALKRISIND</v>
      </c>
      <c r="B33" s="143">
        <f>VLOOKUP($A33,'Data shares'!$C:$FA,118)</f>
        <v>0.7</v>
      </c>
      <c r="C33" s="143">
        <f>VLOOKUP($A33,'Data shares'!$C:$FA,119)</f>
        <v>0.77</v>
      </c>
      <c r="D33" s="143">
        <f>VLOOKUP($A33,'Data shares'!$C:$FA,121)*100</f>
        <v>-9.09</v>
      </c>
      <c r="E33" s="143">
        <f>VLOOKUP($A33,'Data shares'!$C:$FA,124)</f>
        <v>0.92</v>
      </c>
      <c r="F33" s="143">
        <f>VLOOKUP($A33,'Data shares'!$C:$FA,125)</f>
        <v>0.88</v>
      </c>
      <c r="G33" s="143">
        <f>VLOOKUP($A33,'Data shares'!$C:$FA,127)*100</f>
        <v>4.55</v>
      </c>
      <c r="H33" s="103">
        <f>VLOOKUP($A33,'OI(Volume)'!$A$7:$O$427,8)</f>
        <v>807000</v>
      </c>
      <c r="I33" s="103">
        <f>VLOOKUP($A33,'OI(Volume)'!$A$7:$O$427,9)</f>
        <v>-204000</v>
      </c>
      <c r="J33" s="103">
        <f>VLOOKUP($A33,'OI(Volume)'!$A$7:$O$427,11)</f>
        <v>563700</v>
      </c>
      <c r="K33" s="103">
        <f>VLOOKUP($A33,'OI(Volume)'!$A$7:$O$427,12)</f>
        <v>-211500</v>
      </c>
      <c r="L33" s="103">
        <f>VLOOKUP($A33,'OI(Value)'!$A$7:$O$306,8,0)</f>
        <v>0</v>
      </c>
      <c r="M33" s="103">
        <f>VLOOKUP($A33,'OI(Value)'!$A$7:$O$306,9,0)</f>
        <v>0</v>
      </c>
      <c r="N33" s="103">
        <f>VLOOKUP($A33,'OI(Value)'!$A$7:$O$306,11,0)</f>
        <v>0</v>
      </c>
      <c r="O33" s="103">
        <f>VLOOKUP($A33,'OI(Value)'!$A$7:$O$306,12,0)</f>
        <v>0</v>
      </c>
      <c r="P33" s="179">
        <f>VLOOKUP(A33,'OI(Value)'!A33:O234,8,0)</f>
        <v>0</v>
      </c>
      <c r="Q33" s="179">
        <f>VLOOKUP(A33,'OI(Value)'!A33:O234,9,0)</f>
        <v>0</v>
      </c>
      <c r="R33" s="179">
        <f>VLOOKUP(A33,'OI(Value)'!A33:O234,11,0)</f>
        <v>0</v>
      </c>
      <c r="S33" s="179">
        <f>VLOOKUP(A33,'OI(Value)'!A33:O234,11,0)</f>
        <v>0</v>
      </c>
    </row>
    <row r="34" spans="1:19" x14ac:dyDescent="0.25">
      <c r="A34" s="105" t="str">
        <f>'Data shares'!C29</f>
        <v>BANDHANBNK</v>
      </c>
      <c r="B34" s="143">
        <f>VLOOKUP($A34,'Data shares'!$C:$FA,118)</f>
        <v>0.8</v>
      </c>
      <c r="C34" s="143">
        <f>VLOOKUP($A34,'Data shares'!$C:$FA,119)</f>
        <v>0.52</v>
      </c>
      <c r="D34" s="143">
        <f>VLOOKUP($A34,'Data shares'!$C:$FA,121)*100</f>
        <v>53.849999999999994</v>
      </c>
      <c r="E34" s="143">
        <f>VLOOKUP($A34,'Data shares'!$C:$FA,124)</f>
        <v>0.75</v>
      </c>
      <c r="F34" s="143">
        <f>VLOOKUP($A34,'Data shares'!$C:$FA,125)</f>
        <v>0.64</v>
      </c>
      <c r="G34" s="143">
        <f>VLOOKUP($A34,'Data shares'!$C:$FA,127)*100</f>
        <v>17.190000000000001</v>
      </c>
      <c r="H34" s="103">
        <f>VLOOKUP($A34,'OI(Volume)'!$A$7:$O$427,8)</f>
        <v>13996800</v>
      </c>
      <c r="I34" s="103">
        <f>VLOOKUP($A34,'OI(Volume)'!$A$7:$O$427,9)</f>
        <v>-25117200</v>
      </c>
      <c r="J34" s="103">
        <f>VLOOKUP($A34,'OI(Volume)'!$A$7:$O$427,11)</f>
        <v>11221200</v>
      </c>
      <c r="K34" s="103">
        <f>VLOOKUP($A34,'OI(Volume)'!$A$7:$O$427,12)</f>
        <v>-9291600</v>
      </c>
      <c r="L34" s="103">
        <f>VLOOKUP($A34,'OI(Value)'!$A$7:$O$306,8,0)</f>
        <v>234</v>
      </c>
      <c r="M34" s="103">
        <f>VLOOKUP($A34,'OI(Value)'!$A$7:$O$306,9,0)</f>
        <v>-421</v>
      </c>
      <c r="N34" s="103">
        <f>VLOOKUP($A34,'OI(Value)'!$A$7:$O$306,11,0)</f>
        <v>188</v>
      </c>
      <c r="O34" s="103">
        <f>VLOOKUP($A34,'OI(Value)'!$A$7:$O$306,12,0)</f>
        <v>-156</v>
      </c>
      <c r="P34" s="179">
        <f>VLOOKUP(A34,'OI(Value)'!A34:O235,8,0)</f>
        <v>234</v>
      </c>
      <c r="Q34" s="179">
        <f>VLOOKUP(A34,'OI(Value)'!A34:O235,9,0)</f>
        <v>-421</v>
      </c>
      <c r="R34" s="179">
        <f>VLOOKUP(A34,'OI(Value)'!A34:O235,11,0)</f>
        <v>188</v>
      </c>
      <c r="S34" s="179">
        <f>VLOOKUP(A34,'OI(Value)'!A34:O235,11,0)</f>
        <v>188</v>
      </c>
    </row>
    <row r="35" spans="1:19" x14ac:dyDescent="0.25">
      <c r="A35" s="105" t="str">
        <f>'Data shares'!C30</f>
        <v>BANKBARODA</v>
      </c>
      <c r="B35" s="143">
        <f>VLOOKUP($A35,'Data shares'!$C:$FA,118)</f>
        <v>1.02</v>
      </c>
      <c r="C35" s="143">
        <f>VLOOKUP($A35,'Data shares'!$C:$FA,119)</f>
        <v>0.88</v>
      </c>
      <c r="D35" s="143">
        <f>VLOOKUP($A35,'Data shares'!$C:$FA,121)*100</f>
        <v>15.909999999999998</v>
      </c>
      <c r="E35" s="143">
        <f>VLOOKUP($A35,'Data shares'!$C:$FA,124)</f>
        <v>0.8</v>
      </c>
      <c r="F35" s="143">
        <f>VLOOKUP($A35,'Data shares'!$C:$FA,125)</f>
        <v>0.66</v>
      </c>
      <c r="G35" s="143">
        <f>VLOOKUP($A35,'Data shares'!$C:$FA,127)*100</f>
        <v>21.21</v>
      </c>
      <c r="H35" s="103">
        <f>VLOOKUP($A35,'OI(Volume)'!$A$7:$O$427,8)</f>
        <v>23628150</v>
      </c>
      <c r="I35" s="103">
        <f>VLOOKUP($A35,'OI(Volume)'!$A$7:$O$427,9)</f>
        <v>-22326525</v>
      </c>
      <c r="J35" s="103">
        <f>VLOOKUP($A35,'OI(Volume)'!$A$7:$O$427,11)</f>
        <v>24122475</v>
      </c>
      <c r="K35" s="103">
        <f>VLOOKUP($A35,'OI(Volume)'!$A$7:$O$427,12)</f>
        <v>-16476525</v>
      </c>
      <c r="L35" s="103">
        <f>VLOOKUP($A35,'OI(Value)'!$A$7:$O$306,8,0)</f>
        <v>565</v>
      </c>
      <c r="M35" s="103">
        <f>VLOOKUP($A35,'OI(Value)'!$A$7:$O$306,9,0)</f>
        <v>-534</v>
      </c>
      <c r="N35" s="103">
        <f>VLOOKUP($A35,'OI(Value)'!$A$7:$O$306,11,0)</f>
        <v>577</v>
      </c>
      <c r="O35" s="103">
        <f>VLOOKUP($A35,'OI(Value)'!$A$7:$O$306,12,0)</f>
        <v>-394</v>
      </c>
      <c r="P35" s="179">
        <f>VLOOKUP(A35,'OI(Value)'!A35:O236,8,0)</f>
        <v>565</v>
      </c>
      <c r="Q35" s="179">
        <f>VLOOKUP(A35,'OI(Value)'!A35:O236,9,0)</f>
        <v>-534</v>
      </c>
      <c r="R35" s="179">
        <f>VLOOKUP(A35,'OI(Value)'!A35:O236,11,0)</f>
        <v>577</v>
      </c>
      <c r="S35" s="179">
        <f>VLOOKUP(A35,'OI(Value)'!A35:O236,11,0)</f>
        <v>577</v>
      </c>
    </row>
    <row r="36" spans="1:19" x14ac:dyDescent="0.25">
      <c r="A36" s="105" t="str">
        <f>'Data shares'!C31</f>
        <v>BANKINDIA</v>
      </c>
      <c r="B36" s="143">
        <f>VLOOKUP($A36,'Data shares'!$C:$FA,118)</f>
        <v>0.8</v>
      </c>
      <c r="C36" s="143">
        <f>VLOOKUP($A36,'Data shares'!$C:$FA,119)</f>
        <v>0.62</v>
      </c>
      <c r="D36" s="143">
        <f>VLOOKUP($A36,'Data shares'!$C:$FA,121)*100</f>
        <v>29.03</v>
      </c>
      <c r="E36" s="143">
        <f>VLOOKUP($A36,'Data shares'!$C:$FA,124)</f>
        <v>0.61</v>
      </c>
      <c r="F36" s="143">
        <f>VLOOKUP($A36,'Data shares'!$C:$FA,125)</f>
        <v>0.56999999999999995</v>
      </c>
      <c r="G36" s="143">
        <f>VLOOKUP($A36,'Data shares'!$C:$FA,127)*100</f>
        <v>7.02</v>
      </c>
      <c r="H36" s="103">
        <f>VLOOKUP($A36,'OI(Volume)'!$A$7:$O$427,8)</f>
        <v>11892400</v>
      </c>
      <c r="I36" s="103">
        <f>VLOOKUP($A36,'OI(Volume)'!$A$7:$O$427,9)</f>
        <v>-22859200</v>
      </c>
      <c r="J36" s="103">
        <f>VLOOKUP($A36,'OI(Volume)'!$A$7:$O$427,11)</f>
        <v>9521200</v>
      </c>
      <c r="K36" s="103">
        <f>VLOOKUP($A36,'OI(Volume)'!$A$7:$O$427,12)</f>
        <v>-11949600</v>
      </c>
      <c r="L36" s="103">
        <f>VLOOKUP($A36,'OI(Value)'!$A$7:$O$306,8,0)</f>
        <v>133</v>
      </c>
      <c r="M36" s="103">
        <f>VLOOKUP($A36,'OI(Value)'!$A$7:$O$306,9,0)</f>
        <v>-256</v>
      </c>
      <c r="N36" s="103">
        <f>VLOOKUP($A36,'OI(Value)'!$A$7:$O$306,11,0)</f>
        <v>107</v>
      </c>
      <c r="O36" s="103">
        <f>VLOOKUP($A36,'OI(Value)'!$A$7:$O$306,12,0)</f>
        <v>-134</v>
      </c>
      <c r="P36" s="179">
        <f>VLOOKUP(A36,'OI(Value)'!A36:O237,8,0)</f>
        <v>133</v>
      </c>
      <c r="Q36" s="179">
        <f>VLOOKUP(A36,'OI(Value)'!A36:O237,9,0)</f>
        <v>-256</v>
      </c>
      <c r="R36" s="179">
        <f>VLOOKUP(A36,'OI(Value)'!A36:O237,11,0)</f>
        <v>107</v>
      </c>
      <c r="S36" s="179">
        <f>VLOOKUP(A36,'OI(Value)'!A36:O237,11,0)</f>
        <v>107</v>
      </c>
    </row>
    <row r="37" spans="1:19" x14ac:dyDescent="0.25">
      <c r="A37" s="105" t="str">
        <f>'Data shares'!C32</f>
        <v>BANKNIFTY</v>
      </c>
      <c r="B37" s="143">
        <f>VLOOKUP($A37,'Data shares'!$C:$FA,118)</f>
        <v>0.97</v>
      </c>
      <c r="C37" s="143">
        <f>VLOOKUP($A37,'Data shares'!$C:$FA,119)</f>
        <v>0.68</v>
      </c>
      <c r="D37" s="143">
        <f>VLOOKUP($A37,'Data shares'!$C:$FA,121)*100</f>
        <v>42.65</v>
      </c>
      <c r="E37" s="143">
        <f>VLOOKUP($A37,'Data shares'!$C:$FA,124)</f>
        <v>0.86</v>
      </c>
      <c r="F37" s="143">
        <f>VLOOKUP($A37,'Data shares'!$C:$FA,125)</f>
        <v>0.84</v>
      </c>
      <c r="G37" s="143">
        <f>VLOOKUP($A37,'Data shares'!$C:$FA,127)*100</f>
        <v>2.3800000000000003</v>
      </c>
      <c r="H37" s="103">
        <f>VLOOKUP($A37,'OI(Volume)'!$A$7:$O$427,8)</f>
        <v>9564050</v>
      </c>
      <c r="I37" s="103">
        <f>VLOOKUP($A37,'OI(Volume)'!$A$7:$O$427,9)</f>
        <v>-25535035</v>
      </c>
      <c r="J37" s="103">
        <f>VLOOKUP($A37,'OI(Volume)'!$A$7:$O$427,11)</f>
        <v>9316980</v>
      </c>
      <c r="K37" s="103">
        <f>VLOOKUP($A37,'OI(Volume)'!$A$7:$O$427,12)</f>
        <v>-14628350</v>
      </c>
      <c r="L37" s="103">
        <f>VLOOKUP($A37,'OI(Value)'!$A$7:$O$306,8,0)</f>
        <v>53744</v>
      </c>
      <c r="M37" s="103">
        <f>VLOOKUP($A37,'OI(Value)'!$A$7:$O$306,9,0)</f>
        <v>-143492</v>
      </c>
      <c r="N37" s="103">
        <f>VLOOKUP($A37,'OI(Value)'!$A$7:$O$306,11,0)</f>
        <v>52356</v>
      </c>
      <c r="O37" s="103">
        <f>VLOOKUP($A37,'OI(Value)'!$A$7:$O$306,12,0)</f>
        <v>-82203</v>
      </c>
      <c r="P37" s="179">
        <f>VLOOKUP(A37,'OI(Value)'!A37:O238,8,0)</f>
        <v>53744</v>
      </c>
      <c r="Q37" s="179">
        <f>VLOOKUP(A37,'OI(Value)'!A37:O238,9,0)</f>
        <v>-143492</v>
      </c>
      <c r="R37" s="179">
        <f>VLOOKUP(A37,'OI(Value)'!A37:O238,11,0)</f>
        <v>52356</v>
      </c>
      <c r="S37" s="179">
        <f>VLOOKUP(A37,'OI(Value)'!A37:O238,11,0)</f>
        <v>52356</v>
      </c>
    </row>
    <row r="38" spans="1:19" x14ac:dyDescent="0.25">
      <c r="A38" s="105" t="str">
        <f>'Data shares'!C33</f>
        <v>BDL</v>
      </c>
      <c r="B38" s="143">
        <f>VLOOKUP($A38,'Data shares'!$C:$FA,118)</f>
        <v>0.7</v>
      </c>
      <c r="C38" s="143">
        <f>VLOOKUP($A38,'Data shares'!$C:$FA,119)</f>
        <v>0.43</v>
      </c>
      <c r="D38" s="143">
        <f>VLOOKUP($A38,'Data shares'!$C:$FA,121)*100</f>
        <v>62.79</v>
      </c>
      <c r="E38" s="143">
        <f>VLOOKUP($A38,'Data shares'!$C:$FA,124)</f>
        <v>0.39</v>
      </c>
      <c r="F38" s="143">
        <f>VLOOKUP($A38,'Data shares'!$C:$FA,125)</f>
        <v>0.34</v>
      </c>
      <c r="G38" s="143">
        <f>VLOOKUP($A38,'Data shares'!$C:$FA,127)*100</f>
        <v>14.71</v>
      </c>
      <c r="H38" s="103">
        <f>VLOOKUP($A38,'OI(Volume)'!$A$7:$O$427,8)</f>
        <v>1099800</v>
      </c>
      <c r="I38" s="103">
        <f>VLOOKUP($A38,'OI(Volume)'!$A$7:$O$427,9)</f>
        <v>-2862275</v>
      </c>
      <c r="J38" s="103">
        <f>VLOOKUP($A38,'OI(Volume)'!$A$7:$O$427,11)</f>
        <v>774150</v>
      </c>
      <c r="K38" s="103">
        <f>VLOOKUP($A38,'OI(Volume)'!$A$7:$O$427,12)</f>
        <v>-910000</v>
      </c>
      <c r="L38" s="103">
        <f>VLOOKUP($A38,'OI(Value)'!$A$7:$O$306,8,0)</f>
        <v>179</v>
      </c>
      <c r="M38" s="103">
        <f>VLOOKUP($A38,'OI(Value)'!$A$7:$O$306,9,0)</f>
        <v>-466</v>
      </c>
      <c r="N38" s="103">
        <f>VLOOKUP($A38,'OI(Value)'!$A$7:$O$306,11,0)</f>
        <v>126</v>
      </c>
      <c r="O38" s="103">
        <f>VLOOKUP($A38,'OI(Value)'!$A$7:$O$306,12,0)</f>
        <v>-148</v>
      </c>
      <c r="P38" s="179">
        <f>VLOOKUP(A38,'OI(Value)'!A38:O239,8,0)</f>
        <v>179</v>
      </c>
      <c r="Q38" s="179">
        <f>VLOOKUP(A38,'OI(Value)'!A38:O239,9,0)</f>
        <v>-466</v>
      </c>
      <c r="R38" s="179">
        <f>VLOOKUP(A38,'OI(Value)'!A38:O239,11,0)</f>
        <v>126</v>
      </c>
      <c r="S38" s="179">
        <f>VLOOKUP(A38,'OI(Value)'!A38:O239,11,0)</f>
        <v>126</v>
      </c>
    </row>
    <row r="39" spans="1:19" x14ac:dyDescent="0.25">
      <c r="A39" s="105" t="str">
        <f>'Data shares'!C34</f>
        <v>BEL</v>
      </c>
      <c r="B39" s="143">
        <f>VLOOKUP($A39,'Data shares'!$C:$FA,118)</f>
        <v>0.7</v>
      </c>
      <c r="C39" s="143">
        <f>VLOOKUP($A39,'Data shares'!$C:$FA,119)</f>
        <v>0.52</v>
      </c>
      <c r="D39" s="143">
        <f>VLOOKUP($A39,'Data shares'!$C:$FA,121)*100</f>
        <v>34.619999999999997</v>
      </c>
      <c r="E39" s="143">
        <f>VLOOKUP($A39,'Data shares'!$C:$FA,124)</f>
        <v>0.64</v>
      </c>
      <c r="F39" s="143">
        <f>VLOOKUP($A39,'Data shares'!$C:$FA,125)</f>
        <v>0.37</v>
      </c>
      <c r="G39" s="143">
        <f>VLOOKUP($A39,'Data shares'!$C:$FA,127)*100</f>
        <v>72.97</v>
      </c>
      <c r="H39" s="103">
        <f>VLOOKUP($A39,'OI(Volume)'!$A$7:$O$427,8)</f>
        <v>44340300</v>
      </c>
      <c r="I39" s="103">
        <f>VLOOKUP($A39,'OI(Volume)'!$A$7:$O$427,9)</f>
        <v>-55252950</v>
      </c>
      <c r="J39" s="103">
        <f>VLOOKUP($A39,'OI(Volume)'!$A$7:$O$427,11)</f>
        <v>31084950</v>
      </c>
      <c r="K39" s="103">
        <f>VLOOKUP($A39,'OI(Volume)'!$A$7:$O$427,12)</f>
        <v>-21158400</v>
      </c>
      <c r="L39" s="103">
        <f>VLOOKUP($A39,'OI(Value)'!$A$7:$O$306,8,0)</f>
        <v>1707</v>
      </c>
      <c r="M39" s="103">
        <f>VLOOKUP($A39,'OI(Value)'!$A$7:$O$306,9,0)</f>
        <v>-2127</v>
      </c>
      <c r="N39" s="103">
        <f>VLOOKUP($A39,'OI(Value)'!$A$7:$O$306,11,0)</f>
        <v>1196</v>
      </c>
      <c r="O39" s="103">
        <f>VLOOKUP($A39,'OI(Value)'!$A$7:$O$306,12,0)</f>
        <v>-814</v>
      </c>
      <c r="P39" s="179">
        <f>VLOOKUP(A39,'OI(Value)'!A39:O240,8,0)</f>
        <v>1707</v>
      </c>
      <c r="Q39" s="179">
        <f>VLOOKUP(A39,'OI(Value)'!A39:O240,9,0)</f>
        <v>-2127</v>
      </c>
      <c r="R39" s="179">
        <f>VLOOKUP(A39,'OI(Value)'!A39:O240,11,0)</f>
        <v>1196</v>
      </c>
      <c r="S39" s="179">
        <f>VLOOKUP(A39,'OI(Value)'!A39:O240,11,0)</f>
        <v>1196</v>
      </c>
    </row>
    <row r="40" spans="1:19" x14ac:dyDescent="0.25">
      <c r="A40" s="105" t="str">
        <f>'Data shares'!C35</f>
        <v>BHARATFORG</v>
      </c>
      <c r="B40" s="143">
        <f>VLOOKUP($A40,'Data shares'!$C:$FA,118)</f>
        <v>1.17</v>
      </c>
      <c r="C40" s="143">
        <f>VLOOKUP($A40,'Data shares'!$C:$FA,119)</f>
        <v>0.69</v>
      </c>
      <c r="D40" s="143">
        <f>VLOOKUP($A40,'Data shares'!$C:$FA,121)*100</f>
        <v>69.569999999999993</v>
      </c>
      <c r="E40" s="143">
        <f>VLOOKUP($A40,'Data shares'!$C:$FA,124)</f>
        <v>0.97</v>
      </c>
      <c r="F40" s="143">
        <f>VLOOKUP($A40,'Data shares'!$C:$FA,125)</f>
        <v>1.1299999999999999</v>
      </c>
      <c r="G40" s="143">
        <f>VLOOKUP($A40,'Data shares'!$C:$FA,127)*100</f>
        <v>-14.16</v>
      </c>
      <c r="H40" s="103">
        <f>VLOOKUP($A40,'OI(Volume)'!$A$7:$O$427,8)</f>
        <v>1520000</v>
      </c>
      <c r="I40" s="103">
        <f>VLOOKUP($A40,'OI(Volume)'!$A$7:$O$427,9)</f>
        <v>-2295000</v>
      </c>
      <c r="J40" s="103">
        <f>VLOOKUP($A40,'OI(Volume)'!$A$7:$O$427,11)</f>
        <v>1774000</v>
      </c>
      <c r="K40" s="103">
        <f>VLOOKUP($A40,'OI(Volume)'!$A$7:$O$427,12)</f>
        <v>-850000</v>
      </c>
      <c r="L40" s="103">
        <f>VLOOKUP($A40,'OI(Value)'!$A$7:$O$306,8,0)</f>
        <v>178</v>
      </c>
      <c r="M40" s="103">
        <f>VLOOKUP($A40,'OI(Value)'!$A$7:$O$306,9,0)</f>
        <v>-269</v>
      </c>
      <c r="N40" s="103">
        <f>VLOOKUP($A40,'OI(Value)'!$A$7:$O$306,11,0)</f>
        <v>208</v>
      </c>
      <c r="O40" s="103">
        <f>VLOOKUP($A40,'OI(Value)'!$A$7:$O$306,12,0)</f>
        <v>-100</v>
      </c>
      <c r="P40" s="179">
        <f>VLOOKUP(A40,'OI(Value)'!A40:O241,8,0)</f>
        <v>178</v>
      </c>
      <c r="Q40" s="179">
        <f>VLOOKUP(A40,'OI(Value)'!A40:O241,9,0)</f>
        <v>-269</v>
      </c>
      <c r="R40" s="179">
        <f>VLOOKUP(A40,'OI(Value)'!A40:O241,11,0)</f>
        <v>208</v>
      </c>
      <c r="S40" s="179">
        <f>VLOOKUP(A40,'OI(Value)'!A40:O241,11,0)</f>
        <v>208</v>
      </c>
    </row>
    <row r="41" spans="1:19" x14ac:dyDescent="0.25">
      <c r="A41" s="105" t="str">
        <f>'Data shares'!C36</f>
        <v>BHARTIARTL</v>
      </c>
      <c r="B41" s="143">
        <f>VLOOKUP($A41,'Data shares'!$C:$FA,118)</f>
        <v>0.63</v>
      </c>
      <c r="C41" s="143">
        <f>VLOOKUP($A41,'Data shares'!$C:$FA,119)</f>
        <v>0.46</v>
      </c>
      <c r="D41" s="143">
        <f>VLOOKUP($A41,'Data shares'!$C:$FA,121)*100</f>
        <v>36.96</v>
      </c>
      <c r="E41" s="143">
        <f>VLOOKUP($A41,'Data shares'!$C:$FA,124)</f>
        <v>0.53</v>
      </c>
      <c r="F41" s="143">
        <f>VLOOKUP($A41,'Data shares'!$C:$FA,125)</f>
        <v>0.41</v>
      </c>
      <c r="G41" s="143">
        <f>VLOOKUP($A41,'Data shares'!$C:$FA,127)*100</f>
        <v>29.270000000000003</v>
      </c>
      <c r="H41" s="103">
        <f>VLOOKUP($A41,'OI(Volume)'!$A$7:$O$427,8)</f>
        <v>4568075</v>
      </c>
      <c r="I41" s="103">
        <f>VLOOKUP($A41,'OI(Volume)'!$A$7:$O$427,9)</f>
        <v>-12263075</v>
      </c>
      <c r="J41" s="103">
        <f>VLOOKUP($A41,'OI(Volume)'!$A$7:$O$427,11)</f>
        <v>2858075</v>
      </c>
      <c r="K41" s="103">
        <f>VLOOKUP($A41,'OI(Volume)'!$A$7:$O$427,12)</f>
        <v>-4885850</v>
      </c>
      <c r="L41" s="103">
        <f>VLOOKUP($A41,'OI(Value)'!$A$7:$O$306,8,0)</f>
        <v>878</v>
      </c>
      <c r="M41" s="103">
        <f>VLOOKUP($A41,'OI(Value)'!$A$7:$O$306,9,0)</f>
        <v>-2357</v>
      </c>
      <c r="N41" s="103">
        <f>VLOOKUP($A41,'OI(Value)'!$A$7:$O$306,11,0)</f>
        <v>549</v>
      </c>
      <c r="O41" s="103">
        <f>VLOOKUP($A41,'OI(Value)'!$A$7:$O$306,12,0)</f>
        <v>-939</v>
      </c>
      <c r="P41" s="179">
        <f>VLOOKUP(A41,'OI(Value)'!A41:O242,8,0)</f>
        <v>878</v>
      </c>
      <c r="Q41" s="179">
        <f>VLOOKUP(A41,'OI(Value)'!A41:O242,9,0)</f>
        <v>-2357</v>
      </c>
      <c r="R41" s="179">
        <f>VLOOKUP(A41,'OI(Value)'!A41:O242,11,0)</f>
        <v>549</v>
      </c>
      <c r="S41" s="179">
        <f>VLOOKUP(A41,'OI(Value)'!A41:O242,11,0)</f>
        <v>549</v>
      </c>
    </row>
    <row r="42" spans="1:19" x14ac:dyDescent="0.25">
      <c r="A42" s="105" t="str">
        <f>'Data shares'!C37</f>
        <v>BHEL</v>
      </c>
      <c r="B42" s="143">
        <f>VLOOKUP($A42,'Data shares'!$C:$FA,118)</f>
        <v>0.84</v>
      </c>
      <c r="C42" s="143">
        <f>VLOOKUP($A42,'Data shares'!$C:$FA,119)</f>
        <v>0.56000000000000005</v>
      </c>
      <c r="D42" s="143">
        <f>VLOOKUP($A42,'Data shares'!$C:$FA,121)*100</f>
        <v>50</v>
      </c>
      <c r="E42" s="143">
        <f>VLOOKUP($A42,'Data shares'!$C:$FA,124)</f>
        <v>0.65</v>
      </c>
      <c r="F42" s="143">
        <f>VLOOKUP($A42,'Data shares'!$C:$FA,125)</f>
        <v>0.56000000000000005</v>
      </c>
      <c r="G42" s="143">
        <f>VLOOKUP($A42,'Data shares'!$C:$FA,127)*100</f>
        <v>16.07</v>
      </c>
      <c r="H42" s="103">
        <f>VLOOKUP($A42,'OI(Volume)'!$A$7:$O$427,8)</f>
        <v>13487250</v>
      </c>
      <c r="I42" s="103">
        <f>VLOOKUP($A42,'OI(Volume)'!$A$7:$O$427,9)</f>
        <v>-20031375</v>
      </c>
      <c r="J42" s="103">
        <f>VLOOKUP($A42,'OI(Volume)'!$A$7:$O$427,11)</f>
        <v>11308500</v>
      </c>
      <c r="K42" s="103">
        <f>VLOOKUP($A42,'OI(Volume)'!$A$7:$O$427,12)</f>
        <v>-7468125</v>
      </c>
      <c r="L42" s="103">
        <f>VLOOKUP($A42,'OI(Value)'!$A$7:$O$306,8,0)</f>
        <v>322</v>
      </c>
      <c r="M42" s="103">
        <f>VLOOKUP($A42,'OI(Value)'!$A$7:$O$306,9,0)</f>
        <v>-479</v>
      </c>
      <c r="N42" s="103">
        <f>VLOOKUP($A42,'OI(Value)'!$A$7:$O$306,11,0)</f>
        <v>270</v>
      </c>
      <c r="O42" s="103">
        <f>VLOOKUP($A42,'OI(Value)'!$A$7:$O$306,12,0)</f>
        <v>-179</v>
      </c>
      <c r="P42" s="179">
        <f>VLOOKUP(A42,'OI(Value)'!A42:O243,8,0)</f>
        <v>322</v>
      </c>
      <c r="Q42" s="179">
        <f>VLOOKUP(A42,'OI(Value)'!A42:O243,9,0)</f>
        <v>-479</v>
      </c>
      <c r="R42" s="179">
        <f>VLOOKUP(A42,'OI(Value)'!A42:O243,11,0)</f>
        <v>270</v>
      </c>
      <c r="S42" s="179">
        <f>VLOOKUP(A42,'OI(Value)'!A42:O243,11,0)</f>
        <v>270</v>
      </c>
    </row>
    <row r="43" spans="1:19" x14ac:dyDescent="0.25">
      <c r="A43" s="105" t="str">
        <f>'Data shares'!C38</f>
        <v>BIOCON</v>
      </c>
      <c r="B43" s="143">
        <f>VLOOKUP($A43,'Data shares'!$C:$FA,118)</f>
        <v>0.56000000000000005</v>
      </c>
      <c r="C43" s="143">
        <f>VLOOKUP($A43,'Data shares'!$C:$FA,119)</f>
        <v>0.63</v>
      </c>
      <c r="D43" s="143">
        <f>VLOOKUP($A43,'Data shares'!$C:$FA,121)*100</f>
        <v>-11.110000000000001</v>
      </c>
      <c r="E43" s="143">
        <f>VLOOKUP($A43,'Data shares'!$C:$FA,124)</f>
        <v>0.66</v>
      </c>
      <c r="F43" s="143">
        <f>VLOOKUP($A43,'Data shares'!$C:$FA,125)</f>
        <v>0.44</v>
      </c>
      <c r="G43" s="143">
        <f>VLOOKUP($A43,'Data shares'!$C:$FA,127)*100</f>
        <v>50</v>
      </c>
      <c r="H43" s="103">
        <f>VLOOKUP($A43,'OI(Volume)'!$A$7:$O$427,8)</f>
        <v>8167500</v>
      </c>
      <c r="I43" s="103">
        <f>VLOOKUP($A43,'OI(Volume)'!$A$7:$O$427,9)</f>
        <v>-12655000</v>
      </c>
      <c r="J43" s="103">
        <f>VLOOKUP($A43,'OI(Volume)'!$A$7:$O$427,11)</f>
        <v>4592500</v>
      </c>
      <c r="K43" s="103">
        <f>VLOOKUP($A43,'OI(Volume)'!$A$7:$O$427,12)</f>
        <v>-8507500</v>
      </c>
      <c r="L43" s="103">
        <f>VLOOKUP($A43,'OI(Value)'!$A$7:$O$306,8,0)</f>
        <v>321</v>
      </c>
      <c r="M43" s="103">
        <f>VLOOKUP($A43,'OI(Value)'!$A$7:$O$306,9,0)</f>
        <v>-498</v>
      </c>
      <c r="N43" s="103">
        <f>VLOOKUP($A43,'OI(Value)'!$A$7:$O$306,11,0)</f>
        <v>181</v>
      </c>
      <c r="O43" s="103">
        <f>VLOOKUP($A43,'OI(Value)'!$A$7:$O$306,12,0)</f>
        <v>-335</v>
      </c>
      <c r="P43" s="179">
        <f>VLOOKUP(A43,'OI(Value)'!A43:O244,8,0)</f>
        <v>321</v>
      </c>
      <c r="Q43" s="179">
        <f>VLOOKUP(A43,'OI(Value)'!A43:O244,9,0)</f>
        <v>-498</v>
      </c>
      <c r="R43" s="179">
        <f>VLOOKUP(A43,'OI(Value)'!A43:O244,11,0)</f>
        <v>181</v>
      </c>
      <c r="S43" s="179">
        <f>VLOOKUP(A43,'OI(Value)'!A43:O244,11,0)</f>
        <v>181</v>
      </c>
    </row>
    <row r="44" spans="1:19" x14ac:dyDescent="0.25">
      <c r="A44" s="105" t="str">
        <f>'Data shares'!C39</f>
        <v>BLUESTARCO</v>
      </c>
      <c r="B44" s="143">
        <f>VLOOKUP($A44,'Data shares'!$C:$FA,118)</f>
        <v>0.5</v>
      </c>
      <c r="C44" s="143">
        <f>VLOOKUP($A44,'Data shares'!$C:$FA,119)</f>
        <v>0.92</v>
      </c>
      <c r="D44" s="143">
        <f>VLOOKUP($A44,'Data shares'!$C:$FA,121)*100</f>
        <v>-45.65</v>
      </c>
      <c r="E44" s="143">
        <f>VLOOKUP($A44,'Data shares'!$C:$FA,124)</f>
        <v>0.94</v>
      </c>
      <c r="F44" s="143">
        <f>VLOOKUP($A44,'Data shares'!$C:$FA,125)</f>
        <v>0.48</v>
      </c>
      <c r="G44" s="143">
        <f>VLOOKUP($A44,'Data shares'!$C:$FA,127)*100</f>
        <v>95.83</v>
      </c>
      <c r="H44" s="103">
        <f>VLOOKUP($A44,'OI(Volume)'!$A$7:$O$427,8)</f>
        <v>201500</v>
      </c>
      <c r="I44" s="103">
        <f>VLOOKUP($A44,'OI(Volume)'!$A$7:$O$427,9)</f>
        <v>-837525</v>
      </c>
      <c r="J44" s="103">
        <f>VLOOKUP($A44,'OI(Volume)'!$A$7:$O$427,11)</f>
        <v>99775</v>
      </c>
      <c r="K44" s="103">
        <f>VLOOKUP($A44,'OI(Volume)'!$A$7:$O$427,12)</f>
        <v>-858325</v>
      </c>
      <c r="L44" s="103">
        <f>VLOOKUP($A44,'OI(Value)'!$A$7:$O$306,8,0)</f>
        <v>35</v>
      </c>
      <c r="M44" s="103">
        <f>VLOOKUP($A44,'OI(Value)'!$A$7:$O$306,9,0)</f>
        <v>-146</v>
      </c>
      <c r="N44" s="103">
        <f>VLOOKUP($A44,'OI(Value)'!$A$7:$O$306,11,0)</f>
        <v>17</v>
      </c>
      <c r="O44" s="103">
        <f>VLOOKUP($A44,'OI(Value)'!$A$7:$O$306,12,0)</f>
        <v>-150</v>
      </c>
      <c r="P44" s="179">
        <f>VLOOKUP(A44,'OI(Value)'!A44:O245,8,0)</f>
        <v>35</v>
      </c>
      <c r="Q44" s="179">
        <f>VLOOKUP(A44,'OI(Value)'!A44:O245,9,0)</f>
        <v>-146</v>
      </c>
      <c r="R44" s="179">
        <f>VLOOKUP(A44,'OI(Value)'!A44:O245,11,0)</f>
        <v>17</v>
      </c>
      <c r="S44" s="179">
        <f>VLOOKUP(A44,'OI(Value)'!A44:O245,11,0)</f>
        <v>17</v>
      </c>
    </row>
    <row r="45" spans="1:19" x14ac:dyDescent="0.25">
      <c r="A45" s="105" t="str">
        <f>'Data shares'!C40</f>
        <v>BOSCHLTD</v>
      </c>
      <c r="B45" s="143">
        <f>VLOOKUP($A45,'Data shares'!$C:$FA,118)</f>
        <v>0.57999999999999996</v>
      </c>
      <c r="C45" s="143">
        <f>VLOOKUP($A45,'Data shares'!$C:$FA,119)</f>
        <v>0.65</v>
      </c>
      <c r="D45" s="143">
        <f>VLOOKUP($A45,'Data shares'!$C:$FA,121)*100</f>
        <v>-10.77</v>
      </c>
      <c r="E45" s="143">
        <f>VLOOKUP($A45,'Data shares'!$C:$FA,124)</f>
        <v>0.56999999999999995</v>
      </c>
      <c r="F45" s="143">
        <f>VLOOKUP($A45,'Data shares'!$C:$FA,125)</f>
        <v>0.49</v>
      </c>
      <c r="G45" s="143">
        <f>VLOOKUP($A45,'Data shares'!$C:$FA,127)*100</f>
        <v>16.329999999999998</v>
      </c>
      <c r="H45" s="103">
        <f>VLOOKUP($A45,'OI(Volume)'!$A$7:$O$427,8)</f>
        <v>61700</v>
      </c>
      <c r="I45" s="103">
        <f>VLOOKUP($A45,'OI(Volume)'!$A$7:$O$427,9)</f>
        <v>-336925</v>
      </c>
      <c r="J45" s="103">
        <f>VLOOKUP($A45,'OI(Volume)'!$A$7:$O$427,11)</f>
        <v>35650</v>
      </c>
      <c r="K45" s="103">
        <f>VLOOKUP($A45,'OI(Volume)'!$A$7:$O$427,12)</f>
        <v>-222075</v>
      </c>
      <c r="L45" s="103">
        <f>VLOOKUP($A45,'OI(Value)'!$A$7:$O$306,8,0)</f>
        <v>250</v>
      </c>
      <c r="M45" s="103">
        <f>VLOOKUP($A45,'OI(Value)'!$A$7:$O$306,9,0)</f>
        <v>-1364</v>
      </c>
      <c r="N45" s="103">
        <f>VLOOKUP($A45,'OI(Value)'!$A$7:$O$306,11,0)</f>
        <v>144</v>
      </c>
      <c r="O45" s="103">
        <f>VLOOKUP($A45,'OI(Value)'!$A$7:$O$306,12,0)</f>
        <v>-899</v>
      </c>
      <c r="P45" s="179">
        <f>VLOOKUP(A45,'OI(Value)'!A45:O246,8,0)</f>
        <v>250</v>
      </c>
      <c r="Q45" s="179">
        <f>VLOOKUP(A45,'OI(Value)'!A45:O246,9,0)</f>
        <v>-1364</v>
      </c>
      <c r="R45" s="179">
        <f>VLOOKUP(A45,'OI(Value)'!A45:O246,11,0)</f>
        <v>144</v>
      </c>
      <c r="S45" s="179">
        <f>VLOOKUP(A45,'OI(Value)'!A45:O246,11,0)</f>
        <v>144</v>
      </c>
    </row>
    <row r="46" spans="1:19" x14ac:dyDescent="0.25">
      <c r="A46" s="105" t="str">
        <f>'Data shares'!C41</f>
        <v>BPCL</v>
      </c>
      <c r="B46" s="143">
        <f>VLOOKUP($A46,'Data shares'!$C:$FA,118)</f>
        <v>0.62</v>
      </c>
      <c r="C46" s="143">
        <f>VLOOKUP($A46,'Data shares'!$C:$FA,119)</f>
        <v>0.47</v>
      </c>
      <c r="D46" s="143">
        <f>VLOOKUP($A46,'Data shares'!$C:$FA,121)*100</f>
        <v>31.91</v>
      </c>
      <c r="E46" s="143">
        <f>VLOOKUP($A46,'Data shares'!$C:$FA,124)</f>
        <v>0.55000000000000004</v>
      </c>
      <c r="F46" s="143">
        <f>VLOOKUP($A46,'Data shares'!$C:$FA,125)</f>
        <v>0.22</v>
      </c>
      <c r="G46" s="143">
        <f>VLOOKUP($A46,'Data shares'!$C:$FA,127)*100</f>
        <v>150</v>
      </c>
      <c r="H46" s="103">
        <f>VLOOKUP($A46,'OI(Volume)'!$A$7:$O$427,8)</f>
        <v>7990850</v>
      </c>
      <c r="I46" s="103">
        <f>VLOOKUP($A46,'OI(Volume)'!$A$7:$O$427,9)</f>
        <v>-16949450</v>
      </c>
      <c r="J46" s="103">
        <f>VLOOKUP($A46,'OI(Volume)'!$A$7:$O$427,11)</f>
        <v>4961200</v>
      </c>
      <c r="K46" s="103">
        <f>VLOOKUP($A46,'OI(Volume)'!$A$7:$O$427,12)</f>
        <v>-6705125</v>
      </c>
      <c r="L46" s="103">
        <f>VLOOKUP($A46,'OI(Value)'!$A$7:$O$306,8,0)</f>
        <v>262</v>
      </c>
      <c r="M46" s="103">
        <f>VLOOKUP($A46,'OI(Value)'!$A$7:$O$306,9,0)</f>
        <v>-557</v>
      </c>
      <c r="N46" s="103">
        <f>VLOOKUP($A46,'OI(Value)'!$A$7:$O$306,11,0)</f>
        <v>163</v>
      </c>
      <c r="O46" s="103">
        <f>VLOOKUP($A46,'OI(Value)'!$A$7:$O$306,12,0)</f>
        <v>-220</v>
      </c>
      <c r="P46" s="179">
        <f>VLOOKUP(A46,'OI(Value)'!A46:O247,8,0)</f>
        <v>262</v>
      </c>
      <c r="Q46" s="179">
        <f>VLOOKUP(A46,'OI(Value)'!A46:O247,9,0)</f>
        <v>-557</v>
      </c>
      <c r="R46" s="179">
        <f>VLOOKUP(A46,'OI(Value)'!A46:O247,11,0)</f>
        <v>163</v>
      </c>
      <c r="S46" s="179">
        <f>VLOOKUP(A46,'OI(Value)'!A46:O247,11,0)</f>
        <v>163</v>
      </c>
    </row>
    <row r="47" spans="1:19" x14ac:dyDescent="0.25">
      <c r="A47" s="105" t="str">
        <f>'Data shares'!C42</f>
        <v>BRITANNIA</v>
      </c>
      <c r="B47" s="143">
        <f>VLOOKUP($A47,'Data shares'!$C:$FA,118)</f>
        <v>0.51</v>
      </c>
      <c r="C47" s="143">
        <f>VLOOKUP($A47,'Data shares'!$C:$FA,119)</f>
        <v>0.66</v>
      </c>
      <c r="D47" s="143">
        <f>VLOOKUP($A47,'Data shares'!$C:$FA,121)*100</f>
        <v>-22.73</v>
      </c>
      <c r="E47" s="143">
        <f>VLOOKUP($A47,'Data shares'!$C:$FA,124)</f>
        <v>0.28000000000000003</v>
      </c>
      <c r="F47" s="143">
        <f>VLOOKUP($A47,'Data shares'!$C:$FA,125)</f>
        <v>0.39</v>
      </c>
      <c r="G47" s="143">
        <f>VLOOKUP($A47,'Data shares'!$C:$FA,127)*100</f>
        <v>-28.21</v>
      </c>
      <c r="H47" s="103">
        <f>VLOOKUP($A47,'OI(Volume)'!$A$7:$O$427,8)</f>
        <v>202375</v>
      </c>
      <c r="I47" s="103">
        <f>VLOOKUP($A47,'OI(Volume)'!$A$7:$O$427,9)</f>
        <v>-440625</v>
      </c>
      <c r="J47" s="103">
        <f>VLOOKUP($A47,'OI(Volume)'!$A$7:$O$427,11)</f>
        <v>103000</v>
      </c>
      <c r="K47" s="103">
        <f>VLOOKUP($A47,'OI(Volume)'!$A$7:$O$427,12)</f>
        <v>-321125</v>
      </c>
      <c r="L47" s="103">
        <f>VLOOKUP($A47,'OI(Value)'!$A$7:$O$306,8,0)</f>
        <v>116</v>
      </c>
      <c r="M47" s="103">
        <f>VLOOKUP($A47,'OI(Value)'!$A$7:$O$306,9,0)</f>
        <v>-252</v>
      </c>
      <c r="N47" s="103">
        <f>VLOOKUP($A47,'OI(Value)'!$A$7:$O$306,11,0)</f>
        <v>59</v>
      </c>
      <c r="O47" s="103">
        <f>VLOOKUP($A47,'OI(Value)'!$A$7:$O$306,12,0)</f>
        <v>-184</v>
      </c>
      <c r="P47" s="179">
        <f>VLOOKUP(A47,'OI(Value)'!A47:O248,8,0)</f>
        <v>116</v>
      </c>
      <c r="Q47" s="179">
        <f>VLOOKUP(A47,'OI(Value)'!A47:O248,9,0)</f>
        <v>-252</v>
      </c>
      <c r="R47" s="179">
        <f>VLOOKUP(A47,'OI(Value)'!A47:O248,11,0)</f>
        <v>59</v>
      </c>
      <c r="S47" s="179">
        <f>VLOOKUP(A47,'OI(Value)'!A47:O248,11,0)</f>
        <v>59</v>
      </c>
    </row>
    <row r="48" spans="1:19" x14ac:dyDescent="0.25">
      <c r="A48" s="105" t="str">
        <f>'Data shares'!C43</f>
        <v>BSE</v>
      </c>
      <c r="B48" s="143">
        <f>VLOOKUP($A48,'Data shares'!$C:$FA,118)</f>
        <v>0.85</v>
      </c>
      <c r="C48" s="143">
        <f>VLOOKUP($A48,'Data shares'!$C:$FA,119)</f>
        <v>0.61</v>
      </c>
      <c r="D48" s="143">
        <f>VLOOKUP($A48,'Data shares'!$C:$FA,121)*100</f>
        <v>39.340000000000003</v>
      </c>
      <c r="E48" s="143">
        <f>VLOOKUP($A48,'Data shares'!$C:$FA,124)</f>
        <v>0.69</v>
      </c>
      <c r="F48" s="143">
        <f>VLOOKUP($A48,'Data shares'!$C:$FA,125)</f>
        <v>0.53</v>
      </c>
      <c r="G48" s="143">
        <f>VLOOKUP($A48,'Data shares'!$C:$FA,127)*100</f>
        <v>30.19</v>
      </c>
      <c r="H48" s="103">
        <f>VLOOKUP($A48,'OI(Volume)'!$A$7:$O$427,8)</f>
        <v>3528000</v>
      </c>
      <c r="I48" s="103">
        <f>VLOOKUP($A48,'OI(Volume)'!$A$7:$O$427,9)</f>
        <v>-9698250</v>
      </c>
      <c r="J48" s="103">
        <f>VLOOKUP($A48,'OI(Volume)'!$A$7:$O$427,11)</f>
        <v>2986875</v>
      </c>
      <c r="K48" s="103">
        <f>VLOOKUP($A48,'OI(Volume)'!$A$7:$O$427,12)</f>
        <v>-5127750</v>
      </c>
      <c r="L48" s="103">
        <f>VLOOKUP($A48,'OI(Value)'!$A$7:$O$306,8,0)</f>
        <v>860</v>
      </c>
      <c r="M48" s="103">
        <f>VLOOKUP($A48,'OI(Value)'!$A$7:$O$306,9,0)</f>
        <v>-2364</v>
      </c>
      <c r="N48" s="103">
        <f>VLOOKUP($A48,'OI(Value)'!$A$7:$O$306,11,0)</f>
        <v>728</v>
      </c>
      <c r="O48" s="103">
        <f>VLOOKUP($A48,'OI(Value)'!$A$7:$O$306,12,0)</f>
        <v>-1250</v>
      </c>
      <c r="P48" s="179">
        <f>VLOOKUP(A48,'OI(Value)'!A48:O249,8,0)</f>
        <v>860</v>
      </c>
      <c r="Q48" s="179">
        <f>VLOOKUP(A48,'OI(Value)'!A48:O249,9,0)</f>
        <v>-2364</v>
      </c>
      <c r="R48" s="179">
        <f>VLOOKUP(A48,'OI(Value)'!A48:O249,11,0)</f>
        <v>728</v>
      </c>
      <c r="S48" s="179">
        <f>VLOOKUP(A48,'OI(Value)'!A48:O249,11,0)</f>
        <v>728</v>
      </c>
    </row>
    <row r="49" spans="1:19" x14ac:dyDescent="0.25">
      <c r="A49" s="105" t="str">
        <f>'Data shares'!C44</f>
        <v>BSOFT</v>
      </c>
      <c r="B49" s="143">
        <f>VLOOKUP($A49,'Data shares'!$C:$FA,118)</f>
        <v>0.44</v>
      </c>
      <c r="C49" s="143">
        <f>VLOOKUP($A49,'Data shares'!$C:$FA,119)</f>
        <v>0.47</v>
      </c>
      <c r="D49" s="143">
        <f>VLOOKUP($A49,'Data shares'!$C:$FA,121)*100</f>
        <v>-6.38</v>
      </c>
      <c r="E49" s="143">
        <f>VLOOKUP($A49,'Data shares'!$C:$FA,124)</f>
        <v>1.02</v>
      </c>
      <c r="F49" s="143">
        <f>VLOOKUP($A49,'Data shares'!$C:$FA,125)</f>
        <v>0.36</v>
      </c>
      <c r="G49" s="143">
        <f>VLOOKUP($A49,'Data shares'!$C:$FA,127)*100</f>
        <v>183.32999999999998</v>
      </c>
      <c r="H49" s="103">
        <f>VLOOKUP($A49,'OI(Volume)'!$A$7:$O$427,8)</f>
        <v>5255900</v>
      </c>
      <c r="I49" s="103">
        <f>VLOOKUP($A49,'OI(Volume)'!$A$7:$O$427,9)</f>
        <v>-783900</v>
      </c>
      <c r="J49" s="103">
        <f>VLOOKUP($A49,'OI(Volume)'!$A$7:$O$427,11)</f>
        <v>2337400</v>
      </c>
      <c r="K49" s="103">
        <f>VLOOKUP($A49,'OI(Volume)'!$A$7:$O$427,12)</f>
        <v>-525200</v>
      </c>
      <c r="L49" s="103">
        <f>VLOOKUP($A49,'OI(Value)'!$A$7:$O$306,8,0)</f>
        <v>0</v>
      </c>
      <c r="M49" s="103">
        <f>VLOOKUP($A49,'OI(Value)'!$A$7:$O$306,9,0)</f>
        <v>0</v>
      </c>
      <c r="N49" s="103">
        <f>VLOOKUP($A49,'OI(Value)'!$A$7:$O$306,11,0)</f>
        <v>0</v>
      </c>
      <c r="O49" s="103">
        <f>VLOOKUP($A49,'OI(Value)'!$A$7:$O$306,12,0)</f>
        <v>0</v>
      </c>
      <c r="P49" s="179">
        <f>VLOOKUP(A49,'OI(Value)'!A49:O250,8,0)</f>
        <v>0</v>
      </c>
      <c r="Q49" s="179">
        <f>VLOOKUP(A49,'OI(Value)'!A49:O250,9,0)</f>
        <v>0</v>
      </c>
      <c r="R49" s="179">
        <f>VLOOKUP(A49,'OI(Value)'!A49:O250,11,0)</f>
        <v>0</v>
      </c>
      <c r="S49" s="179">
        <f>VLOOKUP(A49,'OI(Value)'!A49:O250,11,0)</f>
        <v>0</v>
      </c>
    </row>
    <row r="50" spans="1:19" x14ac:dyDescent="0.25">
      <c r="A50" s="105" t="str">
        <f>'Data shares'!C45</f>
        <v>CAMS</v>
      </c>
      <c r="B50" s="143">
        <f>VLOOKUP($A50,'Data shares'!$C:$FA,118)</f>
        <v>0.66</v>
      </c>
      <c r="C50" s="143">
        <f>VLOOKUP($A50,'Data shares'!$C:$FA,119)</f>
        <v>0.72</v>
      </c>
      <c r="D50" s="143">
        <f>VLOOKUP($A50,'Data shares'!$C:$FA,121)*100</f>
        <v>-8.33</v>
      </c>
      <c r="E50" s="143">
        <f>VLOOKUP($A50,'Data shares'!$C:$FA,124)</f>
        <v>0.81</v>
      </c>
      <c r="F50" s="143">
        <f>VLOOKUP($A50,'Data shares'!$C:$FA,125)</f>
        <v>0.52</v>
      </c>
      <c r="G50" s="143">
        <f>VLOOKUP($A50,'Data shares'!$C:$FA,127)*100</f>
        <v>55.769999999999996</v>
      </c>
      <c r="H50" s="103">
        <f>VLOOKUP($A50,'OI(Volume)'!$A$7:$O$427,8)</f>
        <v>666600</v>
      </c>
      <c r="I50" s="103">
        <f>VLOOKUP($A50,'OI(Volume)'!$A$7:$O$427,9)</f>
        <v>-698100</v>
      </c>
      <c r="J50" s="103">
        <f>VLOOKUP($A50,'OI(Volume)'!$A$7:$O$427,11)</f>
        <v>442950</v>
      </c>
      <c r="K50" s="103">
        <f>VLOOKUP($A50,'OI(Volume)'!$A$7:$O$427,12)</f>
        <v>-544950</v>
      </c>
      <c r="L50" s="103">
        <f>VLOOKUP($A50,'OI(Value)'!$A$7:$O$306,8,0)</f>
        <v>250</v>
      </c>
      <c r="M50" s="103">
        <f>VLOOKUP($A50,'OI(Value)'!$A$7:$O$306,9,0)</f>
        <v>-262</v>
      </c>
      <c r="N50" s="103">
        <f>VLOOKUP($A50,'OI(Value)'!$A$7:$O$306,11,0)</f>
        <v>166</v>
      </c>
      <c r="O50" s="103">
        <f>VLOOKUP($A50,'OI(Value)'!$A$7:$O$306,12,0)</f>
        <v>-204</v>
      </c>
      <c r="P50" s="179">
        <f>VLOOKUP(A50,'OI(Value)'!A50:O251,8,0)</f>
        <v>250</v>
      </c>
      <c r="Q50" s="179">
        <f>VLOOKUP(A50,'OI(Value)'!A50:O251,9,0)</f>
        <v>-262</v>
      </c>
      <c r="R50" s="179">
        <f>VLOOKUP(A50,'OI(Value)'!A50:O251,11,0)</f>
        <v>166</v>
      </c>
      <c r="S50" s="179">
        <f>VLOOKUP(A50,'OI(Value)'!A50:O251,11,0)</f>
        <v>166</v>
      </c>
    </row>
    <row r="51" spans="1:19" x14ac:dyDescent="0.25">
      <c r="A51" s="105" t="str">
        <f>'Data shares'!C46</f>
        <v>CANBK</v>
      </c>
      <c r="B51" s="143">
        <f>VLOOKUP($A51,'Data shares'!$C:$FA,118)</f>
        <v>0.76</v>
      </c>
      <c r="C51" s="143">
        <f>VLOOKUP($A51,'Data shares'!$C:$FA,119)</f>
        <v>0.65</v>
      </c>
      <c r="D51" s="143">
        <f>VLOOKUP($A51,'Data shares'!$C:$FA,121)*100</f>
        <v>16.919999999999998</v>
      </c>
      <c r="E51" s="143">
        <f>VLOOKUP($A51,'Data shares'!$C:$FA,124)</f>
        <v>0.68</v>
      </c>
      <c r="F51" s="143">
        <f>VLOOKUP($A51,'Data shares'!$C:$FA,125)</f>
        <v>0.41</v>
      </c>
      <c r="G51" s="143">
        <f>VLOOKUP($A51,'Data shares'!$C:$FA,127)*100</f>
        <v>65.849999999999994</v>
      </c>
      <c r="H51" s="103">
        <f>VLOOKUP($A51,'OI(Volume)'!$A$7:$O$427,8)</f>
        <v>71921250</v>
      </c>
      <c r="I51" s="103">
        <f>VLOOKUP($A51,'OI(Volume)'!$A$7:$O$427,9)</f>
        <v>-82485000</v>
      </c>
      <c r="J51" s="103">
        <f>VLOOKUP($A51,'OI(Volume)'!$A$7:$O$427,11)</f>
        <v>54600750</v>
      </c>
      <c r="K51" s="103">
        <f>VLOOKUP($A51,'OI(Volume)'!$A$7:$O$427,12)</f>
        <v>-45771750</v>
      </c>
      <c r="L51" s="103">
        <f>VLOOKUP($A51,'OI(Value)'!$A$7:$O$306,8,0)</f>
        <v>776</v>
      </c>
      <c r="M51" s="103">
        <f>VLOOKUP($A51,'OI(Value)'!$A$7:$O$306,9,0)</f>
        <v>-890</v>
      </c>
      <c r="N51" s="103">
        <f>VLOOKUP($A51,'OI(Value)'!$A$7:$O$306,11,0)</f>
        <v>589</v>
      </c>
      <c r="O51" s="103">
        <f>VLOOKUP($A51,'OI(Value)'!$A$7:$O$306,12,0)</f>
        <v>-494</v>
      </c>
      <c r="P51" s="179">
        <f>VLOOKUP(A51,'OI(Value)'!A51:O252,8,0)</f>
        <v>776</v>
      </c>
      <c r="Q51" s="179">
        <f>VLOOKUP(A51,'OI(Value)'!A51:O252,9,0)</f>
        <v>-890</v>
      </c>
      <c r="R51" s="179">
        <f>VLOOKUP(A51,'OI(Value)'!A51:O252,11,0)</f>
        <v>589</v>
      </c>
      <c r="S51" s="179">
        <f>VLOOKUP(A51,'OI(Value)'!A51:O252,11,0)</f>
        <v>589</v>
      </c>
    </row>
    <row r="52" spans="1:19" x14ac:dyDescent="0.25">
      <c r="A52" s="105" t="str">
        <f>'Data shares'!C47</f>
        <v>CDSL</v>
      </c>
      <c r="B52" s="143">
        <f>VLOOKUP($A52,'Data shares'!$C:$FA,118)</f>
        <v>0.7</v>
      </c>
      <c r="C52" s="143">
        <f>VLOOKUP($A52,'Data shares'!$C:$FA,119)</f>
        <v>0.56999999999999995</v>
      </c>
      <c r="D52" s="143">
        <f>VLOOKUP($A52,'Data shares'!$C:$FA,121)*100</f>
        <v>22.81</v>
      </c>
      <c r="E52" s="143">
        <f>VLOOKUP($A52,'Data shares'!$C:$FA,124)</f>
        <v>0.68</v>
      </c>
      <c r="F52" s="143">
        <f>VLOOKUP($A52,'Data shares'!$C:$FA,125)</f>
        <v>0.63</v>
      </c>
      <c r="G52" s="143">
        <f>VLOOKUP($A52,'Data shares'!$C:$FA,127)*100</f>
        <v>7.9399999999999995</v>
      </c>
      <c r="H52" s="103">
        <f>VLOOKUP($A52,'OI(Volume)'!$A$7:$O$427,8)</f>
        <v>4680650</v>
      </c>
      <c r="I52" s="103">
        <f>VLOOKUP($A52,'OI(Volume)'!$A$7:$O$427,9)</f>
        <v>-4513925</v>
      </c>
      <c r="J52" s="103">
        <f>VLOOKUP($A52,'OI(Volume)'!$A$7:$O$427,11)</f>
        <v>3281775</v>
      </c>
      <c r="K52" s="103">
        <f>VLOOKUP($A52,'OI(Volume)'!$A$7:$O$427,12)</f>
        <v>-1915675</v>
      </c>
      <c r="L52" s="103">
        <f>VLOOKUP($A52,'OI(Value)'!$A$7:$O$306,8,0)</f>
        <v>691</v>
      </c>
      <c r="M52" s="103">
        <f>VLOOKUP($A52,'OI(Value)'!$A$7:$O$306,9,0)</f>
        <v>-666</v>
      </c>
      <c r="N52" s="103">
        <f>VLOOKUP($A52,'OI(Value)'!$A$7:$O$306,11,0)</f>
        <v>484</v>
      </c>
      <c r="O52" s="103">
        <f>VLOOKUP($A52,'OI(Value)'!$A$7:$O$306,12,0)</f>
        <v>-283</v>
      </c>
      <c r="P52" s="179">
        <f>VLOOKUP(A52,'OI(Value)'!A52:O253,8,0)</f>
        <v>691</v>
      </c>
      <c r="Q52" s="179">
        <f>VLOOKUP(A52,'OI(Value)'!A52:O253,9,0)</f>
        <v>-666</v>
      </c>
      <c r="R52" s="179">
        <f>VLOOKUP(A52,'OI(Value)'!A52:O253,11,0)</f>
        <v>484</v>
      </c>
      <c r="S52" s="179">
        <f>VLOOKUP(A52,'OI(Value)'!A52:O253,11,0)</f>
        <v>484</v>
      </c>
    </row>
    <row r="53" spans="1:19" x14ac:dyDescent="0.25">
      <c r="A53" s="105" t="str">
        <f>'Data shares'!C48</f>
        <v>CESC</v>
      </c>
      <c r="B53" s="143">
        <f>VLOOKUP($A53,'Data shares'!$C:$FA,118)</f>
        <v>0.47</v>
      </c>
      <c r="C53" s="143">
        <f>VLOOKUP($A53,'Data shares'!$C:$FA,119)</f>
        <v>0.57999999999999996</v>
      </c>
      <c r="D53" s="143">
        <f>VLOOKUP($A53,'Data shares'!$C:$FA,121)*100</f>
        <v>-18.970000000000002</v>
      </c>
      <c r="E53" s="143">
        <f>VLOOKUP($A53,'Data shares'!$C:$FA,124)</f>
        <v>0.53</v>
      </c>
      <c r="F53" s="143">
        <f>VLOOKUP($A53,'Data shares'!$C:$FA,125)</f>
        <v>0.42</v>
      </c>
      <c r="G53" s="143">
        <f>VLOOKUP($A53,'Data shares'!$C:$FA,127)*100</f>
        <v>26.19</v>
      </c>
      <c r="H53" s="103">
        <f>VLOOKUP($A53,'OI(Volume)'!$A$7:$O$427,8)</f>
        <v>3965750</v>
      </c>
      <c r="I53" s="103">
        <f>VLOOKUP($A53,'OI(Volume)'!$A$7:$O$427,9)</f>
        <v>-6474250</v>
      </c>
      <c r="J53" s="103">
        <f>VLOOKUP($A53,'OI(Volume)'!$A$7:$O$427,11)</f>
        <v>1877750</v>
      </c>
      <c r="K53" s="103">
        <f>VLOOKUP($A53,'OI(Volume)'!$A$7:$O$427,12)</f>
        <v>-4172375</v>
      </c>
      <c r="L53" s="103">
        <f>VLOOKUP($A53,'OI(Value)'!$A$7:$O$306,8,0)</f>
        <v>67</v>
      </c>
      <c r="M53" s="103">
        <f>VLOOKUP($A53,'OI(Value)'!$A$7:$O$306,9,0)</f>
        <v>-110</v>
      </c>
      <c r="N53" s="103">
        <f>VLOOKUP($A53,'OI(Value)'!$A$7:$O$306,11,0)</f>
        <v>32</v>
      </c>
      <c r="O53" s="103">
        <f>VLOOKUP($A53,'OI(Value)'!$A$7:$O$306,12,0)</f>
        <v>-71</v>
      </c>
      <c r="P53" s="179">
        <f>VLOOKUP(A53,'OI(Value)'!A53:O254,8,0)</f>
        <v>67</v>
      </c>
      <c r="Q53" s="179">
        <f>VLOOKUP(A53,'OI(Value)'!A53:O254,9,0)</f>
        <v>-110</v>
      </c>
      <c r="R53" s="179">
        <f>VLOOKUP(A53,'OI(Value)'!A53:O254,11,0)</f>
        <v>32</v>
      </c>
      <c r="S53" s="179">
        <f>VLOOKUP(A53,'OI(Value)'!A53:O254,11,0)</f>
        <v>32</v>
      </c>
    </row>
    <row r="54" spans="1:19" x14ac:dyDescent="0.25">
      <c r="A54" s="105" t="str">
        <f>'Data shares'!C49</f>
        <v>CGPOWER</v>
      </c>
      <c r="B54" s="143">
        <f>VLOOKUP($A54,'Data shares'!$C:$FA,118)</f>
        <v>0.9</v>
      </c>
      <c r="C54" s="143">
        <f>VLOOKUP($A54,'Data shares'!$C:$FA,119)</f>
        <v>0.65</v>
      </c>
      <c r="D54" s="143">
        <f>VLOOKUP($A54,'Data shares'!$C:$FA,121)*100</f>
        <v>38.46</v>
      </c>
      <c r="E54" s="143">
        <f>VLOOKUP($A54,'Data shares'!$C:$FA,124)</f>
        <v>0.4</v>
      </c>
      <c r="F54" s="143">
        <f>VLOOKUP($A54,'Data shares'!$C:$FA,125)</f>
        <v>0.42</v>
      </c>
      <c r="G54" s="143">
        <f>VLOOKUP($A54,'Data shares'!$C:$FA,127)*100</f>
        <v>-4.7600000000000007</v>
      </c>
      <c r="H54" s="103">
        <f>VLOOKUP($A54,'OI(Volume)'!$A$7:$O$427,8)</f>
        <v>1467100</v>
      </c>
      <c r="I54" s="103">
        <f>VLOOKUP($A54,'OI(Volume)'!$A$7:$O$427,9)</f>
        <v>-3426350</v>
      </c>
      <c r="J54" s="103">
        <f>VLOOKUP($A54,'OI(Volume)'!$A$7:$O$427,11)</f>
        <v>1313250</v>
      </c>
      <c r="K54" s="103">
        <f>VLOOKUP($A54,'OI(Volume)'!$A$7:$O$427,12)</f>
        <v>-1889550</v>
      </c>
      <c r="L54" s="103">
        <f>VLOOKUP($A54,'OI(Value)'!$A$7:$O$306,8,0)</f>
        <v>97</v>
      </c>
      <c r="M54" s="103">
        <f>VLOOKUP($A54,'OI(Value)'!$A$7:$O$306,9,0)</f>
        <v>-228</v>
      </c>
      <c r="N54" s="103">
        <f>VLOOKUP($A54,'OI(Value)'!$A$7:$O$306,11,0)</f>
        <v>87</v>
      </c>
      <c r="O54" s="103">
        <f>VLOOKUP($A54,'OI(Value)'!$A$7:$O$306,12,0)</f>
        <v>-126</v>
      </c>
      <c r="P54" s="179">
        <f>VLOOKUP(A54,'OI(Value)'!A54:O255,8,0)</f>
        <v>97</v>
      </c>
      <c r="Q54" s="179">
        <f>VLOOKUP(A54,'OI(Value)'!A54:O255,9,0)</f>
        <v>-228</v>
      </c>
      <c r="R54" s="179">
        <f>VLOOKUP(A54,'OI(Value)'!A54:O255,11,0)</f>
        <v>87</v>
      </c>
      <c r="S54" s="179">
        <f>VLOOKUP(A54,'OI(Value)'!A54:O255,11,0)</f>
        <v>87</v>
      </c>
    </row>
    <row r="55" spans="1:19" x14ac:dyDescent="0.25">
      <c r="A55" s="105" t="str">
        <f>'Data shares'!C50</f>
        <v>CHAMBLFERT</v>
      </c>
      <c r="B55" s="143">
        <f>VLOOKUP($A55,'Data shares'!$C:$FA,118)</f>
        <v>0.49</v>
      </c>
      <c r="C55" s="143">
        <f>VLOOKUP($A55,'Data shares'!$C:$FA,119)</f>
        <v>0.51</v>
      </c>
      <c r="D55" s="143">
        <f>VLOOKUP($A55,'Data shares'!$C:$FA,121)*100</f>
        <v>-3.92</v>
      </c>
      <c r="E55" s="143">
        <f>VLOOKUP($A55,'Data shares'!$C:$FA,124)</f>
        <v>0.71</v>
      </c>
      <c r="F55" s="143">
        <f>VLOOKUP($A55,'Data shares'!$C:$FA,125)</f>
        <v>0.17</v>
      </c>
      <c r="G55" s="143">
        <f>VLOOKUP($A55,'Data shares'!$C:$FA,127)*100</f>
        <v>317.64999999999998</v>
      </c>
      <c r="H55" s="103">
        <f>VLOOKUP($A55,'OI(Volume)'!$A$7:$O$427,8)</f>
        <v>3632800</v>
      </c>
      <c r="I55" s="103">
        <f>VLOOKUP($A55,'OI(Volume)'!$A$7:$O$427,9)</f>
        <v>-786600</v>
      </c>
      <c r="J55" s="103">
        <f>VLOOKUP($A55,'OI(Volume)'!$A$7:$O$427,11)</f>
        <v>1775550</v>
      </c>
      <c r="K55" s="103">
        <f>VLOOKUP($A55,'OI(Volume)'!$A$7:$O$427,12)</f>
        <v>-466450</v>
      </c>
      <c r="L55" s="103">
        <f>VLOOKUP($A55,'OI(Value)'!$A$7:$O$306,8,0)</f>
        <v>0</v>
      </c>
      <c r="M55" s="103">
        <f>VLOOKUP($A55,'OI(Value)'!$A$7:$O$306,9,0)</f>
        <v>0</v>
      </c>
      <c r="N55" s="103">
        <f>VLOOKUP($A55,'OI(Value)'!$A$7:$O$306,11,0)</f>
        <v>0</v>
      </c>
      <c r="O55" s="103">
        <f>VLOOKUP($A55,'OI(Value)'!$A$7:$O$306,12,0)</f>
        <v>0</v>
      </c>
      <c r="P55" s="179">
        <f>VLOOKUP(A55,'OI(Value)'!A55:O256,8,0)</f>
        <v>0</v>
      </c>
      <c r="Q55" s="179">
        <f>VLOOKUP(A55,'OI(Value)'!A55:O256,9,0)</f>
        <v>0</v>
      </c>
      <c r="R55" s="179">
        <f>VLOOKUP(A55,'OI(Value)'!A55:O256,11,0)</f>
        <v>0</v>
      </c>
      <c r="S55" s="179">
        <f>VLOOKUP(A55,'OI(Value)'!A55:O256,11,0)</f>
        <v>0</v>
      </c>
    </row>
    <row r="56" spans="1:19" x14ac:dyDescent="0.25">
      <c r="A56" s="105" t="str">
        <f>'Data shares'!C51</f>
        <v>CHOLAFIN</v>
      </c>
      <c r="B56" s="143">
        <f>VLOOKUP($A56,'Data shares'!$C:$FA,118)</f>
        <v>0.74</v>
      </c>
      <c r="C56" s="143">
        <f>VLOOKUP($A56,'Data shares'!$C:$FA,119)</f>
        <v>0.64</v>
      </c>
      <c r="D56" s="143">
        <f>VLOOKUP($A56,'Data shares'!$C:$FA,121)*100</f>
        <v>15.620000000000001</v>
      </c>
      <c r="E56" s="143">
        <f>VLOOKUP($A56,'Data shares'!$C:$FA,124)</f>
        <v>0.66</v>
      </c>
      <c r="F56" s="143">
        <f>VLOOKUP($A56,'Data shares'!$C:$FA,125)</f>
        <v>0.39</v>
      </c>
      <c r="G56" s="143">
        <f>VLOOKUP($A56,'Data shares'!$C:$FA,127)*100</f>
        <v>69.23</v>
      </c>
      <c r="H56" s="103">
        <f>VLOOKUP($A56,'OI(Volume)'!$A$7:$O$427,8)</f>
        <v>1916875</v>
      </c>
      <c r="I56" s="103">
        <f>VLOOKUP($A56,'OI(Volume)'!$A$7:$O$427,9)</f>
        <v>-2565625</v>
      </c>
      <c r="J56" s="103">
        <f>VLOOKUP($A56,'OI(Volume)'!$A$7:$O$427,11)</f>
        <v>1425625</v>
      </c>
      <c r="K56" s="103">
        <f>VLOOKUP($A56,'OI(Volume)'!$A$7:$O$427,12)</f>
        <v>-1442500</v>
      </c>
      <c r="L56" s="103">
        <f>VLOOKUP($A56,'OI(Value)'!$A$7:$O$306,8,0)</f>
        <v>273</v>
      </c>
      <c r="M56" s="103">
        <f>VLOOKUP($A56,'OI(Value)'!$A$7:$O$306,9,0)</f>
        <v>-366</v>
      </c>
      <c r="N56" s="103">
        <f>VLOOKUP($A56,'OI(Value)'!$A$7:$O$306,11,0)</f>
        <v>203</v>
      </c>
      <c r="O56" s="103">
        <f>VLOOKUP($A56,'OI(Value)'!$A$7:$O$306,12,0)</f>
        <v>-206</v>
      </c>
      <c r="P56" s="179">
        <f>VLOOKUP(A56,'OI(Value)'!A56:O257,8,0)</f>
        <v>273</v>
      </c>
      <c r="Q56" s="179">
        <f>VLOOKUP(A56,'OI(Value)'!A56:O257,9,0)</f>
        <v>-366</v>
      </c>
      <c r="R56" s="179">
        <f>VLOOKUP(A56,'OI(Value)'!A56:O257,11,0)</f>
        <v>203</v>
      </c>
      <c r="S56" s="179">
        <f>VLOOKUP(A56,'OI(Value)'!A56:O257,11,0)</f>
        <v>203</v>
      </c>
    </row>
    <row r="57" spans="1:19" x14ac:dyDescent="0.25">
      <c r="A57" s="105" t="str">
        <f>'Data shares'!C52</f>
        <v>CIPLA</v>
      </c>
      <c r="B57" s="143">
        <f>VLOOKUP($A57,'Data shares'!$C:$FA,118)</f>
        <v>0.66</v>
      </c>
      <c r="C57" s="143">
        <f>VLOOKUP($A57,'Data shares'!$C:$FA,119)</f>
        <v>0.67</v>
      </c>
      <c r="D57" s="143">
        <f>VLOOKUP($A57,'Data shares'!$C:$FA,121)*100</f>
        <v>-1.49</v>
      </c>
      <c r="E57" s="143">
        <f>VLOOKUP($A57,'Data shares'!$C:$FA,124)</f>
        <v>1.01</v>
      </c>
      <c r="F57" s="143">
        <f>VLOOKUP($A57,'Data shares'!$C:$FA,125)</f>
        <v>0.6</v>
      </c>
      <c r="G57" s="143">
        <f>VLOOKUP($A57,'Data shares'!$C:$FA,127)*100</f>
        <v>68.33</v>
      </c>
      <c r="H57" s="103">
        <f>VLOOKUP($A57,'OI(Volume)'!$A$7:$O$427,8)</f>
        <v>1464750</v>
      </c>
      <c r="I57" s="103">
        <f>VLOOKUP($A57,'OI(Volume)'!$A$7:$O$427,9)</f>
        <v>-4412625</v>
      </c>
      <c r="J57" s="103">
        <f>VLOOKUP($A57,'OI(Volume)'!$A$7:$O$427,11)</f>
        <v>963375</v>
      </c>
      <c r="K57" s="103">
        <f>VLOOKUP($A57,'OI(Volume)'!$A$7:$O$427,12)</f>
        <v>-2974500</v>
      </c>
      <c r="L57" s="103">
        <f>VLOOKUP($A57,'OI(Value)'!$A$7:$O$306,8,0)</f>
        <v>229</v>
      </c>
      <c r="M57" s="103">
        <f>VLOOKUP($A57,'OI(Value)'!$A$7:$O$306,9,0)</f>
        <v>-689</v>
      </c>
      <c r="N57" s="103">
        <f>VLOOKUP($A57,'OI(Value)'!$A$7:$O$306,11,0)</f>
        <v>150</v>
      </c>
      <c r="O57" s="103">
        <f>VLOOKUP($A57,'OI(Value)'!$A$7:$O$306,12,0)</f>
        <v>-464</v>
      </c>
      <c r="P57" s="179">
        <f>VLOOKUP(A57,'OI(Value)'!A57:O258,8,0)</f>
        <v>229</v>
      </c>
      <c r="Q57" s="179">
        <f>VLOOKUP(A57,'OI(Value)'!A57:O258,9,0)</f>
        <v>-689</v>
      </c>
      <c r="R57" s="179">
        <f>VLOOKUP(A57,'OI(Value)'!A57:O258,11,0)</f>
        <v>150</v>
      </c>
      <c r="S57" s="179">
        <f>VLOOKUP(A57,'OI(Value)'!A57:O258,11,0)</f>
        <v>150</v>
      </c>
    </row>
    <row r="58" spans="1:19" x14ac:dyDescent="0.25">
      <c r="A58" s="105" t="str">
        <f>'Data shares'!C53</f>
        <v>COALINDIA</v>
      </c>
      <c r="B58" s="143">
        <f>VLOOKUP($A58,'Data shares'!$C:$FA,118)</f>
        <v>1.02</v>
      </c>
      <c r="C58" s="143">
        <f>VLOOKUP($A58,'Data shares'!$C:$FA,119)</f>
        <v>0.75</v>
      </c>
      <c r="D58" s="143">
        <f>VLOOKUP($A58,'Data shares'!$C:$FA,121)*100</f>
        <v>36</v>
      </c>
      <c r="E58" s="143">
        <f>VLOOKUP($A58,'Data shares'!$C:$FA,124)</f>
        <v>0.69</v>
      </c>
      <c r="F58" s="143">
        <f>VLOOKUP($A58,'Data shares'!$C:$FA,125)</f>
        <v>0.75</v>
      </c>
      <c r="G58" s="143">
        <f>VLOOKUP($A58,'Data shares'!$C:$FA,127)*100</f>
        <v>-8</v>
      </c>
      <c r="H58" s="103">
        <f>VLOOKUP($A58,'OI(Volume)'!$A$7:$O$427,8)</f>
        <v>20359350</v>
      </c>
      <c r="I58" s="103">
        <f>VLOOKUP($A58,'OI(Volume)'!$A$7:$O$427,9)</f>
        <v>-18821700</v>
      </c>
      <c r="J58" s="103">
        <f>VLOOKUP($A58,'OI(Volume)'!$A$7:$O$427,11)</f>
        <v>20694150</v>
      </c>
      <c r="K58" s="103">
        <f>VLOOKUP($A58,'OI(Volume)'!$A$7:$O$427,12)</f>
        <v>-8676450</v>
      </c>
      <c r="L58" s="103">
        <f>VLOOKUP($A58,'OI(Value)'!$A$7:$O$306,8,0)</f>
        <v>755</v>
      </c>
      <c r="M58" s="103">
        <f>VLOOKUP($A58,'OI(Value)'!$A$7:$O$306,9,0)</f>
        <v>-698</v>
      </c>
      <c r="N58" s="103">
        <f>VLOOKUP($A58,'OI(Value)'!$A$7:$O$306,11,0)</f>
        <v>767</v>
      </c>
      <c r="O58" s="103">
        <f>VLOOKUP($A58,'OI(Value)'!$A$7:$O$306,12,0)</f>
        <v>-322</v>
      </c>
      <c r="P58" s="179">
        <f>VLOOKUP(A58,'OI(Value)'!A58:O259,8,0)</f>
        <v>755</v>
      </c>
      <c r="Q58" s="179">
        <f>VLOOKUP(A58,'OI(Value)'!A58:O259,9,0)</f>
        <v>-698</v>
      </c>
      <c r="R58" s="179">
        <f>VLOOKUP(A58,'OI(Value)'!A58:O259,11,0)</f>
        <v>767</v>
      </c>
      <c r="S58" s="179">
        <f>VLOOKUP(A58,'OI(Value)'!A58:O259,11,0)</f>
        <v>767</v>
      </c>
    </row>
    <row r="59" spans="1:19" x14ac:dyDescent="0.25">
      <c r="A59" s="105" t="str">
        <f>'Data shares'!C54</f>
        <v>COFORGE</v>
      </c>
      <c r="B59" s="143">
        <f>VLOOKUP($A59,'Data shares'!$C:$FA,118)</f>
        <v>0.64</v>
      </c>
      <c r="C59" s="143">
        <f>VLOOKUP($A59,'Data shares'!$C:$FA,119)</f>
        <v>0.43</v>
      </c>
      <c r="D59" s="143">
        <f>VLOOKUP($A59,'Data shares'!$C:$FA,121)*100</f>
        <v>48.84</v>
      </c>
      <c r="E59" s="143">
        <f>VLOOKUP($A59,'Data shares'!$C:$FA,124)</f>
        <v>0.44</v>
      </c>
      <c r="F59" s="143">
        <f>VLOOKUP($A59,'Data shares'!$C:$FA,125)</f>
        <v>0.28999999999999998</v>
      </c>
      <c r="G59" s="143">
        <f>VLOOKUP($A59,'Data shares'!$C:$FA,127)*100</f>
        <v>51.72</v>
      </c>
      <c r="H59" s="103">
        <f>VLOOKUP($A59,'OI(Volume)'!$A$7:$O$427,8)</f>
        <v>2685375</v>
      </c>
      <c r="I59" s="103">
        <f>VLOOKUP($A59,'OI(Volume)'!$A$7:$O$427,9)</f>
        <v>-6172125</v>
      </c>
      <c r="J59" s="103">
        <f>VLOOKUP($A59,'OI(Volume)'!$A$7:$O$427,11)</f>
        <v>1719375</v>
      </c>
      <c r="K59" s="103">
        <f>VLOOKUP($A59,'OI(Volume)'!$A$7:$O$427,12)</f>
        <v>-2107500</v>
      </c>
      <c r="L59" s="103">
        <f>VLOOKUP($A59,'OI(Value)'!$A$7:$O$306,8,0)</f>
        <v>471</v>
      </c>
      <c r="M59" s="103">
        <f>VLOOKUP($A59,'OI(Value)'!$A$7:$O$306,9,0)</f>
        <v>-1082</v>
      </c>
      <c r="N59" s="103">
        <f>VLOOKUP($A59,'OI(Value)'!$A$7:$O$306,11,0)</f>
        <v>301</v>
      </c>
      <c r="O59" s="103">
        <f>VLOOKUP($A59,'OI(Value)'!$A$7:$O$306,12,0)</f>
        <v>-369</v>
      </c>
      <c r="P59" s="179">
        <f>VLOOKUP(A59,'OI(Value)'!A59:O260,8,0)</f>
        <v>471</v>
      </c>
      <c r="Q59" s="179">
        <f>VLOOKUP(A59,'OI(Value)'!A59:O260,9,0)</f>
        <v>-1082</v>
      </c>
      <c r="R59" s="179">
        <f>VLOOKUP(A59,'OI(Value)'!A59:O260,11,0)</f>
        <v>301</v>
      </c>
      <c r="S59" s="179">
        <f>VLOOKUP(A59,'OI(Value)'!A59:O260,11,0)</f>
        <v>301</v>
      </c>
    </row>
    <row r="60" spans="1:19" x14ac:dyDescent="0.25">
      <c r="A60" s="105" t="str">
        <f>'Data shares'!C55</f>
        <v>COLPAL</v>
      </c>
      <c r="B60" s="143">
        <f>VLOOKUP($A60,'Data shares'!$C:$FA,118)</f>
        <v>0.87</v>
      </c>
      <c r="C60" s="143">
        <f>VLOOKUP($A60,'Data shares'!$C:$FA,119)</f>
        <v>0.65</v>
      </c>
      <c r="D60" s="143">
        <f>VLOOKUP($A60,'Data shares'!$C:$FA,121)*100</f>
        <v>33.85</v>
      </c>
      <c r="E60" s="143">
        <f>VLOOKUP($A60,'Data shares'!$C:$FA,124)</f>
        <v>0.51</v>
      </c>
      <c r="F60" s="143">
        <f>VLOOKUP($A60,'Data shares'!$C:$FA,125)</f>
        <v>0.35</v>
      </c>
      <c r="G60" s="143">
        <f>VLOOKUP($A60,'Data shares'!$C:$FA,127)*100</f>
        <v>45.71</v>
      </c>
      <c r="H60" s="103">
        <f>VLOOKUP($A60,'OI(Volume)'!$A$7:$O$427,8)</f>
        <v>1155825</v>
      </c>
      <c r="I60" s="103">
        <f>VLOOKUP($A60,'OI(Volume)'!$A$7:$O$427,9)</f>
        <v>-1430775</v>
      </c>
      <c r="J60" s="103">
        <f>VLOOKUP($A60,'OI(Volume)'!$A$7:$O$427,11)</f>
        <v>1003050</v>
      </c>
      <c r="K60" s="103">
        <f>VLOOKUP($A60,'OI(Volume)'!$A$7:$O$427,12)</f>
        <v>-690300</v>
      </c>
      <c r="L60" s="103">
        <f>VLOOKUP($A60,'OI(Value)'!$A$7:$O$306,8,0)</f>
        <v>261</v>
      </c>
      <c r="M60" s="103">
        <f>VLOOKUP($A60,'OI(Value)'!$A$7:$O$306,9,0)</f>
        <v>-323</v>
      </c>
      <c r="N60" s="103">
        <f>VLOOKUP($A60,'OI(Value)'!$A$7:$O$306,11,0)</f>
        <v>226</v>
      </c>
      <c r="O60" s="103">
        <f>VLOOKUP($A60,'OI(Value)'!$A$7:$O$306,12,0)</f>
        <v>-156</v>
      </c>
      <c r="P60" s="179">
        <f>VLOOKUP(A60,'OI(Value)'!A60:O261,8,0)</f>
        <v>261</v>
      </c>
      <c r="Q60" s="179">
        <f>VLOOKUP(A60,'OI(Value)'!A60:O261,9,0)</f>
        <v>-323</v>
      </c>
      <c r="R60" s="179">
        <f>VLOOKUP(A60,'OI(Value)'!A60:O261,11,0)</f>
        <v>226</v>
      </c>
      <c r="S60" s="179">
        <f>VLOOKUP(A60,'OI(Value)'!A60:O261,11,0)</f>
        <v>226</v>
      </c>
    </row>
    <row r="61" spans="1:19" x14ac:dyDescent="0.25">
      <c r="A61" s="105" t="str">
        <f>'Data shares'!C56</f>
        <v>CONCOR</v>
      </c>
      <c r="B61" s="143">
        <f>VLOOKUP($A61,'Data shares'!$C:$FA,118)</f>
        <v>0.94</v>
      </c>
      <c r="C61" s="143">
        <f>VLOOKUP($A61,'Data shares'!$C:$FA,119)</f>
        <v>0.68</v>
      </c>
      <c r="D61" s="143">
        <f>VLOOKUP($A61,'Data shares'!$C:$FA,121)*100</f>
        <v>38.24</v>
      </c>
      <c r="E61" s="143">
        <f>VLOOKUP($A61,'Data shares'!$C:$FA,124)</f>
        <v>0.87</v>
      </c>
      <c r="F61" s="143">
        <f>VLOOKUP($A61,'Data shares'!$C:$FA,125)</f>
        <v>0.62</v>
      </c>
      <c r="G61" s="143">
        <f>VLOOKUP($A61,'Data shares'!$C:$FA,127)*100</f>
        <v>40.32</v>
      </c>
      <c r="H61" s="103">
        <f>VLOOKUP($A61,'OI(Volume)'!$A$7:$O$427,8)</f>
        <v>3230000</v>
      </c>
      <c r="I61" s="103">
        <f>VLOOKUP($A61,'OI(Volume)'!$A$7:$O$427,9)</f>
        <v>-5375000</v>
      </c>
      <c r="J61" s="103">
        <f>VLOOKUP($A61,'OI(Volume)'!$A$7:$O$427,11)</f>
        <v>3041250</v>
      </c>
      <c r="K61" s="103">
        <f>VLOOKUP($A61,'OI(Volume)'!$A$7:$O$427,12)</f>
        <v>-2837500</v>
      </c>
      <c r="L61" s="103">
        <f>VLOOKUP($A61,'OI(Value)'!$A$7:$O$306,8,0)</f>
        <v>187</v>
      </c>
      <c r="M61" s="103">
        <f>VLOOKUP($A61,'OI(Value)'!$A$7:$O$306,9,0)</f>
        <v>-311</v>
      </c>
      <c r="N61" s="103">
        <f>VLOOKUP($A61,'OI(Value)'!$A$7:$O$306,11,0)</f>
        <v>176</v>
      </c>
      <c r="O61" s="103">
        <f>VLOOKUP($A61,'OI(Value)'!$A$7:$O$306,12,0)</f>
        <v>-164</v>
      </c>
      <c r="P61" s="179">
        <f>VLOOKUP(A61,'OI(Value)'!A61:O262,8,0)</f>
        <v>187</v>
      </c>
      <c r="Q61" s="179">
        <f>VLOOKUP(A61,'OI(Value)'!A61:O262,9,0)</f>
        <v>-311</v>
      </c>
      <c r="R61" s="179">
        <f>VLOOKUP(A61,'OI(Value)'!A61:O262,11,0)</f>
        <v>176</v>
      </c>
      <c r="S61" s="179">
        <f>VLOOKUP(A61,'OI(Value)'!A61:O262,11,0)</f>
        <v>176</v>
      </c>
    </row>
    <row r="62" spans="1:19" x14ac:dyDescent="0.25">
      <c r="A62" s="105" t="str">
        <f>'Data shares'!C57</f>
        <v>CROMPTON</v>
      </c>
      <c r="B62" s="143">
        <f>VLOOKUP($A62,'Data shares'!$C:$FA,118)</f>
        <v>1.2</v>
      </c>
      <c r="C62" s="143">
        <f>VLOOKUP($A62,'Data shares'!$C:$FA,119)</f>
        <v>0.67</v>
      </c>
      <c r="D62" s="143">
        <f>VLOOKUP($A62,'Data shares'!$C:$FA,121)*100</f>
        <v>79.100000000000009</v>
      </c>
      <c r="E62" s="143">
        <f>VLOOKUP($A62,'Data shares'!$C:$FA,124)</f>
        <v>1</v>
      </c>
      <c r="F62" s="143">
        <f>VLOOKUP($A62,'Data shares'!$C:$FA,125)</f>
        <v>0.77</v>
      </c>
      <c r="G62" s="143">
        <f>VLOOKUP($A62,'Data shares'!$C:$FA,127)*100</f>
        <v>29.87</v>
      </c>
      <c r="H62" s="103">
        <f>VLOOKUP($A62,'OI(Volume)'!$A$7:$O$427,8)</f>
        <v>2388600</v>
      </c>
      <c r="I62" s="103">
        <f>VLOOKUP($A62,'OI(Volume)'!$A$7:$O$427,9)</f>
        <v>-5092200</v>
      </c>
      <c r="J62" s="103">
        <f>VLOOKUP($A62,'OI(Volume)'!$A$7:$O$427,11)</f>
        <v>2865600</v>
      </c>
      <c r="K62" s="103">
        <f>VLOOKUP($A62,'OI(Volume)'!$A$7:$O$427,12)</f>
        <v>-2129400</v>
      </c>
      <c r="L62" s="103">
        <f>VLOOKUP($A62,'OI(Value)'!$A$7:$O$306,8,0)</f>
        <v>78</v>
      </c>
      <c r="M62" s="103">
        <f>VLOOKUP($A62,'OI(Value)'!$A$7:$O$306,9,0)</f>
        <v>-165</v>
      </c>
      <c r="N62" s="103">
        <f>VLOOKUP($A62,'OI(Value)'!$A$7:$O$306,11,0)</f>
        <v>93</v>
      </c>
      <c r="O62" s="103">
        <f>VLOOKUP($A62,'OI(Value)'!$A$7:$O$306,12,0)</f>
        <v>-69</v>
      </c>
      <c r="P62" s="179">
        <f>VLOOKUP(A62,'OI(Value)'!A62:O263,8,0)</f>
        <v>78</v>
      </c>
      <c r="Q62" s="179">
        <f>VLOOKUP(A62,'OI(Value)'!A62:O263,9,0)</f>
        <v>-165</v>
      </c>
      <c r="R62" s="179">
        <f>VLOOKUP(A62,'OI(Value)'!A62:O263,11,0)</f>
        <v>93</v>
      </c>
      <c r="S62" s="179">
        <f>VLOOKUP(A62,'OI(Value)'!A62:O263,11,0)</f>
        <v>93</v>
      </c>
    </row>
    <row r="63" spans="1:19" x14ac:dyDescent="0.25">
      <c r="A63" s="105" t="str">
        <f>'Data shares'!C58</f>
        <v>CUMMINSIND</v>
      </c>
      <c r="B63" s="143">
        <f>VLOOKUP($A63,'Data shares'!$C:$FA,118)</f>
        <v>1.06</v>
      </c>
      <c r="C63" s="143">
        <f>VLOOKUP($A63,'Data shares'!$C:$FA,119)</f>
        <v>0.91</v>
      </c>
      <c r="D63" s="143">
        <f>VLOOKUP($A63,'Data shares'!$C:$FA,121)*100</f>
        <v>16.48</v>
      </c>
      <c r="E63" s="143">
        <f>VLOOKUP($A63,'Data shares'!$C:$FA,124)</f>
        <v>0.74</v>
      </c>
      <c r="F63" s="143">
        <f>VLOOKUP($A63,'Data shares'!$C:$FA,125)</f>
        <v>0.51</v>
      </c>
      <c r="G63" s="143">
        <f>VLOOKUP($A63,'Data shares'!$C:$FA,127)*100</f>
        <v>45.1</v>
      </c>
      <c r="H63" s="103">
        <f>VLOOKUP($A63,'OI(Volume)'!$A$7:$O$427,8)</f>
        <v>168000</v>
      </c>
      <c r="I63" s="103">
        <f>VLOOKUP($A63,'OI(Volume)'!$A$7:$O$427,9)</f>
        <v>-454200</v>
      </c>
      <c r="J63" s="103">
        <f>VLOOKUP($A63,'OI(Volume)'!$A$7:$O$427,11)</f>
        <v>178600</v>
      </c>
      <c r="K63" s="103">
        <f>VLOOKUP($A63,'OI(Volume)'!$A$7:$O$427,12)</f>
        <v>-389800</v>
      </c>
      <c r="L63" s="103">
        <f>VLOOKUP($A63,'OI(Value)'!$A$7:$O$306,8,0)</f>
        <v>60</v>
      </c>
      <c r="M63" s="103">
        <f>VLOOKUP($A63,'OI(Value)'!$A$7:$O$306,9,0)</f>
        <v>-162</v>
      </c>
      <c r="N63" s="103">
        <f>VLOOKUP($A63,'OI(Value)'!$A$7:$O$306,11,0)</f>
        <v>64</v>
      </c>
      <c r="O63" s="103">
        <f>VLOOKUP($A63,'OI(Value)'!$A$7:$O$306,12,0)</f>
        <v>-139</v>
      </c>
      <c r="P63" s="179">
        <f>VLOOKUP(A63,'OI(Value)'!A63:O264,8,0)</f>
        <v>60</v>
      </c>
      <c r="Q63" s="179">
        <f>VLOOKUP(A63,'OI(Value)'!A63:O264,9,0)</f>
        <v>-162</v>
      </c>
      <c r="R63" s="179">
        <f>VLOOKUP(A63,'OI(Value)'!A63:O264,11,0)</f>
        <v>64</v>
      </c>
      <c r="S63" s="179">
        <f>VLOOKUP(A63,'OI(Value)'!A63:O264,11,0)</f>
        <v>64</v>
      </c>
    </row>
    <row r="64" spans="1:19" x14ac:dyDescent="0.25">
      <c r="A64" s="105" t="str">
        <f>'Data shares'!C59</f>
        <v>CYIENT</v>
      </c>
      <c r="B64" s="143">
        <f>VLOOKUP($A64,'Data shares'!$C:$FA,118)</f>
        <v>1.07</v>
      </c>
      <c r="C64" s="143">
        <f>VLOOKUP($A64,'Data shares'!$C:$FA,119)</f>
        <v>0.69</v>
      </c>
      <c r="D64" s="143">
        <f>VLOOKUP($A64,'Data shares'!$C:$FA,121)*100</f>
        <v>55.069999999999993</v>
      </c>
      <c r="E64" s="143">
        <f>VLOOKUP($A64,'Data shares'!$C:$FA,124)</f>
        <v>0.82</v>
      </c>
      <c r="F64" s="143">
        <f>VLOOKUP($A64,'Data shares'!$C:$FA,125)</f>
        <v>0.28999999999999998</v>
      </c>
      <c r="G64" s="143">
        <f>VLOOKUP($A64,'Data shares'!$C:$FA,127)*100</f>
        <v>182.76</v>
      </c>
      <c r="H64" s="103">
        <f>VLOOKUP($A64,'OI(Volume)'!$A$7:$O$427,8)</f>
        <v>373575</v>
      </c>
      <c r="I64" s="103">
        <f>VLOOKUP($A64,'OI(Volume)'!$A$7:$O$427,9)</f>
        <v>-1048900</v>
      </c>
      <c r="J64" s="103">
        <f>VLOOKUP($A64,'OI(Volume)'!$A$7:$O$427,11)</f>
        <v>399075</v>
      </c>
      <c r="K64" s="103">
        <f>VLOOKUP($A64,'OI(Volume)'!$A$7:$O$427,12)</f>
        <v>-589050</v>
      </c>
      <c r="L64" s="103">
        <f>VLOOKUP($A64,'OI(Value)'!$A$7:$O$306,8,0)</f>
        <v>45</v>
      </c>
      <c r="M64" s="103">
        <f>VLOOKUP($A64,'OI(Value)'!$A$7:$O$306,9,0)</f>
        <v>-127</v>
      </c>
      <c r="N64" s="103">
        <f>VLOOKUP($A64,'OI(Value)'!$A$7:$O$306,11,0)</f>
        <v>48</v>
      </c>
      <c r="O64" s="103">
        <f>VLOOKUP($A64,'OI(Value)'!$A$7:$O$306,12,0)</f>
        <v>-71</v>
      </c>
      <c r="P64" s="179">
        <f>VLOOKUP(A64,'OI(Value)'!A64:O265,8,0)</f>
        <v>45</v>
      </c>
      <c r="Q64" s="179">
        <f>VLOOKUP(A64,'OI(Value)'!A64:O265,9,0)</f>
        <v>-127</v>
      </c>
      <c r="R64" s="179">
        <f>VLOOKUP(A64,'OI(Value)'!A64:O265,11,0)</f>
        <v>48</v>
      </c>
      <c r="S64" s="179">
        <f>VLOOKUP(A64,'OI(Value)'!A64:O265,11,0)</f>
        <v>48</v>
      </c>
    </row>
    <row r="65" spans="1:19" x14ac:dyDescent="0.25">
      <c r="A65" s="105" t="str">
        <f>'Data shares'!C60</f>
        <v>DABUR</v>
      </c>
      <c r="B65" s="143">
        <f>VLOOKUP($A65,'Data shares'!$C:$FA,118)</f>
        <v>0.64</v>
      </c>
      <c r="C65" s="143">
        <f>VLOOKUP($A65,'Data shares'!$C:$FA,119)</f>
        <v>1.04</v>
      </c>
      <c r="D65" s="143">
        <f>VLOOKUP($A65,'Data shares'!$C:$FA,121)*100</f>
        <v>-38.46</v>
      </c>
      <c r="E65" s="143">
        <f>VLOOKUP($A65,'Data shares'!$C:$FA,124)</f>
        <v>0.46</v>
      </c>
      <c r="F65" s="143">
        <f>VLOOKUP($A65,'Data shares'!$C:$FA,125)</f>
        <v>0.73</v>
      </c>
      <c r="G65" s="143">
        <f>VLOOKUP($A65,'Data shares'!$C:$FA,127)*100</f>
        <v>-36.99</v>
      </c>
      <c r="H65" s="103">
        <f>VLOOKUP($A65,'OI(Volume)'!$A$7:$O$427,8)</f>
        <v>5380000</v>
      </c>
      <c r="I65" s="103">
        <f>VLOOKUP($A65,'OI(Volume)'!$A$7:$O$427,9)</f>
        <v>-6625000</v>
      </c>
      <c r="J65" s="103">
        <f>VLOOKUP($A65,'OI(Volume)'!$A$7:$O$427,11)</f>
        <v>3442500</v>
      </c>
      <c r="K65" s="103">
        <f>VLOOKUP($A65,'OI(Volume)'!$A$7:$O$427,12)</f>
        <v>-8988750</v>
      </c>
      <c r="L65" s="103">
        <f>VLOOKUP($A65,'OI(Value)'!$A$7:$O$306,8,0)</f>
        <v>286</v>
      </c>
      <c r="M65" s="103">
        <f>VLOOKUP($A65,'OI(Value)'!$A$7:$O$306,9,0)</f>
        <v>-352</v>
      </c>
      <c r="N65" s="103">
        <f>VLOOKUP($A65,'OI(Value)'!$A$7:$O$306,11,0)</f>
        <v>183</v>
      </c>
      <c r="O65" s="103">
        <f>VLOOKUP($A65,'OI(Value)'!$A$7:$O$306,12,0)</f>
        <v>-478</v>
      </c>
      <c r="P65" s="179">
        <f>VLOOKUP(A65,'OI(Value)'!A65:O266,8,0)</f>
        <v>286</v>
      </c>
      <c r="Q65" s="179">
        <f>VLOOKUP(A65,'OI(Value)'!A65:O266,9,0)</f>
        <v>-352</v>
      </c>
      <c r="R65" s="179">
        <f>VLOOKUP(A65,'OI(Value)'!A65:O266,11,0)</f>
        <v>183</v>
      </c>
      <c r="S65" s="179">
        <f>VLOOKUP(A65,'OI(Value)'!A65:O266,11,0)</f>
        <v>183</v>
      </c>
    </row>
    <row r="66" spans="1:19" x14ac:dyDescent="0.25">
      <c r="A66" s="105" t="str">
        <f>'Data shares'!C61</f>
        <v>DALBHARAT</v>
      </c>
      <c r="B66" s="143">
        <f>VLOOKUP($A66,'Data shares'!$C:$FA,118)</f>
        <v>0.62</v>
      </c>
      <c r="C66" s="143">
        <f>VLOOKUP($A66,'Data shares'!$C:$FA,119)</f>
        <v>0.57999999999999996</v>
      </c>
      <c r="D66" s="143">
        <f>VLOOKUP($A66,'Data shares'!$C:$FA,121)*100</f>
        <v>6.9</v>
      </c>
      <c r="E66" s="143">
        <f>VLOOKUP($A66,'Data shares'!$C:$FA,124)</f>
        <v>1.08</v>
      </c>
      <c r="F66" s="143">
        <f>VLOOKUP($A66,'Data shares'!$C:$FA,125)</f>
        <v>0.48</v>
      </c>
      <c r="G66" s="143">
        <f>VLOOKUP($A66,'Data shares'!$C:$FA,127)*100</f>
        <v>125</v>
      </c>
      <c r="H66" s="103">
        <f>VLOOKUP($A66,'OI(Volume)'!$A$7:$O$427,8)</f>
        <v>164775</v>
      </c>
      <c r="I66" s="103">
        <f>VLOOKUP($A66,'OI(Volume)'!$A$7:$O$427,9)</f>
        <v>-713375</v>
      </c>
      <c r="J66" s="103">
        <f>VLOOKUP($A66,'OI(Volume)'!$A$7:$O$427,11)</f>
        <v>102700</v>
      </c>
      <c r="K66" s="103">
        <f>VLOOKUP($A66,'OI(Volume)'!$A$7:$O$427,12)</f>
        <v>-408525</v>
      </c>
      <c r="L66" s="103">
        <f>VLOOKUP($A66,'OI(Value)'!$A$7:$O$306,8,0)</f>
        <v>37</v>
      </c>
      <c r="M66" s="103">
        <f>VLOOKUP($A66,'OI(Value)'!$A$7:$O$306,9,0)</f>
        <v>-160</v>
      </c>
      <c r="N66" s="103">
        <f>VLOOKUP($A66,'OI(Value)'!$A$7:$O$306,11,0)</f>
        <v>23</v>
      </c>
      <c r="O66" s="103">
        <f>VLOOKUP($A66,'OI(Value)'!$A$7:$O$306,12,0)</f>
        <v>-92</v>
      </c>
      <c r="P66" s="179">
        <f>VLOOKUP(A66,'OI(Value)'!A66:O267,8,0)</f>
        <v>37</v>
      </c>
      <c r="Q66" s="179">
        <f>VLOOKUP(A66,'OI(Value)'!A66:O267,9,0)</f>
        <v>-160</v>
      </c>
      <c r="R66" s="179">
        <f>VLOOKUP(A66,'OI(Value)'!A66:O267,11,0)</f>
        <v>23</v>
      </c>
      <c r="S66" s="179">
        <f>VLOOKUP(A66,'OI(Value)'!A66:O267,11,0)</f>
        <v>23</v>
      </c>
    </row>
    <row r="67" spans="1:19" x14ac:dyDescent="0.25">
      <c r="A67" s="105" t="str">
        <f>'Data shares'!C62</f>
        <v>DELHIVERY</v>
      </c>
      <c r="B67" s="143">
        <f>VLOOKUP($A67,'Data shares'!$C:$FA,118)</f>
        <v>0.48</v>
      </c>
      <c r="C67" s="143">
        <f>VLOOKUP($A67,'Data shares'!$C:$FA,119)</f>
        <v>0.57999999999999996</v>
      </c>
      <c r="D67" s="143">
        <f>VLOOKUP($A67,'Data shares'!$C:$FA,121)*100</f>
        <v>-17.239999999999998</v>
      </c>
      <c r="E67" s="143">
        <f>VLOOKUP($A67,'Data shares'!$C:$FA,124)</f>
        <v>0.41</v>
      </c>
      <c r="F67" s="143">
        <f>VLOOKUP($A67,'Data shares'!$C:$FA,125)</f>
        <v>0.86</v>
      </c>
      <c r="G67" s="143">
        <f>VLOOKUP($A67,'Data shares'!$C:$FA,127)*100</f>
        <v>-52.33</v>
      </c>
      <c r="H67" s="103">
        <f>VLOOKUP($A67,'OI(Volume)'!$A$7:$O$427,8)</f>
        <v>4787025</v>
      </c>
      <c r="I67" s="103">
        <f>VLOOKUP($A67,'OI(Volume)'!$A$7:$O$427,9)</f>
        <v>-3031575</v>
      </c>
      <c r="J67" s="103">
        <f>VLOOKUP($A67,'OI(Volume)'!$A$7:$O$427,11)</f>
        <v>2280425</v>
      </c>
      <c r="K67" s="103">
        <f>VLOOKUP($A67,'OI(Volume)'!$A$7:$O$427,12)</f>
        <v>-2234775</v>
      </c>
      <c r="L67" s="103">
        <f>VLOOKUP($A67,'OI(Value)'!$A$7:$O$306,8,0)</f>
        <v>205</v>
      </c>
      <c r="M67" s="103">
        <f>VLOOKUP($A67,'OI(Value)'!$A$7:$O$306,9,0)</f>
        <v>-130</v>
      </c>
      <c r="N67" s="103">
        <f>VLOOKUP($A67,'OI(Value)'!$A$7:$O$306,11,0)</f>
        <v>98</v>
      </c>
      <c r="O67" s="103">
        <f>VLOOKUP($A67,'OI(Value)'!$A$7:$O$306,12,0)</f>
        <v>-96</v>
      </c>
      <c r="P67" s="179">
        <f>VLOOKUP(A67,'OI(Value)'!A67:O268,8,0)</f>
        <v>205</v>
      </c>
      <c r="Q67" s="179">
        <f>VLOOKUP(A67,'OI(Value)'!A67:O268,9,0)</f>
        <v>-130</v>
      </c>
      <c r="R67" s="179">
        <f>VLOOKUP(A67,'OI(Value)'!A67:O268,11,0)</f>
        <v>98</v>
      </c>
      <c r="S67" s="179">
        <f>VLOOKUP(A67,'OI(Value)'!A67:O268,11,0)</f>
        <v>98</v>
      </c>
    </row>
    <row r="68" spans="1:19" x14ac:dyDescent="0.25">
      <c r="A68" s="105" t="str">
        <f>'Data shares'!C63</f>
        <v>DIVISLAB</v>
      </c>
      <c r="B68" s="143">
        <f>VLOOKUP($A68,'Data shares'!$C:$FA,118)</f>
        <v>0.67</v>
      </c>
      <c r="C68" s="143">
        <f>VLOOKUP($A68,'Data shares'!$C:$FA,119)</f>
        <v>0.57999999999999996</v>
      </c>
      <c r="D68" s="143">
        <f>VLOOKUP($A68,'Data shares'!$C:$FA,121)*100</f>
        <v>15.52</v>
      </c>
      <c r="E68" s="143">
        <f>VLOOKUP($A68,'Data shares'!$C:$FA,124)</f>
        <v>0.55000000000000004</v>
      </c>
      <c r="F68" s="143">
        <f>VLOOKUP($A68,'Data shares'!$C:$FA,125)</f>
        <v>0.38</v>
      </c>
      <c r="G68" s="143">
        <f>VLOOKUP($A68,'Data shares'!$C:$FA,127)*100</f>
        <v>44.74</v>
      </c>
      <c r="H68" s="103">
        <f>VLOOKUP($A68,'OI(Volume)'!$A$7:$O$427,8)</f>
        <v>337500</v>
      </c>
      <c r="I68" s="103">
        <f>VLOOKUP($A68,'OI(Volume)'!$A$7:$O$427,9)</f>
        <v>-711500</v>
      </c>
      <c r="J68" s="103">
        <f>VLOOKUP($A68,'OI(Volume)'!$A$7:$O$427,11)</f>
        <v>225100</v>
      </c>
      <c r="K68" s="103">
        <f>VLOOKUP($A68,'OI(Volume)'!$A$7:$O$427,12)</f>
        <v>-382000</v>
      </c>
      <c r="L68" s="103">
        <f>VLOOKUP($A68,'OI(Value)'!$A$7:$O$306,8,0)</f>
        <v>224</v>
      </c>
      <c r="M68" s="103">
        <f>VLOOKUP($A68,'OI(Value)'!$A$7:$O$306,9,0)</f>
        <v>-471</v>
      </c>
      <c r="N68" s="103">
        <f>VLOOKUP($A68,'OI(Value)'!$A$7:$O$306,11,0)</f>
        <v>149</v>
      </c>
      <c r="O68" s="103">
        <f>VLOOKUP($A68,'OI(Value)'!$A$7:$O$306,12,0)</f>
        <v>-253</v>
      </c>
      <c r="P68" s="179">
        <f>VLOOKUP(A68,'OI(Value)'!A68:O269,8,0)</f>
        <v>224</v>
      </c>
      <c r="Q68" s="179">
        <f>VLOOKUP(A68,'OI(Value)'!A68:O269,9,0)</f>
        <v>-471</v>
      </c>
      <c r="R68" s="179">
        <f>VLOOKUP(A68,'OI(Value)'!A68:O269,11,0)</f>
        <v>149</v>
      </c>
      <c r="S68" s="179">
        <f>VLOOKUP(A68,'OI(Value)'!A68:O269,11,0)</f>
        <v>149</v>
      </c>
    </row>
    <row r="69" spans="1:19" x14ac:dyDescent="0.25">
      <c r="A69" s="105" t="str">
        <f>'Data shares'!C64</f>
        <v>DIXON</v>
      </c>
      <c r="B69" s="143">
        <f>VLOOKUP($A69,'Data shares'!$C:$FA,118)</f>
        <v>0.95</v>
      </c>
      <c r="C69" s="143">
        <f>VLOOKUP($A69,'Data shares'!$C:$FA,119)</f>
        <v>0.88</v>
      </c>
      <c r="D69" s="143">
        <f>VLOOKUP($A69,'Data shares'!$C:$FA,121)*100</f>
        <v>7.95</v>
      </c>
      <c r="E69" s="143">
        <f>VLOOKUP($A69,'Data shares'!$C:$FA,124)</f>
        <v>0.84</v>
      </c>
      <c r="F69" s="143">
        <f>VLOOKUP($A69,'Data shares'!$C:$FA,125)</f>
        <v>0.82</v>
      </c>
      <c r="G69" s="143">
        <f>VLOOKUP($A69,'Data shares'!$C:$FA,127)*100</f>
        <v>2.44</v>
      </c>
      <c r="H69" s="103">
        <f>VLOOKUP($A69,'OI(Volume)'!$A$7:$O$427,8)</f>
        <v>404100</v>
      </c>
      <c r="I69" s="103">
        <f>VLOOKUP($A69,'OI(Volume)'!$A$7:$O$427,9)</f>
        <v>-652950</v>
      </c>
      <c r="J69" s="103">
        <f>VLOOKUP($A69,'OI(Volume)'!$A$7:$O$427,11)</f>
        <v>382100</v>
      </c>
      <c r="K69" s="103">
        <f>VLOOKUP($A69,'OI(Volume)'!$A$7:$O$427,12)</f>
        <v>-551950</v>
      </c>
      <c r="L69" s="103">
        <f>VLOOKUP($A69,'OI(Value)'!$A$7:$O$306,8,0)</f>
        <v>683</v>
      </c>
      <c r="M69" s="103">
        <f>VLOOKUP($A69,'OI(Value)'!$A$7:$O$306,9,0)</f>
        <v>-1103</v>
      </c>
      <c r="N69" s="103">
        <f>VLOOKUP($A69,'OI(Value)'!$A$7:$O$306,11,0)</f>
        <v>645</v>
      </c>
      <c r="O69" s="103">
        <f>VLOOKUP($A69,'OI(Value)'!$A$7:$O$306,12,0)</f>
        <v>-932</v>
      </c>
      <c r="P69" s="179">
        <f>VLOOKUP(A69,'OI(Value)'!A69:O270,8,0)</f>
        <v>683</v>
      </c>
      <c r="Q69" s="179">
        <f>VLOOKUP(A69,'OI(Value)'!A69:O270,9,0)</f>
        <v>-1103</v>
      </c>
      <c r="R69" s="179">
        <f>VLOOKUP(A69,'OI(Value)'!A69:O270,11,0)</f>
        <v>645</v>
      </c>
      <c r="S69" s="179">
        <f>VLOOKUP(A69,'OI(Value)'!A69:O270,11,0)</f>
        <v>645</v>
      </c>
    </row>
    <row r="70" spans="1:19" x14ac:dyDescent="0.25">
      <c r="A70" s="105" t="str">
        <f>'Data shares'!C65</f>
        <v>DLF</v>
      </c>
      <c r="B70" s="143">
        <f>VLOOKUP($A70,'Data shares'!$C:$FA,118)</f>
        <v>0.86</v>
      </c>
      <c r="C70" s="143">
        <f>VLOOKUP($A70,'Data shares'!$C:$FA,119)</f>
        <v>0.62</v>
      </c>
      <c r="D70" s="143">
        <f>VLOOKUP($A70,'Data shares'!$C:$FA,121)*100</f>
        <v>38.71</v>
      </c>
      <c r="E70" s="143">
        <f>VLOOKUP($A70,'Data shares'!$C:$FA,124)</f>
        <v>0.75</v>
      </c>
      <c r="F70" s="143">
        <f>VLOOKUP($A70,'Data shares'!$C:$FA,125)</f>
        <v>0.75</v>
      </c>
      <c r="G70" s="143">
        <f>VLOOKUP($A70,'Data shares'!$C:$FA,127)*100</f>
        <v>0</v>
      </c>
      <c r="H70" s="103">
        <f>VLOOKUP($A70,'OI(Volume)'!$A$7:$O$427,8)</f>
        <v>7730250</v>
      </c>
      <c r="I70" s="103">
        <f>VLOOKUP($A70,'OI(Volume)'!$A$7:$O$427,9)</f>
        <v>-9287850</v>
      </c>
      <c r="J70" s="103">
        <f>VLOOKUP($A70,'OI(Volume)'!$A$7:$O$427,11)</f>
        <v>6618150</v>
      </c>
      <c r="K70" s="103">
        <f>VLOOKUP($A70,'OI(Volume)'!$A$7:$O$427,12)</f>
        <v>-3981450</v>
      </c>
      <c r="L70" s="103">
        <f>VLOOKUP($A70,'OI(Value)'!$A$7:$O$306,8,0)</f>
        <v>609</v>
      </c>
      <c r="M70" s="103">
        <f>VLOOKUP($A70,'OI(Value)'!$A$7:$O$306,9,0)</f>
        <v>-731</v>
      </c>
      <c r="N70" s="103">
        <f>VLOOKUP($A70,'OI(Value)'!$A$7:$O$306,11,0)</f>
        <v>521</v>
      </c>
      <c r="O70" s="103">
        <f>VLOOKUP($A70,'OI(Value)'!$A$7:$O$306,12,0)</f>
        <v>-313</v>
      </c>
      <c r="P70" s="179">
        <f>VLOOKUP(A70,'OI(Value)'!A70:O271,8,0)</f>
        <v>609</v>
      </c>
      <c r="Q70" s="179">
        <f>VLOOKUP(A70,'OI(Value)'!A70:O271,9,0)</f>
        <v>-731</v>
      </c>
      <c r="R70" s="179">
        <f>VLOOKUP(A70,'OI(Value)'!A70:O271,11,0)</f>
        <v>521</v>
      </c>
      <c r="S70" s="179">
        <f>VLOOKUP(A70,'OI(Value)'!A70:O271,11,0)</f>
        <v>521</v>
      </c>
    </row>
    <row r="71" spans="1:19" x14ac:dyDescent="0.25">
      <c r="A71" s="105" t="str">
        <f>'Data shares'!C66</f>
        <v>DMART</v>
      </c>
      <c r="B71" s="143">
        <f>VLOOKUP($A71,'Data shares'!$C:$FA,118)</f>
        <v>0.66</v>
      </c>
      <c r="C71" s="143">
        <f>VLOOKUP($A71,'Data shares'!$C:$FA,119)</f>
        <v>0.79</v>
      </c>
      <c r="D71" s="143">
        <f>VLOOKUP($A71,'Data shares'!$C:$FA,121)*100</f>
        <v>-16.46</v>
      </c>
      <c r="E71" s="143">
        <f>VLOOKUP($A71,'Data shares'!$C:$FA,124)</f>
        <v>0.49</v>
      </c>
      <c r="F71" s="143">
        <f>VLOOKUP($A71,'Data shares'!$C:$FA,125)</f>
        <v>0.3</v>
      </c>
      <c r="G71" s="143">
        <f>VLOOKUP($A71,'Data shares'!$C:$FA,127)*100</f>
        <v>63.33</v>
      </c>
      <c r="H71" s="103">
        <f>VLOOKUP($A71,'OI(Volume)'!$A$7:$O$427,8)</f>
        <v>1029900</v>
      </c>
      <c r="I71" s="103">
        <f>VLOOKUP($A71,'OI(Volume)'!$A$7:$O$427,9)</f>
        <v>-1686600</v>
      </c>
      <c r="J71" s="103">
        <f>VLOOKUP($A71,'OI(Volume)'!$A$7:$O$427,11)</f>
        <v>678900</v>
      </c>
      <c r="K71" s="103">
        <f>VLOOKUP($A71,'OI(Volume)'!$A$7:$O$427,12)</f>
        <v>-1469550</v>
      </c>
      <c r="L71" s="103">
        <f>VLOOKUP($A71,'OI(Value)'!$A$7:$O$306,8,0)</f>
        <v>437</v>
      </c>
      <c r="M71" s="103">
        <f>VLOOKUP($A71,'OI(Value)'!$A$7:$O$306,9,0)</f>
        <v>-716</v>
      </c>
      <c r="N71" s="103">
        <f>VLOOKUP($A71,'OI(Value)'!$A$7:$O$306,11,0)</f>
        <v>288</v>
      </c>
      <c r="O71" s="103">
        <f>VLOOKUP($A71,'OI(Value)'!$A$7:$O$306,12,0)</f>
        <v>-624</v>
      </c>
      <c r="P71" s="179">
        <f>VLOOKUP(A71,'OI(Value)'!A71:O272,8,0)</f>
        <v>437</v>
      </c>
      <c r="Q71" s="179">
        <f>VLOOKUP(A71,'OI(Value)'!A71:O272,9,0)</f>
        <v>-716</v>
      </c>
      <c r="R71" s="179">
        <f>VLOOKUP(A71,'OI(Value)'!A71:O272,11,0)</f>
        <v>288</v>
      </c>
      <c r="S71" s="179">
        <f>VLOOKUP(A71,'OI(Value)'!A71:O272,11,0)</f>
        <v>288</v>
      </c>
    </row>
    <row r="72" spans="1:19" x14ac:dyDescent="0.25">
      <c r="A72" s="105" t="str">
        <f>'Data shares'!C67</f>
        <v>DRREDDY</v>
      </c>
      <c r="B72" s="143">
        <f>VLOOKUP($A72,'Data shares'!$C:$FA,118)</f>
        <v>0.59</v>
      </c>
      <c r="C72" s="143">
        <f>VLOOKUP($A72,'Data shares'!$C:$FA,119)</f>
        <v>0.45</v>
      </c>
      <c r="D72" s="143">
        <f>VLOOKUP($A72,'Data shares'!$C:$FA,121)*100</f>
        <v>31.11</v>
      </c>
      <c r="E72" s="143">
        <f>VLOOKUP($A72,'Data shares'!$C:$FA,124)</f>
        <v>0.94</v>
      </c>
      <c r="F72" s="143">
        <f>VLOOKUP($A72,'Data shares'!$C:$FA,125)</f>
        <v>0.51</v>
      </c>
      <c r="G72" s="143">
        <f>VLOOKUP($A72,'Data shares'!$C:$FA,127)*100</f>
        <v>84.31</v>
      </c>
      <c r="H72" s="103">
        <f>VLOOKUP($A72,'OI(Volume)'!$A$7:$O$427,8)</f>
        <v>2474375</v>
      </c>
      <c r="I72" s="103">
        <f>VLOOKUP($A72,'OI(Volume)'!$A$7:$O$427,9)</f>
        <v>-9687500</v>
      </c>
      <c r="J72" s="103">
        <f>VLOOKUP($A72,'OI(Volume)'!$A$7:$O$427,11)</f>
        <v>1470000</v>
      </c>
      <c r="K72" s="103">
        <f>VLOOKUP($A72,'OI(Volume)'!$A$7:$O$427,12)</f>
        <v>-4046875</v>
      </c>
      <c r="L72" s="103">
        <f>VLOOKUP($A72,'OI(Value)'!$A$7:$O$306,8,0)</f>
        <v>315</v>
      </c>
      <c r="M72" s="103">
        <f>VLOOKUP($A72,'OI(Value)'!$A$7:$O$306,9,0)</f>
        <v>-1234</v>
      </c>
      <c r="N72" s="103">
        <f>VLOOKUP($A72,'OI(Value)'!$A$7:$O$306,11,0)</f>
        <v>187</v>
      </c>
      <c r="O72" s="103">
        <f>VLOOKUP($A72,'OI(Value)'!$A$7:$O$306,12,0)</f>
        <v>-516</v>
      </c>
      <c r="P72" s="179">
        <f>VLOOKUP(A72,'OI(Value)'!A72:O273,8,0)</f>
        <v>315</v>
      </c>
      <c r="Q72" s="179">
        <f>VLOOKUP(A72,'OI(Value)'!A72:O273,9,0)</f>
        <v>-1234</v>
      </c>
      <c r="R72" s="179">
        <f>VLOOKUP(A72,'OI(Value)'!A72:O273,11,0)</f>
        <v>187</v>
      </c>
      <c r="S72" s="179">
        <f>VLOOKUP(A72,'OI(Value)'!A72:O273,11,0)</f>
        <v>187</v>
      </c>
    </row>
    <row r="73" spans="1:19" x14ac:dyDescent="0.25">
      <c r="A73" s="105" t="str">
        <f>'Data shares'!C68</f>
        <v>EICHERMOT</v>
      </c>
      <c r="B73" s="143">
        <f>VLOOKUP($A73,'Data shares'!$C:$FA,118)</f>
        <v>0.73</v>
      </c>
      <c r="C73" s="143">
        <f>VLOOKUP($A73,'Data shares'!$C:$FA,119)</f>
        <v>0.53</v>
      </c>
      <c r="D73" s="143">
        <f>VLOOKUP($A73,'Data shares'!$C:$FA,121)*100</f>
        <v>37.74</v>
      </c>
      <c r="E73" s="143">
        <f>VLOOKUP($A73,'Data shares'!$C:$FA,124)</f>
        <v>0.66</v>
      </c>
      <c r="F73" s="143">
        <f>VLOOKUP($A73,'Data shares'!$C:$FA,125)</f>
        <v>0.33</v>
      </c>
      <c r="G73" s="143">
        <f>VLOOKUP($A73,'Data shares'!$C:$FA,127)*100</f>
        <v>100</v>
      </c>
      <c r="H73" s="103">
        <f>VLOOKUP($A73,'OI(Volume)'!$A$7:$O$427,8)</f>
        <v>707175</v>
      </c>
      <c r="I73" s="103">
        <f>VLOOKUP($A73,'OI(Volume)'!$A$7:$O$427,9)</f>
        <v>-1250200</v>
      </c>
      <c r="J73" s="103">
        <f>VLOOKUP($A73,'OI(Volume)'!$A$7:$O$427,11)</f>
        <v>519400</v>
      </c>
      <c r="K73" s="103">
        <f>VLOOKUP($A73,'OI(Volume)'!$A$7:$O$427,12)</f>
        <v>-516075</v>
      </c>
      <c r="L73" s="103">
        <f>VLOOKUP($A73,'OI(Value)'!$A$7:$O$306,8,0)</f>
        <v>384</v>
      </c>
      <c r="M73" s="103">
        <f>VLOOKUP($A73,'OI(Value)'!$A$7:$O$306,9,0)</f>
        <v>-678</v>
      </c>
      <c r="N73" s="103">
        <f>VLOOKUP($A73,'OI(Value)'!$A$7:$O$306,11,0)</f>
        <v>282</v>
      </c>
      <c r="O73" s="103">
        <f>VLOOKUP($A73,'OI(Value)'!$A$7:$O$306,12,0)</f>
        <v>-280</v>
      </c>
      <c r="P73" s="179">
        <f>VLOOKUP(A73,'OI(Value)'!A73:O274,8,0)</f>
        <v>384</v>
      </c>
      <c r="Q73" s="179">
        <f>VLOOKUP(A73,'OI(Value)'!A73:O274,9,0)</f>
        <v>-678</v>
      </c>
      <c r="R73" s="179">
        <f>VLOOKUP(A73,'OI(Value)'!A73:O274,11,0)</f>
        <v>282</v>
      </c>
      <c r="S73" s="179">
        <f>VLOOKUP(A73,'OI(Value)'!A73:O274,11,0)</f>
        <v>282</v>
      </c>
    </row>
    <row r="74" spans="1:19" x14ac:dyDescent="0.25">
      <c r="A74" s="105" t="str">
        <f>'Data shares'!C69</f>
        <v>ETERNAL</v>
      </c>
      <c r="B74" s="143">
        <f>VLOOKUP($A74,'Data shares'!$C:$FA,118)</f>
        <v>0.78</v>
      </c>
      <c r="C74" s="143">
        <f>VLOOKUP($A74,'Data shares'!$C:$FA,119)</f>
        <v>0.94</v>
      </c>
      <c r="D74" s="143">
        <f>VLOOKUP($A74,'Data shares'!$C:$FA,121)*100</f>
        <v>-17.02</v>
      </c>
      <c r="E74" s="143">
        <f>VLOOKUP($A74,'Data shares'!$C:$FA,124)</f>
        <v>0.52</v>
      </c>
      <c r="F74" s="143">
        <f>VLOOKUP($A74,'Data shares'!$C:$FA,125)</f>
        <v>0.71</v>
      </c>
      <c r="G74" s="143">
        <f>VLOOKUP($A74,'Data shares'!$C:$FA,127)*100</f>
        <v>-26.76</v>
      </c>
      <c r="H74" s="103">
        <f>VLOOKUP($A74,'OI(Volume)'!$A$7:$O$427,8)</f>
        <v>38501725</v>
      </c>
      <c r="I74" s="103">
        <f>VLOOKUP($A74,'OI(Volume)'!$A$7:$O$427,9)</f>
        <v>-42743050</v>
      </c>
      <c r="J74" s="103">
        <f>VLOOKUP($A74,'OI(Volume)'!$A$7:$O$427,11)</f>
        <v>30188825</v>
      </c>
      <c r="K74" s="103">
        <f>VLOOKUP($A74,'OI(Volume)'!$A$7:$O$427,12)</f>
        <v>-46344175</v>
      </c>
      <c r="L74" s="103">
        <f>VLOOKUP($A74,'OI(Value)'!$A$7:$O$306,8,0)</f>
        <v>1192</v>
      </c>
      <c r="M74" s="103">
        <f>VLOOKUP($A74,'OI(Value)'!$A$7:$O$306,9,0)</f>
        <v>-1324</v>
      </c>
      <c r="N74" s="103">
        <f>VLOOKUP($A74,'OI(Value)'!$A$7:$O$306,11,0)</f>
        <v>935</v>
      </c>
      <c r="O74" s="103">
        <f>VLOOKUP($A74,'OI(Value)'!$A$7:$O$306,12,0)</f>
        <v>-1435</v>
      </c>
      <c r="P74" s="179">
        <f>VLOOKUP(A74,'OI(Value)'!A74:O275,8,0)</f>
        <v>1192</v>
      </c>
      <c r="Q74" s="179">
        <f>VLOOKUP(A74,'OI(Value)'!A74:O275,9,0)</f>
        <v>-1324</v>
      </c>
      <c r="R74" s="179">
        <f>VLOOKUP(A74,'OI(Value)'!A74:O275,11,0)</f>
        <v>935</v>
      </c>
      <c r="S74" s="179">
        <f>VLOOKUP(A74,'OI(Value)'!A74:O275,11,0)</f>
        <v>935</v>
      </c>
    </row>
    <row r="75" spans="1:19" x14ac:dyDescent="0.25">
      <c r="A75" s="105" t="str">
        <f>'Data shares'!C70</f>
        <v>EXIDEIND</v>
      </c>
      <c r="B75" s="143">
        <f>VLOOKUP($A75,'Data shares'!$C:$FA,118)</f>
        <v>0.84</v>
      </c>
      <c r="C75" s="143">
        <f>VLOOKUP($A75,'Data shares'!$C:$FA,119)</f>
        <v>0.67</v>
      </c>
      <c r="D75" s="143">
        <f>VLOOKUP($A75,'Data shares'!$C:$FA,121)*100</f>
        <v>25.369999999999997</v>
      </c>
      <c r="E75" s="143">
        <f>VLOOKUP($A75,'Data shares'!$C:$FA,124)</f>
        <v>0.61</v>
      </c>
      <c r="F75" s="143">
        <f>VLOOKUP($A75,'Data shares'!$C:$FA,125)</f>
        <v>0.68</v>
      </c>
      <c r="G75" s="143">
        <f>VLOOKUP($A75,'Data shares'!$C:$FA,127)*100</f>
        <v>-10.290000000000001</v>
      </c>
      <c r="H75" s="103">
        <f>VLOOKUP($A75,'OI(Volume)'!$A$7:$O$427,8)</f>
        <v>5401800</v>
      </c>
      <c r="I75" s="103">
        <f>VLOOKUP($A75,'OI(Volume)'!$A$7:$O$427,9)</f>
        <v>-6287400</v>
      </c>
      <c r="J75" s="103">
        <f>VLOOKUP($A75,'OI(Volume)'!$A$7:$O$427,11)</f>
        <v>4555800</v>
      </c>
      <c r="K75" s="103">
        <f>VLOOKUP($A75,'OI(Volume)'!$A$7:$O$427,12)</f>
        <v>-3256200</v>
      </c>
      <c r="L75" s="103">
        <f>VLOOKUP($A75,'OI(Value)'!$A$7:$O$306,8,0)</f>
        <v>208</v>
      </c>
      <c r="M75" s="103">
        <f>VLOOKUP($A75,'OI(Value)'!$A$7:$O$306,9,0)</f>
        <v>-243</v>
      </c>
      <c r="N75" s="103">
        <f>VLOOKUP($A75,'OI(Value)'!$A$7:$O$306,11,0)</f>
        <v>176</v>
      </c>
      <c r="O75" s="103">
        <f>VLOOKUP($A75,'OI(Value)'!$A$7:$O$306,12,0)</f>
        <v>-126</v>
      </c>
      <c r="P75" s="179">
        <f>VLOOKUP(A75,'OI(Value)'!A75:O276,8,0)</f>
        <v>208</v>
      </c>
      <c r="Q75" s="179">
        <f>VLOOKUP(A75,'OI(Value)'!A75:O276,9,0)</f>
        <v>-243</v>
      </c>
      <c r="R75" s="179">
        <f>VLOOKUP(A75,'OI(Value)'!A75:O276,11,0)</f>
        <v>176</v>
      </c>
      <c r="S75" s="179">
        <f>VLOOKUP(A75,'OI(Value)'!A75:O276,11,0)</f>
        <v>176</v>
      </c>
    </row>
    <row r="76" spans="1:19" x14ac:dyDescent="0.25">
      <c r="A76" s="105" t="str">
        <f>'Data shares'!C71</f>
        <v>FEDERALBNK</v>
      </c>
      <c r="B76" s="143">
        <f>VLOOKUP($A76,'Data shares'!$C:$FA,118)</f>
        <v>0.96</v>
      </c>
      <c r="C76" s="143">
        <f>VLOOKUP($A76,'Data shares'!$C:$FA,119)</f>
        <v>0.67</v>
      </c>
      <c r="D76" s="143">
        <f>VLOOKUP($A76,'Data shares'!$C:$FA,121)*100</f>
        <v>43.28</v>
      </c>
      <c r="E76" s="143">
        <f>VLOOKUP($A76,'Data shares'!$C:$FA,124)</f>
        <v>0.83</v>
      </c>
      <c r="F76" s="143">
        <f>VLOOKUP($A76,'Data shares'!$C:$FA,125)</f>
        <v>0.75</v>
      </c>
      <c r="G76" s="143">
        <f>VLOOKUP($A76,'Data shares'!$C:$FA,127)*100</f>
        <v>10.67</v>
      </c>
      <c r="H76" s="103">
        <f>VLOOKUP($A76,'OI(Volume)'!$A$7:$O$427,8)</f>
        <v>18240000</v>
      </c>
      <c r="I76" s="103">
        <f>VLOOKUP($A76,'OI(Volume)'!$A$7:$O$427,9)</f>
        <v>-26045000</v>
      </c>
      <c r="J76" s="103">
        <f>VLOOKUP($A76,'OI(Volume)'!$A$7:$O$427,11)</f>
        <v>17420000</v>
      </c>
      <c r="K76" s="103">
        <f>VLOOKUP($A76,'OI(Volume)'!$A$7:$O$427,12)</f>
        <v>-12230000</v>
      </c>
      <c r="L76" s="103">
        <f>VLOOKUP($A76,'OI(Value)'!$A$7:$O$306,8,0)</f>
        <v>369</v>
      </c>
      <c r="M76" s="103">
        <f>VLOOKUP($A76,'OI(Value)'!$A$7:$O$306,9,0)</f>
        <v>-527</v>
      </c>
      <c r="N76" s="103">
        <f>VLOOKUP($A76,'OI(Value)'!$A$7:$O$306,11,0)</f>
        <v>353</v>
      </c>
      <c r="O76" s="103">
        <f>VLOOKUP($A76,'OI(Value)'!$A$7:$O$306,12,0)</f>
        <v>-248</v>
      </c>
      <c r="P76" s="179">
        <f>VLOOKUP(A76,'OI(Value)'!A76:O277,8,0)</f>
        <v>369</v>
      </c>
      <c r="Q76" s="179">
        <f>VLOOKUP(A76,'OI(Value)'!A76:O277,9,0)</f>
        <v>-527</v>
      </c>
      <c r="R76" s="179">
        <f>VLOOKUP(A76,'OI(Value)'!A76:O277,11,0)</f>
        <v>353</v>
      </c>
      <c r="S76" s="179">
        <f>VLOOKUP(A76,'OI(Value)'!A76:O277,11,0)</f>
        <v>353</v>
      </c>
    </row>
    <row r="77" spans="1:19" x14ac:dyDescent="0.25">
      <c r="A77" s="105" t="str">
        <f>'Data shares'!C72</f>
        <v>FINNIFTY</v>
      </c>
      <c r="B77" s="143">
        <f>VLOOKUP($A77,'Data shares'!$C:$FA,118)</f>
        <v>1.04</v>
      </c>
      <c r="C77" s="143">
        <f>VLOOKUP($A77,'Data shares'!$C:$FA,119)</f>
        <v>0.7</v>
      </c>
      <c r="D77" s="143">
        <f>VLOOKUP($A77,'Data shares'!$C:$FA,121)*100</f>
        <v>48.57</v>
      </c>
      <c r="E77" s="143">
        <f>VLOOKUP($A77,'Data shares'!$C:$FA,124)</f>
        <v>0.85</v>
      </c>
      <c r="F77" s="143">
        <f>VLOOKUP($A77,'Data shares'!$C:$FA,125)</f>
        <v>0.8</v>
      </c>
      <c r="G77" s="143">
        <f>VLOOKUP($A77,'Data shares'!$C:$FA,127)*100</f>
        <v>6.25</v>
      </c>
      <c r="H77" s="103">
        <f>VLOOKUP($A77,'OI(Volume)'!$A$7:$O$427,8)</f>
        <v>58955</v>
      </c>
      <c r="I77" s="103">
        <f>VLOOKUP($A77,'OI(Volume)'!$A$7:$O$427,9)</f>
        <v>-3266965</v>
      </c>
      <c r="J77" s="103">
        <f>VLOOKUP($A77,'OI(Volume)'!$A$7:$O$427,11)</f>
        <v>61035</v>
      </c>
      <c r="K77" s="103">
        <f>VLOOKUP($A77,'OI(Volume)'!$A$7:$O$427,12)</f>
        <v>-2256345</v>
      </c>
      <c r="L77" s="103">
        <f>VLOOKUP($A77,'OI(Value)'!$A$7:$O$306,8,0)</f>
        <v>158</v>
      </c>
      <c r="M77" s="103">
        <f>VLOOKUP($A77,'OI(Value)'!$A$7:$O$306,9,0)</f>
        <v>-8733</v>
      </c>
      <c r="N77" s="103">
        <f>VLOOKUP($A77,'OI(Value)'!$A$7:$O$306,11,0)</f>
        <v>163</v>
      </c>
      <c r="O77" s="103">
        <f>VLOOKUP($A77,'OI(Value)'!$A$7:$O$306,12,0)</f>
        <v>-6031</v>
      </c>
      <c r="P77" s="179">
        <f>VLOOKUP(A77,'OI(Value)'!A77:O278,8,0)</f>
        <v>158</v>
      </c>
      <c r="Q77" s="179">
        <f>VLOOKUP(A77,'OI(Value)'!A77:O278,9,0)</f>
        <v>-8733</v>
      </c>
      <c r="R77" s="179">
        <f>VLOOKUP(A77,'OI(Value)'!A77:O278,11,0)</f>
        <v>163</v>
      </c>
      <c r="S77" s="179">
        <f>VLOOKUP(A77,'OI(Value)'!A77:O278,11,0)</f>
        <v>163</v>
      </c>
    </row>
    <row r="78" spans="1:19" x14ac:dyDescent="0.25">
      <c r="A78" s="105" t="str">
        <f>'Data shares'!C73</f>
        <v>FORTIS</v>
      </c>
      <c r="B78" s="143">
        <f>VLOOKUP($A78,'Data shares'!$C:$FA,118)</f>
        <v>0.62</v>
      </c>
      <c r="C78" s="143">
        <f>VLOOKUP($A78,'Data shares'!$C:$FA,119)</f>
        <v>0.75</v>
      </c>
      <c r="D78" s="143">
        <f>VLOOKUP($A78,'Data shares'!$C:$FA,121)*100</f>
        <v>-17.330000000000002</v>
      </c>
      <c r="E78" s="143">
        <f>VLOOKUP($A78,'Data shares'!$C:$FA,124)</f>
        <v>0.44</v>
      </c>
      <c r="F78" s="143">
        <f>VLOOKUP($A78,'Data shares'!$C:$FA,125)</f>
        <v>0.6</v>
      </c>
      <c r="G78" s="143">
        <f>VLOOKUP($A78,'Data shares'!$C:$FA,127)*100</f>
        <v>-26.669999999999998</v>
      </c>
      <c r="H78" s="103">
        <f>VLOOKUP($A78,'OI(Volume)'!$A$7:$O$427,8)</f>
        <v>700600</v>
      </c>
      <c r="I78" s="103">
        <f>VLOOKUP($A78,'OI(Volume)'!$A$7:$O$427,9)</f>
        <v>-1937500</v>
      </c>
      <c r="J78" s="103">
        <f>VLOOKUP($A78,'OI(Volume)'!$A$7:$O$427,11)</f>
        <v>432450</v>
      </c>
      <c r="K78" s="103">
        <f>VLOOKUP($A78,'OI(Volume)'!$A$7:$O$427,12)</f>
        <v>-1556200</v>
      </c>
      <c r="L78" s="103">
        <f>VLOOKUP($A78,'OI(Value)'!$A$7:$O$306,8,0)</f>
        <v>60</v>
      </c>
      <c r="M78" s="103">
        <f>VLOOKUP($A78,'OI(Value)'!$A$7:$O$306,9,0)</f>
        <v>-167</v>
      </c>
      <c r="N78" s="103">
        <f>VLOOKUP($A78,'OI(Value)'!$A$7:$O$306,11,0)</f>
        <v>37</v>
      </c>
      <c r="O78" s="103">
        <f>VLOOKUP($A78,'OI(Value)'!$A$7:$O$306,12,0)</f>
        <v>-134</v>
      </c>
      <c r="P78" s="179">
        <f>VLOOKUP(A78,'OI(Value)'!A78:O279,8,0)</f>
        <v>60</v>
      </c>
      <c r="Q78" s="179">
        <f>VLOOKUP(A78,'OI(Value)'!A78:O279,9,0)</f>
        <v>-167</v>
      </c>
      <c r="R78" s="179">
        <f>VLOOKUP(A78,'OI(Value)'!A78:O279,11,0)</f>
        <v>37</v>
      </c>
      <c r="S78" s="179">
        <f>VLOOKUP(A78,'OI(Value)'!A78:O279,11,0)</f>
        <v>37</v>
      </c>
    </row>
    <row r="79" spans="1:19" x14ac:dyDescent="0.25">
      <c r="A79" s="105" t="str">
        <f>'Data shares'!C74</f>
        <v>GAIL</v>
      </c>
      <c r="B79" s="143">
        <f>VLOOKUP($A79,'Data shares'!$C:$FA,118)</f>
        <v>0.9</v>
      </c>
      <c r="C79" s="143">
        <f>VLOOKUP($A79,'Data shares'!$C:$FA,119)</f>
        <v>0.69</v>
      </c>
      <c r="D79" s="143">
        <f>VLOOKUP($A79,'Data shares'!$C:$FA,121)*100</f>
        <v>30.43</v>
      </c>
      <c r="E79" s="143">
        <f>VLOOKUP($A79,'Data shares'!$C:$FA,124)</f>
        <v>0.91</v>
      </c>
      <c r="F79" s="143">
        <f>VLOOKUP($A79,'Data shares'!$C:$FA,125)</f>
        <v>0.71</v>
      </c>
      <c r="G79" s="143">
        <f>VLOOKUP($A79,'Data shares'!$C:$FA,127)*100</f>
        <v>28.17</v>
      </c>
      <c r="H79" s="103">
        <f>VLOOKUP($A79,'OI(Volume)'!$A$7:$O$427,8)</f>
        <v>26885250</v>
      </c>
      <c r="I79" s="103">
        <f>VLOOKUP($A79,'OI(Volume)'!$A$7:$O$427,9)</f>
        <v>-21325500</v>
      </c>
      <c r="J79" s="103">
        <f>VLOOKUP($A79,'OI(Volume)'!$A$7:$O$427,11)</f>
        <v>24242400</v>
      </c>
      <c r="K79" s="103">
        <f>VLOOKUP($A79,'OI(Volume)'!$A$7:$O$427,12)</f>
        <v>-8917650</v>
      </c>
      <c r="L79" s="103">
        <f>VLOOKUP($A79,'OI(Value)'!$A$7:$O$306,8,0)</f>
        <v>477</v>
      </c>
      <c r="M79" s="103">
        <f>VLOOKUP($A79,'OI(Value)'!$A$7:$O$306,9,0)</f>
        <v>-378</v>
      </c>
      <c r="N79" s="103">
        <f>VLOOKUP($A79,'OI(Value)'!$A$7:$O$306,11,0)</f>
        <v>430</v>
      </c>
      <c r="O79" s="103">
        <f>VLOOKUP($A79,'OI(Value)'!$A$7:$O$306,12,0)</f>
        <v>-158</v>
      </c>
      <c r="P79" s="179">
        <f>VLOOKUP(A79,'OI(Value)'!A79:O280,8,0)</f>
        <v>477</v>
      </c>
      <c r="Q79" s="179">
        <f>VLOOKUP(A79,'OI(Value)'!A79:O280,9,0)</f>
        <v>-378</v>
      </c>
      <c r="R79" s="179">
        <f>VLOOKUP(A79,'OI(Value)'!A79:O280,11,0)</f>
        <v>430</v>
      </c>
      <c r="S79" s="179">
        <f>VLOOKUP(A79,'OI(Value)'!A79:O280,11,0)</f>
        <v>430</v>
      </c>
    </row>
    <row r="80" spans="1:19" x14ac:dyDescent="0.25">
      <c r="A80" s="105" t="str">
        <f>'Data shares'!C75</f>
        <v>GLENMARK</v>
      </c>
      <c r="B80" s="143">
        <f>VLOOKUP($A80,'Data shares'!$C:$FA,118)</f>
        <v>0.73</v>
      </c>
      <c r="C80" s="143">
        <f>VLOOKUP($A80,'Data shares'!$C:$FA,119)</f>
        <v>0.8</v>
      </c>
      <c r="D80" s="143">
        <f>VLOOKUP($A80,'Data shares'!$C:$FA,121)*100</f>
        <v>-8.75</v>
      </c>
      <c r="E80" s="143">
        <f>VLOOKUP($A80,'Data shares'!$C:$FA,124)</f>
        <v>0.71</v>
      </c>
      <c r="F80" s="143">
        <f>VLOOKUP($A80,'Data shares'!$C:$FA,125)</f>
        <v>0.78</v>
      </c>
      <c r="G80" s="143">
        <f>VLOOKUP($A80,'Data shares'!$C:$FA,127)*100</f>
        <v>-8.9700000000000006</v>
      </c>
      <c r="H80" s="103">
        <f>VLOOKUP($A80,'OI(Volume)'!$A$7:$O$427,8)</f>
        <v>733125</v>
      </c>
      <c r="I80" s="103">
        <f>VLOOKUP($A80,'OI(Volume)'!$A$7:$O$427,9)</f>
        <v>-5108625</v>
      </c>
      <c r="J80" s="103">
        <f>VLOOKUP($A80,'OI(Volume)'!$A$7:$O$427,11)</f>
        <v>538125</v>
      </c>
      <c r="K80" s="103">
        <f>VLOOKUP($A80,'OI(Volume)'!$A$7:$O$427,12)</f>
        <v>-4162500</v>
      </c>
      <c r="L80" s="103">
        <f>VLOOKUP($A80,'OI(Value)'!$A$7:$O$306,8,0)</f>
        <v>157</v>
      </c>
      <c r="M80" s="103">
        <f>VLOOKUP($A80,'OI(Value)'!$A$7:$O$306,9,0)</f>
        <v>-1096</v>
      </c>
      <c r="N80" s="103">
        <f>VLOOKUP($A80,'OI(Value)'!$A$7:$O$306,11,0)</f>
        <v>115</v>
      </c>
      <c r="O80" s="103">
        <f>VLOOKUP($A80,'OI(Value)'!$A$7:$O$306,12,0)</f>
        <v>-893</v>
      </c>
      <c r="P80" s="179">
        <f>VLOOKUP(A80,'OI(Value)'!A80:O281,8,0)</f>
        <v>157</v>
      </c>
      <c r="Q80" s="179">
        <f>VLOOKUP(A80,'OI(Value)'!A80:O281,9,0)</f>
        <v>-1096</v>
      </c>
      <c r="R80" s="179">
        <f>VLOOKUP(A80,'OI(Value)'!A80:O281,11,0)</f>
        <v>115</v>
      </c>
      <c r="S80" s="179">
        <f>VLOOKUP(A80,'OI(Value)'!A80:O281,11,0)</f>
        <v>115</v>
      </c>
    </row>
    <row r="81" spans="1:19" x14ac:dyDescent="0.25">
      <c r="A81" s="105" t="str">
        <f>'Data shares'!C76</f>
        <v>GMRAIRPORT</v>
      </c>
      <c r="B81" s="143">
        <f>VLOOKUP($A81,'Data shares'!$C:$FA,118)</f>
        <v>0.5</v>
      </c>
      <c r="C81" s="143">
        <f>VLOOKUP($A81,'Data shares'!$C:$FA,119)</f>
        <v>0.45</v>
      </c>
      <c r="D81" s="143">
        <f>VLOOKUP($A81,'Data shares'!$C:$FA,121)*100</f>
        <v>11.110000000000001</v>
      </c>
      <c r="E81" s="143">
        <f>VLOOKUP($A81,'Data shares'!$C:$FA,124)</f>
        <v>1.03</v>
      </c>
      <c r="F81" s="143">
        <f>VLOOKUP($A81,'Data shares'!$C:$FA,125)</f>
        <v>0.4</v>
      </c>
      <c r="G81" s="143">
        <f>VLOOKUP($A81,'Data shares'!$C:$FA,127)*100</f>
        <v>157.5</v>
      </c>
      <c r="H81" s="103">
        <f>VLOOKUP($A81,'OI(Volume)'!$A$7:$O$427,8)</f>
        <v>47485800</v>
      </c>
      <c r="I81" s="103">
        <f>VLOOKUP($A81,'OI(Volume)'!$A$7:$O$427,9)</f>
        <v>-56546325</v>
      </c>
      <c r="J81" s="103">
        <f>VLOOKUP($A81,'OI(Volume)'!$A$7:$O$427,11)</f>
        <v>23742900</v>
      </c>
      <c r="K81" s="103">
        <f>VLOOKUP($A81,'OI(Volume)'!$A$7:$O$427,12)</f>
        <v>-23561550</v>
      </c>
      <c r="L81" s="103">
        <f>VLOOKUP($A81,'OI(Value)'!$A$7:$O$306,8,0)</f>
        <v>430</v>
      </c>
      <c r="M81" s="103">
        <f>VLOOKUP($A81,'OI(Value)'!$A$7:$O$306,9,0)</f>
        <v>-512</v>
      </c>
      <c r="N81" s="103">
        <f>VLOOKUP($A81,'OI(Value)'!$A$7:$O$306,11,0)</f>
        <v>215</v>
      </c>
      <c r="O81" s="103">
        <f>VLOOKUP($A81,'OI(Value)'!$A$7:$O$306,12,0)</f>
        <v>-213</v>
      </c>
      <c r="P81" s="179">
        <f>VLOOKUP(A81,'OI(Value)'!A81:O282,8,0)</f>
        <v>430</v>
      </c>
      <c r="Q81" s="179">
        <f>VLOOKUP(A81,'OI(Value)'!A81:O282,9,0)</f>
        <v>-512</v>
      </c>
      <c r="R81" s="179">
        <f>VLOOKUP(A81,'OI(Value)'!A81:O282,11,0)</f>
        <v>215</v>
      </c>
      <c r="S81" s="179">
        <f>VLOOKUP(A81,'OI(Value)'!A81:O282,11,0)</f>
        <v>215</v>
      </c>
    </row>
    <row r="82" spans="1:19" x14ac:dyDescent="0.25">
      <c r="A82" s="105" t="str">
        <f>'Data shares'!C77</f>
        <v>GODREJCP</v>
      </c>
      <c r="B82" s="143">
        <f>VLOOKUP($A82,'Data shares'!$C:$FA,118)</f>
        <v>0.57999999999999996</v>
      </c>
      <c r="C82" s="143">
        <f>VLOOKUP($A82,'Data shares'!$C:$FA,119)</f>
        <v>0.67</v>
      </c>
      <c r="D82" s="143">
        <f>VLOOKUP($A82,'Data shares'!$C:$FA,121)*100</f>
        <v>-13.43</v>
      </c>
      <c r="E82" s="143">
        <f>VLOOKUP($A82,'Data shares'!$C:$FA,124)</f>
        <v>0.2</v>
      </c>
      <c r="F82" s="143">
        <f>VLOOKUP($A82,'Data shares'!$C:$FA,125)</f>
        <v>0.39</v>
      </c>
      <c r="G82" s="143">
        <f>VLOOKUP($A82,'Data shares'!$C:$FA,127)*100</f>
        <v>-48.72</v>
      </c>
      <c r="H82" s="103">
        <f>VLOOKUP($A82,'OI(Volume)'!$A$7:$O$427,8)</f>
        <v>606500</v>
      </c>
      <c r="I82" s="103">
        <f>VLOOKUP($A82,'OI(Volume)'!$A$7:$O$427,9)</f>
        <v>-1518000</v>
      </c>
      <c r="J82" s="103">
        <f>VLOOKUP($A82,'OI(Volume)'!$A$7:$O$427,11)</f>
        <v>349000</v>
      </c>
      <c r="K82" s="103">
        <f>VLOOKUP($A82,'OI(Volume)'!$A$7:$O$427,12)</f>
        <v>-1079500</v>
      </c>
      <c r="L82" s="103">
        <f>VLOOKUP($A82,'OI(Value)'!$A$7:$O$306,8,0)</f>
        <v>76</v>
      </c>
      <c r="M82" s="103">
        <f>VLOOKUP($A82,'OI(Value)'!$A$7:$O$306,9,0)</f>
        <v>-191</v>
      </c>
      <c r="N82" s="103">
        <f>VLOOKUP($A82,'OI(Value)'!$A$7:$O$306,11,0)</f>
        <v>44</v>
      </c>
      <c r="O82" s="103">
        <f>VLOOKUP($A82,'OI(Value)'!$A$7:$O$306,12,0)</f>
        <v>-136</v>
      </c>
      <c r="P82" s="179">
        <f>VLOOKUP(A82,'OI(Value)'!A82:O283,8,0)</f>
        <v>76</v>
      </c>
      <c r="Q82" s="179">
        <f>VLOOKUP(A82,'OI(Value)'!A82:O283,9,0)</f>
        <v>-191</v>
      </c>
      <c r="R82" s="179">
        <f>VLOOKUP(A82,'OI(Value)'!A82:O283,11,0)</f>
        <v>44</v>
      </c>
      <c r="S82" s="179">
        <f>VLOOKUP(A82,'OI(Value)'!A82:O283,11,0)</f>
        <v>44</v>
      </c>
    </row>
    <row r="83" spans="1:19" x14ac:dyDescent="0.25">
      <c r="A83" s="105" t="str">
        <f>'Data shares'!C78</f>
        <v>GODREJPROP</v>
      </c>
      <c r="B83" s="143">
        <f>VLOOKUP($A83,'Data shares'!$C:$FA,118)</f>
        <v>0.93</v>
      </c>
      <c r="C83" s="143">
        <f>VLOOKUP($A83,'Data shares'!$C:$FA,119)</f>
        <v>0.52</v>
      </c>
      <c r="D83" s="143">
        <f>VLOOKUP($A83,'Data shares'!$C:$FA,121)*100</f>
        <v>78.849999999999994</v>
      </c>
      <c r="E83" s="143">
        <f>VLOOKUP($A83,'Data shares'!$C:$FA,124)</f>
        <v>0.53</v>
      </c>
      <c r="F83" s="143">
        <f>VLOOKUP($A83,'Data shares'!$C:$FA,125)</f>
        <v>0.52</v>
      </c>
      <c r="G83" s="143">
        <f>VLOOKUP($A83,'Data shares'!$C:$FA,127)*100</f>
        <v>1.92</v>
      </c>
      <c r="H83" s="103">
        <f>VLOOKUP($A83,'OI(Volume)'!$A$7:$O$427,8)</f>
        <v>1021350</v>
      </c>
      <c r="I83" s="103">
        <f>VLOOKUP($A83,'OI(Volume)'!$A$7:$O$427,9)</f>
        <v>-2268475</v>
      </c>
      <c r="J83" s="103">
        <f>VLOOKUP($A83,'OI(Volume)'!$A$7:$O$427,11)</f>
        <v>950400</v>
      </c>
      <c r="K83" s="103">
        <f>VLOOKUP($A83,'OI(Volume)'!$A$7:$O$427,12)</f>
        <v>-776325</v>
      </c>
      <c r="L83" s="103">
        <f>VLOOKUP($A83,'OI(Value)'!$A$7:$O$306,8,0)</f>
        <v>215</v>
      </c>
      <c r="M83" s="103">
        <f>VLOOKUP($A83,'OI(Value)'!$A$7:$O$306,9,0)</f>
        <v>-478</v>
      </c>
      <c r="N83" s="103">
        <f>VLOOKUP($A83,'OI(Value)'!$A$7:$O$306,11,0)</f>
        <v>200</v>
      </c>
      <c r="O83" s="103">
        <f>VLOOKUP($A83,'OI(Value)'!$A$7:$O$306,12,0)</f>
        <v>-164</v>
      </c>
      <c r="P83" s="179">
        <f>VLOOKUP(A83,'OI(Value)'!A83:O284,8,0)</f>
        <v>215</v>
      </c>
      <c r="Q83" s="179">
        <f>VLOOKUP(A83,'OI(Value)'!A83:O284,9,0)</f>
        <v>-478</v>
      </c>
      <c r="R83" s="179">
        <f>VLOOKUP(A83,'OI(Value)'!A83:O284,11,0)</f>
        <v>200</v>
      </c>
      <c r="S83" s="179">
        <f>VLOOKUP(A83,'OI(Value)'!A83:O284,11,0)</f>
        <v>200</v>
      </c>
    </row>
    <row r="84" spans="1:19" x14ac:dyDescent="0.25">
      <c r="A84" s="105" t="str">
        <f>'Data shares'!C79</f>
        <v>GRANULES</v>
      </c>
      <c r="B84" s="143">
        <f>VLOOKUP($A84,'Data shares'!$C:$FA,118)</f>
        <v>0.67</v>
      </c>
      <c r="C84" s="143">
        <f>VLOOKUP($A84,'Data shares'!$C:$FA,119)</f>
        <v>0.57999999999999996</v>
      </c>
      <c r="D84" s="143">
        <f>VLOOKUP($A84,'Data shares'!$C:$FA,121)*100</f>
        <v>15.52</v>
      </c>
      <c r="E84" s="143">
        <f>VLOOKUP($A84,'Data shares'!$C:$FA,124)</f>
        <v>0.76</v>
      </c>
      <c r="F84" s="143">
        <f>VLOOKUP($A84,'Data shares'!$C:$FA,125)</f>
        <v>0.33</v>
      </c>
      <c r="G84" s="143">
        <f>VLOOKUP($A84,'Data shares'!$C:$FA,127)*100</f>
        <v>130.29999999999998</v>
      </c>
      <c r="H84" s="103">
        <f>VLOOKUP($A84,'OI(Volume)'!$A$7:$O$427,8)</f>
        <v>1766225</v>
      </c>
      <c r="I84" s="103">
        <f>VLOOKUP($A84,'OI(Volume)'!$A$7:$O$427,9)</f>
        <v>-3007850</v>
      </c>
      <c r="J84" s="103">
        <f>VLOOKUP($A84,'OI(Volume)'!$A$7:$O$427,11)</f>
        <v>1190025</v>
      </c>
      <c r="K84" s="103">
        <f>VLOOKUP($A84,'OI(Volume)'!$A$7:$O$427,12)</f>
        <v>-1586700</v>
      </c>
      <c r="L84" s="103">
        <f>VLOOKUP($A84,'OI(Value)'!$A$7:$O$306,8,0)</f>
        <v>84</v>
      </c>
      <c r="M84" s="103">
        <f>VLOOKUP($A84,'OI(Value)'!$A$7:$O$306,9,0)</f>
        <v>-143</v>
      </c>
      <c r="N84" s="103">
        <f>VLOOKUP($A84,'OI(Value)'!$A$7:$O$306,11,0)</f>
        <v>57</v>
      </c>
      <c r="O84" s="103">
        <f>VLOOKUP($A84,'OI(Value)'!$A$7:$O$306,12,0)</f>
        <v>-76</v>
      </c>
      <c r="P84" s="179">
        <f>VLOOKUP(A84,'OI(Value)'!A84:O285,8,0)</f>
        <v>84</v>
      </c>
      <c r="Q84" s="179">
        <f>VLOOKUP(A84,'OI(Value)'!A84:O285,9,0)</f>
        <v>-143</v>
      </c>
      <c r="R84" s="179">
        <f>VLOOKUP(A84,'OI(Value)'!A84:O285,11,0)</f>
        <v>57</v>
      </c>
      <c r="S84" s="179">
        <f>VLOOKUP(A84,'OI(Value)'!A84:O285,11,0)</f>
        <v>57</v>
      </c>
    </row>
    <row r="85" spans="1:19" x14ac:dyDescent="0.25">
      <c r="A85" s="105" t="str">
        <f>'Data shares'!C80</f>
        <v>GRASIM</v>
      </c>
      <c r="B85" s="143">
        <f>VLOOKUP($A85,'Data shares'!$C:$FA,118)</f>
        <v>0.77</v>
      </c>
      <c r="C85" s="143">
        <f>VLOOKUP($A85,'Data shares'!$C:$FA,119)</f>
        <v>0.52</v>
      </c>
      <c r="D85" s="143">
        <f>VLOOKUP($A85,'Data shares'!$C:$FA,121)*100</f>
        <v>48.08</v>
      </c>
      <c r="E85" s="143">
        <f>VLOOKUP($A85,'Data shares'!$C:$FA,124)</f>
        <v>0.47</v>
      </c>
      <c r="F85" s="143">
        <f>VLOOKUP($A85,'Data shares'!$C:$FA,125)</f>
        <v>0.22</v>
      </c>
      <c r="G85" s="143">
        <f>VLOOKUP($A85,'Data shares'!$C:$FA,127)*100</f>
        <v>113.64000000000001</v>
      </c>
      <c r="H85" s="103">
        <f>VLOOKUP($A85,'OI(Volume)'!$A$7:$O$427,8)</f>
        <v>512000</v>
      </c>
      <c r="I85" s="103">
        <f>VLOOKUP($A85,'OI(Volume)'!$A$7:$O$427,9)</f>
        <v>-1410750</v>
      </c>
      <c r="J85" s="103">
        <f>VLOOKUP($A85,'OI(Volume)'!$A$7:$O$427,11)</f>
        <v>395500</v>
      </c>
      <c r="K85" s="103">
        <f>VLOOKUP($A85,'OI(Volume)'!$A$7:$O$427,12)</f>
        <v>-613500</v>
      </c>
      <c r="L85" s="103">
        <f>VLOOKUP($A85,'OI(Value)'!$A$7:$O$306,8,0)</f>
        <v>141</v>
      </c>
      <c r="M85" s="103">
        <f>VLOOKUP($A85,'OI(Value)'!$A$7:$O$306,9,0)</f>
        <v>-388</v>
      </c>
      <c r="N85" s="103">
        <f>VLOOKUP($A85,'OI(Value)'!$A$7:$O$306,11,0)</f>
        <v>109</v>
      </c>
      <c r="O85" s="103">
        <f>VLOOKUP($A85,'OI(Value)'!$A$7:$O$306,12,0)</f>
        <v>-169</v>
      </c>
      <c r="P85" s="179">
        <f>VLOOKUP(A85,'OI(Value)'!A85:O286,8,0)</f>
        <v>141</v>
      </c>
      <c r="Q85" s="179">
        <f>VLOOKUP(A85,'OI(Value)'!A85:O286,9,0)</f>
        <v>-388</v>
      </c>
      <c r="R85" s="179">
        <f>VLOOKUP(A85,'OI(Value)'!A85:O286,11,0)</f>
        <v>109</v>
      </c>
      <c r="S85" s="179">
        <f>VLOOKUP(A85,'OI(Value)'!A85:O286,11,0)</f>
        <v>109</v>
      </c>
    </row>
    <row r="86" spans="1:19" x14ac:dyDescent="0.25">
      <c r="A86" s="105" t="str">
        <f>'Data shares'!C81</f>
        <v>HAL</v>
      </c>
      <c r="B86" s="143">
        <f>VLOOKUP($A86,'Data shares'!$C:$FA,118)</f>
        <v>0.86</v>
      </c>
      <c r="C86" s="143">
        <f>VLOOKUP($A86,'Data shares'!$C:$FA,119)</f>
        <v>0.56999999999999995</v>
      </c>
      <c r="D86" s="143">
        <f>VLOOKUP($A86,'Data shares'!$C:$FA,121)*100</f>
        <v>50.88</v>
      </c>
      <c r="E86" s="143">
        <f>VLOOKUP($A86,'Data shares'!$C:$FA,124)</f>
        <v>0.44</v>
      </c>
      <c r="F86" s="143">
        <f>VLOOKUP($A86,'Data shares'!$C:$FA,125)</f>
        <v>0.31</v>
      </c>
      <c r="G86" s="143">
        <f>VLOOKUP($A86,'Data shares'!$C:$FA,127)*100</f>
        <v>41.94</v>
      </c>
      <c r="H86" s="103">
        <f>VLOOKUP($A86,'OI(Volume)'!$A$7:$O$427,8)</f>
        <v>2283900</v>
      </c>
      <c r="I86" s="103">
        <f>VLOOKUP($A86,'OI(Volume)'!$A$7:$O$427,9)</f>
        <v>-4083900</v>
      </c>
      <c r="J86" s="103">
        <f>VLOOKUP($A86,'OI(Volume)'!$A$7:$O$427,11)</f>
        <v>1968300</v>
      </c>
      <c r="K86" s="103">
        <f>VLOOKUP($A86,'OI(Volume)'!$A$7:$O$427,12)</f>
        <v>-1653300</v>
      </c>
      <c r="L86" s="103">
        <f>VLOOKUP($A86,'OI(Value)'!$A$7:$O$306,8,0)</f>
        <v>1036</v>
      </c>
      <c r="M86" s="103">
        <f>VLOOKUP($A86,'OI(Value)'!$A$7:$O$306,9,0)</f>
        <v>-1853</v>
      </c>
      <c r="N86" s="103">
        <f>VLOOKUP($A86,'OI(Value)'!$A$7:$O$306,11,0)</f>
        <v>893</v>
      </c>
      <c r="O86" s="103">
        <f>VLOOKUP($A86,'OI(Value)'!$A$7:$O$306,12,0)</f>
        <v>-750</v>
      </c>
      <c r="P86" s="179">
        <f>VLOOKUP(A86,'OI(Value)'!A86:O287,8,0)</f>
        <v>1036</v>
      </c>
      <c r="Q86" s="179">
        <f>VLOOKUP(A86,'OI(Value)'!A86:O287,9,0)</f>
        <v>-1853</v>
      </c>
      <c r="R86" s="179">
        <f>VLOOKUP(A86,'OI(Value)'!A86:O287,11,0)</f>
        <v>893</v>
      </c>
      <c r="S86" s="179">
        <f>VLOOKUP(A86,'OI(Value)'!A86:O287,11,0)</f>
        <v>893</v>
      </c>
    </row>
    <row r="87" spans="1:19" x14ac:dyDescent="0.25">
      <c r="A87" s="105" t="str">
        <f>'Data shares'!C82</f>
        <v>HAVELLS</v>
      </c>
      <c r="B87" s="143">
        <f>VLOOKUP($A87,'Data shares'!$C:$FA,118)</f>
        <v>0.83</v>
      </c>
      <c r="C87" s="143">
        <f>VLOOKUP($A87,'Data shares'!$C:$FA,119)</f>
        <v>0.86</v>
      </c>
      <c r="D87" s="143">
        <f>VLOOKUP($A87,'Data shares'!$C:$FA,121)*100</f>
        <v>-3.49</v>
      </c>
      <c r="E87" s="143">
        <f>VLOOKUP($A87,'Data shares'!$C:$FA,124)</f>
        <v>0.56999999999999995</v>
      </c>
      <c r="F87" s="143">
        <f>VLOOKUP($A87,'Data shares'!$C:$FA,125)</f>
        <v>0.55000000000000004</v>
      </c>
      <c r="G87" s="143">
        <f>VLOOKUP($A87,'Data shares'!$C:$FA,127)*100</f>
        <v>3.64</v>
      </c>
      <c r="H87" s="103">
        <f>VLOOKUP($A87,'OI(Volume)'!$A$7:$O$427,8)</f>
        <v>1138000</v>
      </c>
      <c r="I87" s="103">
        <f>VLOOKUP($A87,'OI(Volume)'!$A$7:$O$427,9)</f>
        <v>-1626000</v>
      </c>
      <c r="J87" s="103">
        <f>VLOOKUP($A87,'OI(Volume)'!$A$7:$O$427,11)</f>
        <v>949500</v>
      </c>
      <c r="K87" s="103">
        <f>VLOOKUP($A87,'OI(Volume)'!$A$7:$O$427,12)</f>
        <v>-1440500</v>
      </c>
      <c r="L87" s="103">
        <f>VLOOKUP($A87,'OI(Value)'!$A$7:$O$306,8,0)</f>
        <v>172</v>
      </c>
      <c r="M87" s="103">
        <f>VLOOKUP($A87,'OI(Value)'!$A$7:$O$306,9,0)</f>
        <v>-245</v>
      </c>
      <c r="N87" s="103">
        <f>VLOOKUP($A87,'OI(Value)'!$A$7:$O$306,11,0)</f>
        <v>143</v>
      </c>
      <c r="O87" s="103">
        <f>VLOOKUP($A87,'OI(Value)'!$A$7:$O$306,12,0)</f>
        <v>-217</v>
      </c>
      <c r="P87" s="179">
        <f>VLOOKUP(A87,'OI(Value)'!A87:O288,8,0)</f>
        <v>172</v>
      </c>
      <c r="Q87" s="179">
        <f>VLOOKUP(A87,'OI(Value)'!A87:O288,9,0)</f>
        <v>-245</v>
      </c>
      <c r="R87" s="179">
        <f>VLOOKUP(A87,'OI(Value)'!A87:O288,11,0)</f>
        <v>143</v>
      </c>
      <c r="S87" s="179">
        <f>VLOOKUP(A87,'OI(Value)'!A87:O288,11,0)</f>
        <v>143</v>
      </c>
    </row>
    <row r="88" spans="1:19" x14ac:dyDescent="0.25">
      <c r="A88" s="105" t="str">
        <f>'Data shares'!C83</f>
        <v>HCLTECH</v>
      </c>
      <c r="B88" s="143">
        <f>VLOOKUP($A88,'Data shares'!$C:$FA,118)</f>
        <v>0.67</v>
      </c>
      <c r="C88" s="143">
        <f>VLOOKUP($A88,'Data shares'!$C:$FA,119)</f>
        <v>0.41</v>
      </c>
      <c r="D88" s="143">
        <f>VLOOKUP($A88,'Data shares'!$C:$FA,121)*100</f>
        <v>63.41</v>
      </c>
      <c r="E88" s="143">
        <f>VLOOKUP($A88,'Data shares'!$C:$FA,124)</f>
        <v>0.62</v>
      </c>
      <c r="F88" s="143">
        <f>VLOOKUP($A88,'Data shares'!$C:$FA,125)</f>
        <v>0.46</v>
      </c>
      <c r="G88" s="143">
        <f>VLOOKUP($A88,'Data shares'!$C:$FA,127)*100</f>
        <v>34.78</v>
      </c>
      <c r="H88" s="103">
        <f>VLOOKUP($A88,'OI(Volume)'!$A$7:$O$427,8)</f>
        <v>3955000</v>
      </c>
      <c r="I88" s="103">
        <f>VLOOKUP($A88,'OI(Volume)'!$A$7:$O$427,9)</f>
        <v>-9336600</v>
      </c>
      <c r="J88" s="103">
        <f>VLOOKUP($A88,'OI(Volume)'!$A$7:$O$427,11)</f>
        <v>2645650</v>
      </c>
      <c r="K88" s="103">
        <f>VLOOKUP($A88,'OI(Volume)'!$A$7:$O$427,12)</f>
        <v>-2836750</v>
      </c>
      <c r="L88" s="103">
        <f>VLOOKUP($A88,'OI(Value)'!$A$7:$O$306,8,0)</f>
        <v>584</v>
      </c>
      <c r="M88" s="103">
        <f>VLOOKUP($A88,'OI(Value)'!$A$7:$O$306,9,0)</f>
        <v>-1378</v>
      </c>
      <c r="N88" s="103">
        <f>VLOOKUP($A88,'OI(Value)'!$A$7:$O$306,11,0)</f>
        <v>391</v>
      </c>
      <c r="O88" s="103">
        <f>VLOOKUP($A88,'OI(Value)'!$A$7:$O$306,12,0)</f>
        <v>-419</v>
      </c>
      <c r="P88" s="179">
        <f>VLOOKUP(A88,'OI(Value)'!A88:O289,8,0)</f>
        <v>584</v>
      </c>
      <c r="Q88" s="179">
        <f>VLOOKUP(A88,'OI(Value)'!A88:O289,9,0)</f>
        <v>-1378</v>
      </c>
      <c r="R88" s="179">
        <f>VLOOKUP(A88,'OI(Value)'!A88:O289,11,0)</f>
        <v>391</v>
      </c>
      <c r="S88" s="179">
        <f>VLOOKUP(A88,'OI(Value)'!A88:O289,11,0)</f>
        <v>391</v>
      </c>
    </row>
    <row r="89" spans="1:19" x14ac:dyDescent="0.25">
      <c r="A89" s="105" t="str">
        <f>'Data shares'!C84</f>
        <v>HDFCAMC</v>
      </c>
      <c r="B89" s="143">
        <f>VLOOKUP($A89,'Data shares'!$C:$FA,118)</f>
        <v>0.59</v>
      </c>
      <c r="C89" s="143">
        <f>VLOOKUP($A89,'Data shares'!$C:$FA,119)</f>
        <v>0.73</v>
      </c>
      <c r="D89" s="143">
        <f>VLOOKUP($A89,'Data shares'!$C:$FA,121)*100</f>
        <v>-19.18</v>
      </c>
      <c r="E89" s="143">
        <f>VLOOKUP($A89,'Data shares'!$C:$FA,124)</f>
        <v>0.68</v>
      </c>
      <c r="F89" s="143">
        <f>VLOOKUP($A89,'Data shares'!$C:$FA,125)</f>
        <v>0.52</v>
      </c>
      <c r="G89" s="143">
        <f>VLOOKUP($A89,'Data shares'!$C:$FA,127)*100</f>
        <v>30.769999999999996</v>
      </c>
      <c r="H89" s="103">
        <f>VLOOKUP($A89,'OI(Volume)'!$A$7:$O$427,8)</f>
        <v>778800</v>
      </c>
      <c r="I89" s="103">
        <f>VLOOKUP($A89,'OI(Volume)'!$A$7:$O$427,9)</f>
        <v>-803700</v>
      </c>
      <c r="J89" s="103">
        <f>VLOOKUP($A89,'OI(Volume)'!$A$7:$O$427,11)</f>
        <v>456900</v>
      </c>
      <c r="K89" s="103">
        <f>VLOOKUP($A89,'OI(Volume)'!$A$7:$O$427,12)</f>
        <v>-705600</v>
      </c>
      <c r="L89" s="103">
        <f>VLOOKUP($A89,'OI(Value)'!$A$7:$O$306,8,0)</f>
        <v>439</v>
      </c>
      <c r="M89" s="103">
        <f>VLOOKUP($A89,'OI(Value)'!$A$7:$O$306,9,0)</f>
        <v>-453</v>
      </c>
      <c r="N89" s="103">
        <f>VLOOKUP($A89,'OI(Value)'!$A$7:$O$306,11,0)</f>
        <v>258</v>
      </c>
      <c r="O89" s="103">
        <f>VLOOKUP($A89,'OI(Value)'!$A$7:$O$306,12,0)</f>
        <v>-398</v>
      </c>
      <c r="P89" s="179">
        <f>VLOOKUP(A89,'OI(Value)'!A89:O290,8,0)</f>
        <v>439</v>
      </c>
      <c r="Q89" s="179">
        <f>VLOOKUP(A89,'OI(Value)'!A89:O290,9,0)</f>
        <v>-453</v>
      </c>
      <c r="R89" s="179">
        <f>VLOOKUP(A89,'OI(Value)'!A89:O290,11,0)</f>
        <v>258</v>
      </c>
      <c r="S89" s="179">
        <f>VLOOKUP(A89,'OI(Value)'!A89:O290,11,0)</f>
        <v>258</v>
      </c>
    </row>
    <row r="90" spans="1:19" x14ac:dyDescent="0.25">
      <c r="A90" s="105" t="str">
        <f>'Data shares'!C85</f>
        <v>HDFCBANK</v>
      </c>
      <c r="B90" s="143">
        <f>VLOOKUP($A90,'Data shares'!$C:$FA,118)</f>
        <v>1.26</v>
      </c>
      <c r="C90" s="143">
        <f>VLOOKUP($A90,'Data shares'!$C:$FA,119)</f>
        <v>0.78</v>
      </c>
      <c r="D90" s="143">
        <f>VLOOKUP($A90,'Data shares'!$C:$FA,121)*100</f>
        <v>61.539999999999992</v>
      </c>
      <c r="E90" s="143">
        <f>VLOOKUP($A90,'Data shares'!$C:$FA,124)</f>
        <v>0.99</v>
      </c>
      <c r="F90" s="143">
        <f>VLOOKUP($A90,'Data shares'!$C:$FA,125)</f>
        <v>0.81</v>
      </c>
      <c r="G90" s="143">
        <f>VLOOKUP($A90,'Data shares'!$C:$FA,127)*100</f>
        <v>22.220000000000002</v>
      </c>
      <c r="H90" s="103">
        <f>VLOOKUP($A90,'OI(Volume)'!$A$7:$O$427,8)</f>
        <v>8599800</v>
      </c>
      <c r="I90" s="103">
        <f>VLOOKUP($A90,'OI(Volume)'!$A$7:$O$427,9)</f>
        <v>-21255300</v>
      </c>
      <c r="J90" s="103">
        <f>VLOOKUP($A90,'OI(Volume)'!$A$7:$O$427,11)</f>
        <v>10793200</v>
      </c>
      <c r="K90" s="103">
        <f>VLOOKUP($A90,'OI(Volume)'!$A$7:$O$427,12)</f>
        <v>-12401400</v>
      </c>
      <c r="L90" s="103">
        <f>VLOOKUP($A90,'OI(Value)'!$A$7:$O$306,8,0)</f>
        <v>1745</v>
      </c>
      <c r="M90" s="103">
        <f>VLOOKUP($A90,'OI(Value)'!$A$7:$O$306,9,0)</f>
        <v>-4312</v>
      </c>
      <c r="N90" s="103">
        <f>VLOOKUP($A90,'OI(Value)'!$A$7:$O$306,11,0)</f>
        <v>2190</v>
      </c>
      <c r="O90" s="103">
        <f>VLOOKUP($A90,'OI(Value)'!$A$7:$O$306,12,0)</f>
        <v>-2516</v>
      </c>
      <c r="P90" s="179">
        <f>VLOOKUP(A90,'OI(Value)'!A90:O291,8,0)</f>
        <v>1745</v>
      </c>
      <c r="Q90" s="179">
        <f>VLOOKUP(A90,'OI(Value)'!A90:O291,9,0)</f>
        <v>-4312</v>
      </c>
      <c r="R90" s="179">
        <f>VLOOKUP(A90,'OI(Value)'!A90:O291,11,0)</f>
        <v>2190</v>
      </c>
      <c r="S90" s="179">
        <f>VLOOKUP(A90,'OI(Value)'!A90:O291,11,0)</f>
        <v>2190</v>
      </c>
    </row>
    <row r="91" spans="1:19" x14ac:dyDescent="0.25">
      <c r="A91" s="105" t="str">
        <f>'Data shares'!C86</f>
        <v>HDFCLIFE</v>
      </c>
      <c r="B91" s="143">
        <f>VLOOKUP($A91,'Data shares'!$C:$FA,118)</f>
        <v>0.82</v>
      </c>
      <c r="C91" s="143">
        <f>VLOOKUP($A91,'Data shares'!$C:$FA,119)</f>
        <v>0.51</v>
      </c>
      <c r="D91" s="143">
        <f>VLOOKUP($A91,'Data shares'!$C:$FA,121)*100</f>
        <v>60.78</v>
      </c>
      <c r="E91" s="143">
        <f>VLOOKUP($A91,'Data shares'!$C:$FA,124)</f>
        <v>0.84</v>
      </c>
      <c r="F91" s="143">
        <f>VLOOKUP($A91,'Data shares'!$C:$FA,125)</f>
        <v>0.5</v>
      </c>
      <c r="G91" s="143">
        <f>VLOOKUP($A91,'Data shares'!$C:$FA,127)*100</f>
        <v>68</v>
      </c>
      <c r="H91" s="103">
        <f>VLOOKUP($A91,'OI(Volume)'!$A$7:$O$427,8)</f>
        <v>3190000</v>
      </c>
      <c r="I91" s="103">
        <f>VLOOKUP($A91,'OI(Volume)'!$A$7:$O$427,9)</f>
        <v>-13464000</v>
      </c>
      <c r="J91" s="103">
        <f>VLOOKUP($A91,'OI(Volume)'!$A$7:$O$427,11)</f>
        <v>2624600</v>
      </c>
      <c r="K91" s="103">
        <f>VLOOKUP($A91,'OI(Volume)'!$A$7:$O$427,12)</f>
        <v>-5932300</v>
      </c>
      <c r="L91" s="103">
        <f>VLOOKUP($A91,'OI(Value)'!$A$7:$O$306,8,0)</f>
        <v>242</v>
      </c>
      <c r="M91" s="103">
        <f>VLOOKUP($A91,'OI(Value)'!$A$7:$O$306,9,0)</f>
        <v>-1023</v>
      </c>
      <c r="N91" s="103">
        <f>VLOOKUP($A91,'OI(Value)'!$A$7:$O$306,11,0)</f>
        <v>199</v>
      </c>
      <c r="O91" s="103">
        <f>VLOOKUP($A91,'OI(Value)'!$A$7:$O$306,12,0)</f>
        <v>-451</v>
      </c>
      <c r="P91" s="179">
        <f>VLOOKUP(A91,'OI(Value)'!A91:O292,8,0)</f>
        <v>242</v>
      </c>
      <c r="Q91" s="179">
        <f>VLOOKUP(A91,'OI(Value)'!A91:O292,9,0)</f>
        <v>-1023</v>
      </c>
      <c r="R91" s="179">
        <f>VLOOKUP(A91,'OI(Value)'!A91:O292,11,0)</f>
        <v>199</v>
      </c>
      <c r="S91" s="179">
        <f>VLOOKUP(A91,'OI(Value)'!A91:O292,11,0)</f>
        <v>199</v>
      </c>
    </row>
    <row r="92" spans="1:19" x14ac:dyDescent="0.25">
      <c r="A92" s="105" t="str">
        <f>'Data shares'!C87</f>
        <v>HEROMOTOCO</v>
      </c>
      <c r="B92" s="143">
        <f>VLOOKUP($A92,'Data shares'!$C:$FA,118)</f>
        <v>0.68</v>
      </c>
      <c r="C92" s="143">
        <f>VLOOKUP($A92,'Data shares'!$C:$FA,119)</f>
        <v>0.57999999999999996</v>
      </c>
      <c r="D92" s="143">
        <f>VLOOKUP($A92,'Data shares'!$C:$FA,121)*100</f>
        <v>17.239999999999998</v>
      </c>
      <c r="E92" s="143">
        <f>VLOOKUP($A92,'Data shares'!$C:$FA,124)</f>
        <v>0.45</v>
      </c>
      <c r="F92" s="143">
        <f>VLOOKUP($A92,'Data shares'!$C:$FA,125)</f>
        <v>0.43</v>
      </c>
      <c r="G92" s="143">
        <f>VLOOKUP($A92,'Data shares'!$C:$FA,127)*100</f>
        <v>4.6500000000000004</v>
      </c>
      <c r="H92" s="103">
        <f>VLOOKUP($A92,'OI(Volume)'!$A$7:$O$427,8)</f>
        <v>1139850</v>
      </c>
      <c r="I92" s="103">
        <f>VLOOKUP($A92,'OI(Volume)'!$A$7:$O$427,9)</f>
        <v>-2283150</v>
      </c>
      <c r="J92" s="103">
        <f>VLOOKUP($A92,'OI(Volume)'!$A$7:$O$427,11)</f>
        <v>773100</v>
      </c>
      <c r="K92" s="103">
        <f>VLOOKUP($A92,'OI(Volume)'!$A$7:$O$427,12)</f>
        <v>-1220700</v>
      </c>
      <c r="L92" s="103">
        <f>VLOOKUP($A92,'OI(Value)'!$A$7:$O$306,8,0)</f>
        <v>482</v>
      </c>
      <c r="M92" s="103">
        <f>VLOOKUP($A92,'OI(Value)'!$A$7:$O$306,9,0)</f>
        <v>-965</v>
      </c>
      <c r="N92" s="103">
        <f>VLOOKUP($A92,'OI(Value)'!$A$7:$O$306,11,0)</f>
        <v>327</v>
      </c>
      <c r="O92" s="103">
        <f>VLOOKUP($A92,'OI(Value)'!$A$7:$O$306,12,0)</f>
        <v>-516</v>
      </c>
      <c r="P92" s="179">
        <f>VLOOKUP(A92,'OI(Value)'!A92:O293,8,0)</f>
        <v>482</v>
      </c>
      <c r="Q92" s="179">
        <f>VLOOKUP(A92,'OI(Value)'!A92:O293,9,0)</f>
        <v>-965</v>
      </c>
      <c r="R92" s="179">
        <f>VLOOKUP(A92,'OI(Value)'!A92:O293,11,0)</f>
        <v>327</v>
      </c>
      <c r="S92" s="179">
        <f>VLOOKUP(A92,'OI(Value)'!A92:O293,11,0)</f>
        <v>327</v>
      </c>
    </row>
    <row r="93" spans="1:19" x14ac:dyDescent="0.25">
      <c r="A93" s="105" t="str">
        <f>'Data shares'!C88</f>
        <v>HFCL</v>
      </c>
      <c r="B93" s="143">
        <f>VLOOKUP($A93,'Data shares'!$C:$FA,118)</f>
        <v>0.6</v>
      </c>
      <c r="C93" s="143">
        <f>VLOOKUP($A93,'Data shares'!$C:$FA,119)</f>
        <v>0.56000000000000005</v>
      </c>
      <c r="D93" s="143">
        <f>VLOOKUP($A93,'Data shares'!$C:$FA,121)*100</f>
        <v>7.1400000000000006</v>
      </c>
      <c r="E93" s="143">
        <f>VLOOKUP($A93,'Data shares'!$C:$FA,124)</f>
        <v>0.62</v>
      </c>
      <c r="F93" s="143">
        <f>VLOOKUP($A93,'Data shares'!$C:$FA,125)</f>
        <v>0.97</v>
      </c>
      <c r="G93" s="143">
        <f>VLOOKUP($A93,'Data shares'!$C:$FA,127)*100</f>
        <v>-36.08</v>
      </c>
      <c r="H93" s="103">
        <f>VLOOKUP($A93,'OI(Volume)'!$A$7:$O$427,8)</f>
        <v>21897750</v>
      </c>
      <c r="I93" s="103">
        <f>VLOOKUP($A93,'OI(Volume)'!$A$7:$O$427,9)</f>
        <v>-23323200</v>
      </c>
      <c r="J93" s="103">
        <f>VLOOKUP($A93,'OI(Volume)'!$A$7:$O$427,11)</f>
        <v>13241850</v>
      </c>
      <c r="K93" s="103">
        <f>VLOOKUP($A93,'OI(Volume)'!$A$7:$O$427,12)</f>
        <v>-12280800</v>
      </c>
      <c r="L93" s="103">
        <f>VLOOKUP($A93,'OI(Value)'!$A$7:$O$306,8,0)</f>
        <v>167</v>
      </c>
      <c r="M93" s="103">
        <f>VLOOKUP($A93,'OI(Value)'!$A$7:$O$306,9,0)</f>
        <v>-177</v>
      </c>
      <c r="N93" s="103">
        <f>VLOOKUP($A93,'OI(Value)'!$A$7:$O$306,11,0)</f>
        <v>101</v>
      </c>
      <c r="O93" s="103">
        <f>VLOOKUP($A93,'OI(Value)'!$A$7:$O$306,12,0)</f>
        <v>-93</v>
      </c>
      <c r="P93" s="179">
        <f>VLOOKUP(A93,'OI(Value)'!A93:O294,8,0)</f>
        <v>167</v>
      </c>
      <c r="Q93" s="179">
        <f>VLOOKUP(A93,'OI(Value)'!A93:O294,9,0)</f>
        <v>-177</v>
      </c>
      <c r="R93" s="179">
        <f>VLOOKUP(A93,'OI(Value)'!A93:O294,11,0)</f>
        <v>101</v>
      </c>
      <c r="S93" s="179">
        <f>VLOOKUP(A93,'OI(Value)'!A93:O294,11,0)</f>
        <v>101</v>
      </c>
    </row>
    <row r="94" spans="1:19" x14ac:dyDescent="0.25">
      <c r="A94" s="105" t="str">
        <f>'Data shares'!C89</f>
        <v>HINDALCO</v>
      </c>
      <c r="B94" s="143">
        <f>VLOOKUP($A94,'Data shares'!$C:$FA,118)</f>
        <v>0.86</v>
      </c>
      <c r="C94" s="143">
        <f>VLOOKUP($A94,'Data shares'!$C:$FA,119)</f>
        <v>0.57999999999999996</v>
      </c>
      <c r="D94" s="143">
        <f>VLOOKUP($A94,'Data shares'!$C:$FA,121)*100</f>
        <v>48.28</v>
      </c>
      <c r="E94" s="143">
        <f>VLOOKUP($A94,'Data shares'!$C:$FA,124)</f>
        <v>1.01</v>
      </c>
      <c r="F94" s="143">
        <f>VLOOKUP($A94,'Data shares'!$C:$FA,125)</f>
        <v>0.68</v>
      </c>
      <c r="G94" s="143">
        <f>VLOOKUP($A94,'Data shares'!$C:$FA,127)*100</f>
        <v>48.53</v>
      </c>
      <c r="H94" s="103">
        <f>VLOOKUP($A94,'OI(Volume)'!$A$7:$O$427,8)</f>
        <v>4545800</v>
      </c>
      <c r="I94" s="103">
        <f>VLOOKUP($A94,'OI(Volume)'!$A$7:$O$427,9)</f>
        <v>-10470600</v>
      </c>
      <c r="J94" s="103">
        <f>VLOOKUP($A94,'OI(Volume)'!$A$7:$O$427,11)</f>
        <v>3917200</v>
      </c>
      <c r="K94" s="103">
        <f>VLOOKUP($A94,'OI(Volume)'!$A$7:$O$427,12)</f>
        <v>-4828600</v>
      </c>
      <c r="L94" s="103">
        <f>VLOOKUP($A94,'OI(Value)'!$A$7:$O$306,8,0)</f>
        <v>309</v>
      </c>
      <c r="M94" s="103">
        <f>VLOOKUP($A94,'OI(Value)'!$A$7:$O$306,9,0)</f>
        <v>-712</v>
      </c>
      <c r="N94" s="103">
        <f>VLOOKUP($A94,'OI(Value)'!$A$7:$O$306,11,0)</f>
        <v>266</v>
      </c>
      <c r="O94" s="103">
        <f>VLOOKUP($A94,'OI(Value)'!$A$7:$O$306,12,0)</f>
        <v>-328</v>
      </c>
      <c r="P94" s="179">
        <f>VLOOKUP(A94,'OI(Value)'!A94:O295,8,0)</f>
        <v>309</v>
      </c>
      <c r="Q94" s="179">
        <f>VLOOKUP(A94,'OI(Value)'!A94:O295,9,0)</f>
        <v>-712</v>
      </c>
      <c r="R94" s="179">
        <f>VLOOKUP(A94,'OI(Value)'!A94:O295,11,0)</f>
        <v>266</v>
      </c>
      <c r="S94" s="179">
        <f>VLOOKUP(A94,'OI(Value)'!A94:O295,11,0)</f>
        <v>266</v>
      </c>
    </row>
    <row r="95" spans="1:19" x14ac:dyDescent="0.25">
      <c r="A95" s="105" t="str">
        <f>'Data shares'!C90</f>
        <v>HINDCOPPER</v>
      </c>
      <c r="B95" s="143">
        <f>VLOOKUP($A95,'Data shares'!$C:$FA,118)</f>
        <v>0.42</v>
      </c>
      <c r="C95" s="143">
        <f>VLOOKUP($A95,'Data shares'!$C:$FA,119)</f>
        <v>0.51</v>
      </c>
      <c r="D95" s="143">
        <f>VLOOKUP($A95,'Data shares'!$C:$FA,121)*100</f>
        <v>-17.649999999999999</v>
      </c>
      <c r="E95" s="143">
        <f>VLOOKUP($A95,'Data shares'!$C:$FA,124)</f>
        <v>1.1000000000000001</v>
      </c>
      <c r="F95" s="143">
        <f>VLOOKUP($A95,'Data shares'!$C:$FA,125)</f>
        <v>0.51</v>
      </c>
      <c r="G95" s="143">
        <f>VLOOKUP($A95,'Data shares'!$C:$FA,127)*100</f>
        <v>115.69</v>
      </c>
      <c r="H95" s="103">
        <f>VLOOKUP($A95,'OI(Volume)'!$A$7:$O$427,8)</f>
        <v>7836050</v>
      </c>
      <c r="I95" s="103">
        <f>VLOOKUP($A95,'OI(Volume)'!$A$7:$O$427,9)</f>
        <v>-572400</v>
      </c>
      <c r="J95" s="103">
        <f>VLOOKUP($A95,'OI(Volume)'!$A$7:$O$427,11)</f>
        <v>3328400</v>
      </c>
      <c r="K95" s="103">
        <f>VLOOKUP($A95,'OI(Volume)'!$A$7:$O$427,12)</f>
        <v>-951350</v>
      </c>
      <c r="L95" s="103">
        <f>VLOOKUP($A95,'OI(Value)'!$A$7:$O$306,8,0)</f>
        <v>0</v>
      </c>
      <c r="M95" s="103">
        <f>VLOOKUP($A95,'OI(Value)'!$A$7:$O$306,9,0)</f>
        <v>0</v>
      </c>
      <c r="N95" s="103">
        <f>VLOOKUP($A95,'OI(Value)'!$A$7:$O$306,11,0)</f>
        <v>0</v>
      </c>
      <c r="O95" s="103">
        <f>VLOOKUP($A95,'OI(Value)'!$A$7:$O$306,12,0)</f>
        <v>0</v>
      </c>
      <c r="P95" s="179">
        <f>VLOOKUP(A95,'OI(Value)'!A95:O296,8,0)</f>
        <v>0</v>
      </c>
      <c r="Q95" s="179">
        <f>VLOOKUP(A95,'OI(Value)'!A95:O296,9,0)</f>
        <v>0</v>
      </c>
      <c r="R95" s="179">
        <f>VLOOKUP(A95,'OI(Value)'!A95:O296,11,0)</f>
        <v>0</v>
      </c>
      <c r="S95" s="179">
        <f>VLOOKUP(A95,'OI(Value)'!A95:O296,11,0)</f>
        <v>0</v>
      </c>
    </row>
    <row r="96" spans="1:19" x14ac:dyDescent="0.25">
      <c r="A96" s="105" t="str">
        <f>'Data shares'!C91</f>
        <v>HINDPETRO</v>
      </c>
      <c r="B96" s="143">
        <f>VLOOKUP($A96,'Data shares'!$C:$FA,118)</f>
        <v>0.96</v>
      </c>
      <c r="C96" s="143">
        <f>VLOOKUP($A96,'Data shares'!$C:$FA,119)</f>
        <v>0.68</v>
      </c>
      <c r="D96" s="143">
        <f>VLOOKUP($A96,'Data shares'!$C:$FA,121)*100</f>
        <v>41.18</v>
      </c>
      <c r="E96" s="143">
        <f>VLOOKUP($A96,'Data shares'!$C:$FA,124)</f>
        <v>0.56999999999999995</v>
      </c>
      <c r="F96" s="143">
        <f>VLOOKUP($A96,'Data shares'!$C:$FA,125)</f>
        <v>0.46</v>
      </c>
      <c r="G96" s="143">
        <f>VLOOKUP($A96,'Data shares'!$C:$FA,127)*100</f>
        <v>23.91</v>
      </c>
      <c r="H96" s="103">
        <f>VLOOKUP($A96,'OI(Volume)'!$A$7:$O$427,8)</f>
        <v>5169825</v>
      </c>
      <c r="I96" s="103">
        <f>VLOOKUP($A96,'OI(Volume)'!$A$7:$O$427,9)</f>
        <v>-10104750</v>
      </c>
      <c r="J96" s="103">
        <f>VLOOKUP($A96,'OI(Volume)'!$A$7:$O$427,11)</f>
        <v>4949100</v>
      </c>
      <c r="K96" s="103">
        <f>VLOOKUP($A96,'OI(Volume)'!$A$7:$O$427,12)</f>
        <v>-5390550</v>
      </c>
      <c r="L96" s="103">
        <f>VLOOKUP($A96,'OI(Value)'!$A$7:$O$306,8,0)</f>
        <v>216</v>
      </c>
      <c r="M96" s="103">
        <f>VLOOKUP($A96,'OI(Value)'!$A$7:$O$306,9,0)</f>
        <v>-423</v>
      </c>
      <c r="N96" s="103">
        <f>VLOOKUP($A96,'OI(Value)'!$A$7:$O$306,11,0)</f>
        <v>207</v>
      </c>
      <c r="O96" s="103">
        <f>VLOOKUP($A96,'OI(Value)'!$A$7:$O$306,12,0)</f>
        <v>-226</v>
      </c>
      <c r="P96" s="179">
        <f>VLOOKUP(A96,'OI(Value)'!A96:O297,8,0)</f>
        <v>216</v>
      </c>
      <c r="Q96" s="179">
        <f>VLOOKUP(A96,'OI(Value)'!A96:O297,9,0)</f>
        <v>-423</v>
      </c>
      <c r="R96" s="179">
        <f>VLOOKUP(A96,'OI(Value)'!A96:O297,11,0)</f>
        <v>207</v>
      </c>
      <c r="S96" s="179">
        <f>VLOOKUP(A96,'OI(Value)'!A96:O297,11,0)</f>
        <v>207</v>
      </c>
    </row>
    <row r="97" spans="1:19" x14ac:dyDescent="0.25">
      <c r="A97" s="105" t="str">
        <f>'Data shares'!C92</f>
        <v>HINDUNILVR</v>
      </c>
      <c r="B97" s="143">
        <f>VLOOKUP($A97,'Data shares'!$C:$FA,118)</f>
        <v>0.94</v>
      </c>
      <c r="C97" s="143">
        <f>VLOOKUP($A97,'Data shares'!$C:$FA,119)</f>
        <v>0.69</v>
      </c>
      <c r="D97" s="143">
        <f>VLOOKUP($A97,'Data shares'!$C:$FA,121)*100</f>
        <v>36.230000000000004</v>
      </c>
      <c r="E97" s="143">
        <f>VLOOKUP($A97,'Data shares'!$C:$FA,124)</f>
        <v>0.44</v>
      </c>
      <c r="F97" s="143">
        <f>VLOOKUP($A97,'Data shares'!$C:$FA,125)</f>
        <v>0.7</v>
      </c>
      <c r="G97" s="143">
        <f>VLOOKUP($A97,'Data shares'!$C:$FA,127)*100</f>
        <v>-37.14</v>
      </c>
      <c r="H97" s="103">
        <f>VLOOKUP($A97,'OI(Volume)'!$A$7:$O$427,8)</f>
        <v>3243900</v>
      </c>
      <c r="I97" s="103">
        <f>VLOOKUP($A97,'OI(Volume)'!$A$7:$O$427,9)</f>
        <v>-6466200</v>
      </c>
      <c r="J97" s="103">
        <f>VLOOKUP($A97,'OI(Volume)'!$A$7:$O$427,11)</f>
        <v>3040500</v>
      </c>
      <c r="K97" s="103">
        <f>VLOOKUP($A97,'OI(Volume)'!$A$7:$O$427,12)</f>
        <v>-3664200</v>
      </c>
      <c r="L97" s="103">
        <f>VLOOKUP($A97,'OI(Value)'!$A$7:$O$306,8,0)</f>
        <v>822</v>
      </c>
      <c r="M97" s="103">
        <f>VLOOKUP($A97,'OI(Value)'!$A$7:$O$306,9,0)</f>
        <v>-1638</v>
      </c>
      <c r="N97" s="103">
        <f>VLOOKUP($A97,'OI(Value)'!$A$7:$O$306,11,0)</f>
        <v>770</v>
      </c>
      <c r="O97" s="103">
        <f>VLOOKUP($A97,'OI(Value)'!$A$7:$O$306,12,0)</f>
        <v>-928</v>
      </c>
      <c r="P97" s="179">
        <f>VLOOKUP(A97,'OI(Value)'!A97:O298,8,0)</f>
        <v>822</v>
      </c>
      <c r="Q97" s="179">
        <f>VLOOKUP(A97,'OI(Value)'!A97:O298,9,0)</f>
        <v>-1638</v>
      </c>
      <c r="R97" s="179">
        <f>VLOOKUP(A97,'OI(Value)'!A97:O298,11,0)</f>
        <v>770</v>
      </c>
      <c r="S97" s="179">
        <f>VLOOKUP(A97,'OI(Value)'!A97:O298,11,0)</f>
        <v>770</v>
      </c>
    </row>
    <row r="98" spans="1:19" x14ac:dyDescent="0.25">
      <c r="A98" s="105" t="str">
        <f>'Data shares'!C93</f>
        <v>HINDZINC</v>
      </c>
      <c r="B98" s="143">
        <f>VLOOKUP($A98,'Data shares'!$C:$FA,118)</f>
        <v>0.7</v>
      </c>
      <c r="C98" s="143">
        <f>VLOOKUP($A98,'Data shares'!$C:$FA,119)</f>
        <v>0.63</v>
      </c>
      <c r="D98" s="143">
        <f>VLOOKUP($A98,'Data shares'!$C:$FA,121)*100</f>
        <v>11.110000000000001</v>
      </c>
      <c r="E98" s="143">
        <f>VLOOKUP($A98,'Data shares'!$C:$FA,124)</f>
        <v>0.77</v>
      </c>
      <c r="F98" s="143">
        <f>VLOOKUP($A98,'Data shares'!$C:$FA,125)</f>
        <v>0.49</v>
      </c>
      <c r="G98" s="143">
        <f>VLOOKUP($A98,'Data shares'!$C:$FA,127)*100</f>
        <v>57.14</v>
      </c>
      <c r="H98" s="103">
        <f>VLOOKUP($A98,'OI(Volume)'!$A$7:$O$427,8)</f>
        <v>6258525</v>
      </c>
      <c r="I98" s="103">
        <f>VLOOKUP($A98,'OI(Volume)'!$A$7:$O$427,9)</f>
        <v>-11113200</v>
      </c>
      <c r="J98" s="103">
        <f>VLOOKUP($A98,'OI(Volume)'!$A$7:$O$427,11)</f>
        <v>4383050</v>
      </c>
      <c r="K98" s="103">
        <f>VLOOKUP($A98,'OI(Volume)'!$A$7:$O$427,12)</f>
        <v>-6580700</v>
      </c>
      <c r="L98" s="103">
        <f>VLOOKUP($A98,'OI(Value)'!$A$7:$O$306,8,0)</f>
        <v>267</v>
      </c>
      <c r="M98" s="103">
        <f>VLOOKUP($A98,'OI(Value)'!$A$7:$O$306,9,0)</f>
        <v>-474</v>
      </c>
      <c r="N98" s="103">
        <f>VLOOKUP($A98,'OI(Value)'!$A$7:$O$306,11,0)</f>
        <v>187</v>
      </c>
      <c r="O98" s="103">
        <f>VLOOKUP($A98,'OI(Value)'!$A$7:$O$306,12,0)</f>
        <v>-281</v>
      </c>
      <c r="P98" s="179">
        <f>VLOOKUP(A98,'OI(Value)'!A98:O299,8,0)</f>
        <v>267</v>
      </c>
      <c r="Q98" s="179">
        <f>VLOOKUP(A98,'OI(Value)'!A98:O299,9,0)</f>
        <v>-474</v>
      </c>
      <c r="R98" s="179">
        <f>VLOOKUP(A98,'OI(Value)'!A98:O299,11,0)</f>
        <v>187</v>
      </c>
      <c r="S98" s="179">
        <f>VLOOKUP(A98,'OI(Value)'!A98:O299,11,0)</f>
        <v>187</v>
      </c>
    </row>
    <row r="99" spans="1:19" x14ac:dyDescent="0.25">
      <c r="A99" s="105" t="str">
        <f>'Data shares'!C94</f>
        <v>HUDCO</v>
      </c>
      <c r="B99" s="143">
        <f>VLOOKUP($A99,'Data shares'!$C:$FA,118)</f>
        <v>0.81</v>
      </c>
      <c r="C99" s="143">
        <f>VLOOKUP($A99,'Data shares'!$C:$FA,119)</f>
        <v>0.61</v>
      </c>
      <c r="D99" s="143">
        <f>VLOOKUP($A99,'Data shares'!$C:$FA,121)*100</f>
        <v>32.79</v>
      </c>
      <c r="E99" s="143">
        <f>VLOOKUP($A99,'Data shares'!$C:$FA,124)</f>
        <v>0.55000000000000004</v>
      </c>
      <c r="F99" s="143">
        <f>VLOOKUP($A99,'Data shares'!$C:$FA,125)</f>
        <v>0.63</v>
      </c>
      <c r="G99" s="143">
        <f>VLOOKUP($A99,'Data shares'!$C:$FA,127)*100</f>
        <v>-12.7</v>
      </c>
      <c r="H99" s="103">
        <f>VLOOKUP($A99,'OI(Volume)'!$A$7:$O$427,8)</f>
        <v>4931175</v>
      </c>
      <c r="I99" s="103">
        <f>VLOOKUP($A99,'OI(Volume)'!$A$7:$O$427,9)</f>
        <v>-10281375</v>
      </c>
      <c r="J99" s="103">
        <f>VLOOKUP($A99,'OI(Volume)'!$A$7:$O$427,11)</f>
        <v>3998775</v>
      </c>
      <c r="K99" s="103">
        <f>VLOOKUP($A99,'OI(Volume)'!$A$7:$O$427,12)</f>
        <v>-5244750</v>
      </c>
      <c r="L99" s="103">
        <f>VLOOKUP($A99,'OI(Value)'!$A$7:$O$306,8,0)</f>
        <v>105</v>
      </c>
      <c r="M99" s="103">
        <f>VLOOKUP($A99,'OI(Value)'!$A$7:$O$306,9,0)</f>
        <v>-218</v>
      </c>
      <c r="N99" s="103">
        <f>VLOOKUP($A99,'OI(Value)'!$A$7:$O$306,11,0)</f>
        <v>85</v>
      </c>
      <c r="O99" s="103">
        <f>VLOOKUP($A99,'OI(Value)'!$A$7:$O$306,12,0)</f>
        <v>-111</v>
      </c>
      <c r="P99" s="179">
        <f>VLOOKUP(A99,'OI(Value)'!A99:O300,8,0)</f>
        <v>105</v>
      </c>
      <c r="Q99" s="179">
        <f>VLOOKUP(A99,'OI(Value)'!A99:O300,9,0)</f>
        <v>-218</v>
      </c>
      <c r="R99" s="179">
        <f>VLOOKUP(A99,'OI(Value)'!A99:O300,11,0)</f>
        <v>85</v>
      </c>
      <c r="S99" s="179">
        <f>VLOOKUP(A99,'OI(Value)'!A99:O300,11,0)</f>
        <v>85</v>
      </c>
    </row>
    <row r="100" spans="1:19" x14ac:dyDescent="0.25">
      <c r="A100" s="105" t="str">
        <f>'Data shares'!C95</f>
        <v>ICICIBANK</v>
      </c>
      <c r="B100" s="143">
        <f>VLOOKUP($A100,'Data shares'!$C:$FA,118)</f>
        <v>1.01</v>
      </c>
      <c r="C100" s="143">
        <f>VLOOKUP($A100,'Data shares'!$C:$FA,119)</f>
        <v>0.96</v>
      </c>
      <c r="D100" s="143">
        <f>VLOOKUP($A100,'Data shares'!$C:$FA,121)*100</f>
        <v>5.21</v>
      </c>
      <c r="E100" s="143">
        <f>VLOOKUP($A100,'Data shares'!$C:$FA,124)</f>
        <v>0.91</v>
      </c>
      <c r="F100" s="143">
        <f>VLOOKUP($A100,'Data shares'!$C:$FA,125)</f>
        <v>0.83</v>
      </c>
      <c r="G100" s="143">
        <f>VLOOKUP($A100,'Data shares'!$C:$FA,127)*100</f>
        <v>9.64</v>
      </c>
      <c r="H100" s="103">
        <f>VLOOKUP($A100,'OI(Volume)'!$A$7:$O$427,8)</f>
        <v>6947500</v>
      </c>
      <c r="I100" s="103">
        <f>VLOOKUP($A100,'OI(Volume)'!$A$7:$O$427,9)</f>
        <v>-14991200</v>
      </c>
      <c r="J100" s="103">
        <f>VLOOKUP($A100,'OI(Volume)'!$A$7:$O$427,11)</f>
        <v>7024500</v>
      </c>
      <c r="K100" s="103">
        <f>VLOOKUP($A100,'OI(Volume)'!$A$7:$O$427,12)</f>
        <v>-14011900</v>
      </c>
      <c r="L100" s="103">
        <f>VLOOKUP($A100,'OI(Value)'!$A$7:$O$306,8,0)</f>
        <v>1026</v>
      </c>
      <c r="M100" s="103">
        <f>VLOOKUP($A100,'OI(Value)'!$A$7:$O$306,9,0)</f>
        <v>-2215</v>
      </c>
      <c r="N100" s="103">
        <f>VLOOKUP($A100,'OI(Value)'!$A$7:$O$306,11,0)</f>
        <v>1038</v>
      </c>
      <c r="O100" s="103">
        <f>VLOOKUP($A100,'OI(Value)'!$A$7:$O$306,12,0)</f>
        <v>-2070</v>
      </c>
      <c r="P100" s="179">
        <f>VLOOKUP(A100,'OI(Value)'!A100:O301,8,0)</f>
        <v>1026</v>
      </c>
      <c r="Q100" s="179">
        <f>VLOOKUP(A100,'OI(Value)'!A100:O301,9,0)</f>
        <v>-2215</v>
      </c>
      <c r="R100" s="179">
        <f>VLOOKUP(A100,'OI(Value)'!A100:O301,11,0)</f>
        <v>1038</v>
      </c>
      <c r="S100" s="179">
        <f>VLOOKUP(A100,'OI(Value)'!A100:O301,11,0)</f>
        <v>1038</v>
      </c>
    </row>
    <row r="101" spans="1:19" x14ac:dyDescent="0.25">
      <c r="A101" s="105" t="str">
        <f>'Data shares'!C96</f>
        <v>ICICIGI</v>
      </c>
      <c r="B101" s="143">
        <f>VLOOKUP($A101,'Data shares'!$C:$FA,118)</f>
        <v>0.94</v>
      </c>
      <c r="C101" s="143">
        <f>VLOOKUP($A101,'Data shares'!$C:$FA,119)</f>
        <v>0.46</v>
      </c>
      <c r="D101" s="143">
        <f>VLOOKUP($A101,'Data shares'!$C:$FA,121)*100</f>
        <v>104.35000000000001</v>
      </c>
      <c r="E101" s="143">
        <f>VLOOKUP($A101,'Data shares'!$C:$FA,124)</f>
        <v>0.54</v>
      </c>
      <c r="F101" s="143">
        <f>VLOOKUP($A101,'Data shares'!$C:$FA,125)</f>
        <v>0.3</v>
      </c>
      <c r="G101" s="143">
        <f>VLOOKUP($A101,'Data shares'!$C:$FA,127)*100</f>
        <v>80</v>
      </c>
      <c r="H101" s="103">
        <f>VLOOKUP($A101,'OI(Volume)'!$A$7:$O$427,8)</f>
        <v>317850</v>
      </c>
      <c r="I101" s="103">
        <f>VLOOKUP($A101,'OI(Volume)'!$A$7:$O$427,9)</f>
        <v>-1666925</v>
      </c>
      <c r="J101" s="103">
        <f>VLOOKUP($A101,'OI(Volume)'!$A$7:$O$427,11)</f>
        <v>297375</v>
      </c>
      <c r="K101" s="103">
        <f>VLOOKUP($A101,'OI(Volume)'!$A$7:$O$427,12)</f>
        <v>-618475</v>
      </c>
      <c r="L101" s="103">
        <f>VLOOKUP($A101,'OI(Value)'!$A$7:$O$306,8,0)</f>
        <v>62</v>
      </c>
      <c r="M101" s="103">
        <f>VLOOKUP($A101,'OI(Value)'!$A$7:$O$306,9,0)</f>
        <v>-323</v>
      </c>
      <c r="N101" s="103">
        <f>VLOOKUP($A101,'OI(Value)'!$A$7:$O$306,11,0)</f>
        <v>58</v>
      </c>
      <c r="O101" s="103">
        <f>VLOOKUP($A101,'OI(Value)'!$A$7:$O$306,12,0)</f>
        <v>-120</v>
      </c>
      <c r="P101" s="179">
        <f>VLOOKUP(A101,'OI(Value)'!A101:O302,8,0)</f>
        <v>62</v>
      </c>
      <c r="Q101" s="179">
        <f>VLOOKUP(A101,'OI(Value)'!A101:O302,9,0)</f>
        <v>-323</v>
      </c>
      <c r="R101" s="179">
        <f>VLOOKUP(A101,'OI(Value)'!A101:O302,11,0)</f>
        <v>58</v>
      </c>
      <c r="S101" s="179">
        <f>VLOOKUP(A101,'OI(Value)'!A101:O302,11,0)</f>
        <v>58</v>
      </c>
    </row>
    <row r="102" spans="1:19" x14ac:dyDescent="0.25">
      <c r="A102" s="105" t="str">
        <f>'Data shares'!C97</f>
        <v>ICICIPRULI</v>
      </c>
      <c r="B102" s="143">
        <f>VLOOKUP($A102,'Data shares'!$C:$FA,118)</f>
        <v>0.84</v>
      </c>
      <c r="C102" s="143">
        <f>VLOOKUP($A102,'Data shares'!$C:$FA,119)</f>
        <v>0.41</v>
      </c>
      <c r="D102" s="143">
        <f>VLOOKUP($A102,'Data shares'!$C:$FA,121)*100</f>
        <v>104.88</v>
      </c>
      <c r="E102" s="143">
        <f>VLOOKUP($A102,'Data shares'!$C:$FA,124)</f>
        <v>0.45</v>
      </c>
      <c r="F102" s="143">
        <f>VLOOKUP($A102,'Data shares'!$C:$FA,125)</f>
        <v>0.38</v>
      </c>
      <c r="G102" s="143">
        <f>VLOOKUP($A102,'Data shares'!$C:$FA,127)*100</f>
        <v>18.420000000000002</v>
      </c>
      <c r="H102" s="103">
        <f>VLOOKUP($A102,'OI(Volume)'!$A$7:$O$427,8)</f>
        <v>1241350</v>
      </c>
      <c r="I102" s="103">
        <f>VLOOKUP($A102,'OI(Volume)'!$A$7:$O$427,9)</f>
        <v>-6190100</v>
      </c>
      <c r="J102" s="103">
        <f>VLOOKUP($A102,'OI(Volume)'!$A$7:$O$427,11)</f>
        <v>1036925</v>
      </c>
      <c r="K102" s="103">
        <f>VLOOKUP($A102,'OI(Volume)'!$A$7:$O$427,12)</f>
        <v>-2019275</v>
      </c>
      <c r="L102" s="103">
        <f>VLOOKUP($A102,'OI(Value)'!$A$7:$O$306,8,0)</f>
        <v>77</v>
      </c>
      <c r="M102" s="103">
        <f>VLOOKUP($A102,'OI(Value)'!$A$7:$O$306,9,0)</f>
        <v>-383</v>
      </c>
      <c r="N102" s="103">
        <f>VLOOKUP($A102,'OI(Value)'!$A$7:$O$306,11,0)</f>
        <v>64</v>
      </c>
      <c r="O102" s="103">
        <f>VLOOKUP($A102,'OI(Value)'!$A$7:$O$306,12,0)</f>
        <v>-125</v>
      </c>
      <c r="P102" s="179">
        <f>VLOOKUP(A102,'OI(Value)'!A102:O303,8,0)</f>
        <v>77</v>
      </c>
      <c r="Q102" s="179">
        <f>VLOOKUP(A102,'OI(Value)'!A102:O303,9,0)</f>
        <v>-383</v>
      </c>
      <c r="R102" s="179">
        <f>VLOOKUP(A102,'OI(Value)'!A102:O303,11,0)</f>
        <v>64</v>
      </c>
      <c r="S102" s="179">
        <f>VLOOKUP(A102,'OI(Value)'!A102:O303,11,0)</f>
        <v>64</v>
      </c>
    </row>
    <row r="103" spans="1:19" x14ac:dyDescent="0.25">
      <c r="A103" s="105" t="str">
        <f>'Data shares'!C98</f>
        <v>IDEA</v>
      </c>
      <c r="B103" s="143">
        <f>VLOOKUP($A103,'Data shares'!$C:$FA,118)</f>
        <v>0.85</v>
      </c>
      <c r="C103" s="143">
        <f>VLOOKUP($A103,'Data shares'!$C:$FA,119)</f>
        <v>0.57999999999999996</v>
      </c>
      <c r="D103" s="143">
        <f>VLOOKUP($A103,'Data shares'!$C:$FA,121)*100</f>
        <v>46.550000000000004</v>
      </c>
      <c r="E103" s="143">
        <f>VLOOKUP($A103,'Data shares'!$C:$FA,124)</f>
        <v>1.73</v>
      </c>
      <c r="F103" s="143">
        <f>VLOOKUP($A103,'Data shares'!$C:$FA,125)</f>
        <v>0.52</v>
      </c>
      <c r="G103" s="143">
        <f>VLOOKUP($A103,'Data shares'!$C:$FA,127)*100</f>
        <v>232.69000000000003</v>
      </c>
      <c r="H103" s="103">
        <f>VLOOKUP($A103,'OI(Volume)'!$A$7:$O$427,8)</f>
        <v>568941000</v>
      </c>
      <c r="I103" s="103">
        <f>VLOOKUP($A103,'OI(Volume)'!$A$7:$O$427,9)</f>
        <v>-1003866375</v>
      </c>
      <c r="J103" s="103">
        <f>VLOOKUP($A103,'OI(Volume)'!$A$7:$O$427,11)</f>
        <v>483385425</v>
      </c>
      <c r="K103" s="103">
        <f>VLOOKUP($A103,'OI(Volume)'!$A$7:$O$427,12)</f>
        <v>-426062475</v>
      </c>
      <c r="L103" s="103">
        <f>VLOOKUP($A103,'OI(Value)'!$A$7:$O$306,8,0)</f>
        <v>394</v>
      </c>
      <c r="M103" s="103">
        <f>VLOOKUP($A103,'OI(Value)'!$A$7:$O$306,9,0)</f>
        <v>-696</v>
      </c>
      <c r="N103" s="103">
        <f>VLOOKUP($A103,'OI(Value)'!$A$7:$O$306,11,0)</f>
        <v>335</v>
      </c>
      <c r="O103" s="103">
        <f>VLOOKUP($A103,'OI(Value)'!$A$7:$O$306,12,0)</f>
        <v>-295</v>
      </c>
      <c r="P103" s="179">
        <f>VLOOKUP(A103,'OI(Value)'!A103:O304,8,0)</f>
        <v>394</v>
      </c>
      <c r="Q103" s="179">
        <f>VLOOKUP(A103,'OI(Value)'!A103:O304,9,0)</f>
        <v>-696</v>
      </c>
      <c r="R103" s="179">
        <f>VLOOKUP(A103,'OI(Value)'!A103:O304,11,0)</f>
        <v>335</v>
      </c>
      <c r="S103" s="179">
        <f>VLOOKUP(A103,'OI(Value)'!A103:O304,11,0)</f>
        <v>335</v>
      </c>
    </row>
    <row r="104" spans="1:19" x14ac:dyDescent="0.25">
      <c r="A104" s="105" t="str">
        <f>'Data shares'!C99</f>
        <v>IDFCFIRSTB</v>
      </c>
      <c r="B104" s="143">
        <f>VLOOKUP($A104,'Data shares'!$C:$FA,118)</f>
        <v>0.74</v>
      </c>
      <c r="C104" s="143">
        <f>VLOOKUP($A104,'Data shares'!$C:$FA,119)</f>
        <v>0.56000000000000005</v>
      </c>
      <c r="D104" s="143">
        <f>VLOOKUP($A104,'Data shares'!$C:$FA,121)*100</f>
        <v>32.14</v>
      </c>
      <c r="E104" s="143">
        <f>VLOOKUP($A104,'Data shares'!$C:$FA,124)</f>
        <v>1.05</v>
      </c>
      <c r="F104" s="143">
        <f>VLOOKUP($A104,'Data shares'!$C:$FA,125)</f>
        <v>1.03</v>
      </c>
      <c r="G104" s="143">
        <f>VLOOKUP($A104,'Data shares'!$C:$FA,127)*100</f>
        <v>1.94</v>
      </c>
      <c r="H104" s="103">
        <f>VLOOKUP($A104,'OI(Volume)'!$A$7:$O$427,8)</f>
        <v>60176200</v>
      </c>
      <c r="I104" s="103">
        <f>VLOOKUP($A104,'OI(Volume)'!$A$7:$O$427,9)</f>
        <v>-102562950</v>
      </c>
      <c r="J104" s="103">
        <f>VLOOKUP($A104,'OI(Volume)'!$A$7:$O$427,11)</f>
        <v>44566375</v>
      </c>
      <c r="K104" s="103">
        <f>VLOOKUP($A104,'OI(Volume)'!$A$7:$O$427,12)</f>
        <v>-47024250</v>
      </c>
      <c r="L104" s="103">
        <f>VLOOKUP($A104,'OI(Value)'!$A$7:$O$306,8,0)</f>
        <v>416</v>
      </c>
      <c r="M104" s="103">
        <f>VLOOKUP($A104,'OI(Value)'!$A$7:$O$306,9,0)</f>
        <v>-709</v>
      </c>
      <c r="N104" s="103">
        <f>VLOOKUP($A104,'OI(Value)'!$A$7:$O$306,11,0)</f>
        <v>308</v>
      </c>
      <c r="O104" s="103">
        <f>VLOOKUP($A104,'OI(Value)'!$A$7:$O$306,12,0)</f>
        <v>-325</v>
      </c>
      <c r="P104" s="179">
        <f>VLOOKUP(A104,'OI(Value)'!A104:O305,8,0)</f>
        <v>416</v>
      </c>
      <c r="Q104" s="179">
        <f>VLOOKUP(A104,'OI(Value)'!A104:O305,9,0)</f>
        <v>-709</v>
      </c>
      <c r="R104" s="179">
        <f>VLOOKUP(A104,'OI(Value)'!A104:O305,11,0)</f>
        <v>308</v>
      </c>
      <c r="S104" s="179">
        <f>VLOOKUP(A104,'OI(Value)'!A104:O305,11,0)</f>
        <v>308</v>
      </c>
    </row>
    <row r="105" spans="1:19" x14ac:dyDescent="0.25">
      <c r="A105" s="105" t="str">
        <f>'Data shares'!C100</f>
        <v>IEX</v>
      </c>
      <c r="B105" s="143">
        <f>VLOOKUP($A105,'Data shares'!$C:$FA,118)</f>
        <v>0.81</v>
      </c>
      <c r="C105" s="143">
        <f>VLOOKUP($A105,'Data shares'!$C:$FA,119)</f>
        <v>1.18</v>
      </c>
      <c r="D105" s="143">
        <f>VLOOKUP($A105,'Data shares'!$C:$FA,121)*100</f>
        <v>-31.36</v>
      </c>
      <c r="E105" s="143">
        <f>VLOOKUP($A105,'Data shares'!$C:$FA,124)</f>
        <v>0.54</v>
      </c>
      <c r="F105" s="143">
        <f>VLOOKUP($A105,'Data shares'!$C:$FA,125)</f>
        <v>0.6</v>
      </c>
      <c r="G105" s="143">
        <f>VLOOKUP($A105,'Data shares'!$C:$FA,127)*100</f>
        <v>-10</v>
      </c>
      <c r="H105" s="103">
        <f>VLOOKUP($A105,'OI(Volume)'!$A$7:$O$427,8)</f>
        <v>24776250</v>
      </c>
      <c r="I105" s="103">
        <f>VLOOKUP($A105,'OI(Volume)'!$A$7:$O$427,9)</f>
        <v>-31976250</v>
      </c>
      <c r="J105" s="103">
        <f>VLOOKUP($A105,'OI(Volume)'!$A$7:$O$427,11)</f>
        <v>20096250</v>
      </c>
      <c r="K105" s="103">
        <f>VLOOKUP($A105,'OI(Volume)'!$A$7:$O$427,12)</f>
        <v>-47148750</v>
      </c>
      <c r="L105" s="103">
        <f>VLOOKUP($A105,'OI(Value)'!$A$7:$O$306,8,0)</f>
        <v>337</v>
      </c>
      <c r="M105" s="103">
        <f>VLOOKUP($A105,'OI(Value)'!$A$7:$O$306,9,0)</f>
        <v>-435</v>
      </c>
      <c r="N105" s="103">
        <f>VLOOKUP($A105,'OI(Value)'!$A$7:$O$306,11,0)</f>
        <v>273</v>
      </c>
      <c r="O105" s="103">
        <f>VLOOKUP($A105,'OI(Value)'!$A$7:$O$306,12,0)</f>
        <v>-642</v>
      </c>
      <c r="P105" s="179">
        <f>VLOOKUP(A105,'OI(Value)'!A105:O306,8,0)</f>
        <v>337</v>
      </c>
      <c r="Q105" s="179">
        <f>VLOOKUP(A105,'OI(Value)'!A105:O306,9,0)</f>
        <v>-435</v>
      </c>
      <c r="R105" s="179">
        <f>VLOOKUP(A105,'OI(Value)'!A105:O306,11,0)</f>
        <v>273</v>
      </c>
      <c r="S105" s="179">
        <f>VLOOKUP(A105,'OI(Value)'!A105:O306,11,0)</f>
        <v>273</v>
      </c>
    </row>
    <row r="106" spans="1:19" x14ac:dyDescent="0.25">
      <c r="A106" s="105" t="str">
        <f>'Data shares'!C101</f>
        <v>IGL</v>
      </c>
      <c r="B106" s="143">
        <f>VLOOKUP($A106,'Data shares'!$C:$FA,118)</f>
        <v>0.62</v>
      </c>
      <c r="C106" s="143">
        <f>VLOOKUP($A106,'Data shares'!$C:$FA,119)</f>
        <v>0.57999999999999996</v>
      </c>
      <c r="D106" s="143">
        <f>VLOOKUP($A106,'Data shares'!$C:$FA,121)*100</f>
        <v>6.9</v>
      </c>
      <c r="E106" s="143">
        <f>VLOOKUP($A106,'Data shares'!$C:$FA,124)</f>
        <v>0.51</v>
      </c>
      <c r="F106" s="143">
        <f>VLOOKUP($A106,'Data shares'!$C:$FA,125)</f>
        <v>0.71</v>
      </c>
      <c r="G106" s="143">
        <f>VLOOKUP($A106,'Data shares'!$C:$FA,127)*100</f>
        <v>-28.17</v>
      </c>
      <c r="H106" s="103">
        <f>VLOOKUP($A106,'OI(Volume)'!$A$7:$O$427,8)</f>
        <v>6943750</v>
      </c>
      <c r="I106" s="103">
        <f>VLOOKUP($A106,'OI(Volume)'!$A$7:$O$427,9)</f>
        <v>-9471000</v>
      </c>
      <c r="J106" s="103">
        <f>VLOOKUP($A106,'OI(Volume)'!$A$7:$O$427,11)</f>
        <v>4303750</v>
      </c>
      <c r="K106" s="103">
        <f>VLOOKUP($A106,'OI(Volume)'!$A$7:$O$427,12)</f>
        <v>-5230500</v>
      </c>
      <c r="L106" s="103">
        <f>VLOOKUP($A106,'OI(Value)'!$A$7:$O$306,8,0)</f>
        <v>142</v>
      </c>
      <c r="M106" s="103">
        <f>VLOOKUP($A106,'OI(Value)'!$A$7:$O$306,9,0)</f>
        <v>-193</v>
      </c>
      <c r="N106" s="103">
        <f>VLOOKUP($A106,'OI(Value)'!$A$7:$O$306,11,0)</f>
        <v>88</v>
      </c>
      <c r="O106" s="103">
        <f>VLOOKUP($A106,'OI(Value)'!$A$7:$O$306,12,0)</f>
        <v>-107</v>
      </c>
      <c r="P106" s="179">
        <f>VLOOKUP(A106,'OI(Value)'!A106:O307,8,0)</f>
        <v>142</v>
      </c>
      <c r="Q106" s="179">
        <f>VLOOKUP(A106,'OI(Value)'!A106:O307,9,0)</f>
        <v>-193</v>
      </c>
      <c r="R106" s="179">
        <f>VLOOKUP(A106,'OI(Value)'!A106:O307,11,0)</f>
        <v>88</v>
      </c>
      <c r="S106" s="179">
        <f>VLOOKUP(A106,'OI(Value)'!A106:O307,11,0)</f>
        <v>88</v>
      </c>
    </row>
    <row r="107" spans="1:19" x14ac:dyDescent="0.25">
      <c r="A107" s="105" t="str">
        <f>'Data shares'!C102</f>
        <v>IIFL</v>
      </c>
      <c r="B107" s="143">
        <f>VLOOKUP($A107,'Data shares'!$C:$FA,118)</f>
        <v>0.61</v>
      </c>
      <c r="C107" s="143">
        <f>VLOOKUP($A107,'Data shares'!$C:$FA,119)</f>
        <v>0.83</v>
      </c>
      <c r="D107" s="143">
        <f>VLOOKUP($A107,'Data shares'!$C:$FA,121)*100</f>
        <v>-26.51</v>
      </c>
      <c r="E107" s="143">
        <f>VLOOKUP($A107,'Data shares'!$C:$FA,124)</f>
        <v>0.89</v>
      </c>
      <c r="F107" s="143">
        <f>VLOOKUP($A107,'Data shares'!$C:$FA,125)</f>
        <v>0.72</v>
      </c>
      <c r="G107" s="143">
        <f>VLOOKUP($A107,'Data shares'!$C:$FA,127)*100</f>
        <v>23.61</v>
      </c>
      <c r="H107" s="103">
        <f>VLOOKUP($A107,'OI(Volume)'!$A$7:$O$427,8)</f>
        <v>2149950</v>
      </c>
      <c r="I107" s="103">
        <f>VLOOKUP($A107,'OI(Volume)'!$A$7:$O$427,9)</f>
        <v>-1819950</v>
      </c>
      <c r="J107" s="103">
        <f>VLOOKUP($A107,'OI(Volume)'!$A$7:$O$427,11)</f>
        <v>1306800</v>
      </c>
      <c r="K107" s="103">
        <f>VLOOKUP($A107,'OI(Volume)'!$A$7:$O$427,12)</f>
        <v>-2008050</v>
      </c>
      <c r="L107" s="103">
        <f>VLOOKUP($A107,'OI(Value)'!$A$7:$O$306,8,0)</f>
        <v>103</v>
      </c>
      <c r="M107" s="103">
        <f>VLOOKUP($A107,'OI(Value)'!$A$7:$O$306,9,0)</f>
        <v>-87</v>
      </c>
      <c r="N107" s="103">
        <f>VLOOKUP($A107,'OI(Value)'!$A$7:$O$306,11,0)</f>
        <v>63</v>
      </c>
      <c r="O107" s="103">
        <f>VLOOKUP($A107,'OI(Value)'!$A$7:$O$306,12,0)</f>
        <v>-96</v>
      </c>
      <c r="P107" s="179">
        <f>VLOOKUP(A107,'OI(Value)'!A107:O308,8,0)</f>
        <v>103</v>
      </c>
      <c r="Q107" s="179">
        <f>VLOOKUP(A107,'OI(Value)'!A107:O308,9,0)</f>
        <v>-87</v>
      </c>
      <c r="R107" s="179">
        <f>VLOOKUP(A107,'OI(Value)'!A107:O308,11,0)</f>
        <v>63</v>
      </c>
      <c r="S107" s="179">
        <f>VLOOKUP(A107,'OI(Value)'!A107:O308,11,0)</f>
        <v>63</v>
      </c>
    </row>
    <row r="108" spans="1:19" x14ac:dyDescent="0.25">
      <c r="A108" s="105" t="str">
        <f>'Data shares'!C103</f>
        <v>INDHOTEL</v>
      </c>
      <c r="B108" s="143">
        <f>VLOOKUP($A108,'Data shares'!$C:$FA,118)</f>
        <v>0.79</v>
      </c>
      <c r="C108" s="143">
        <f>VLOOKUP($A108,'Data shares'!$C:$FA,119)</f>
        <v>0.7</v>
      </c>
      <c r="D108" s="143">
        <f>VLOOKUP($A108,'Data shares'!$C:$FA,121)*100</f>
        <v>12.86</v>
      </c>
      <c r="E108" s="143">
        <f>VLOOKUP($A108,'Data shares'!$C:$FA,124)</f>
        <v>0.75</v>
      </c>
      <c r="F108" s="143">
        <f>VLOOKUP($A108,'Data shares'!$C:$FA,125)</f>
        <v>0.38</v>
      </c>
      <c r="G108" s="143">
        <f>VLOOKUP($A108,'Data shares'!$C:$FA,127)*100</f>
        <v>97.37</v>
      </c>
      <c r="H108" s="103">
        <f>VLOOKUP($A108,'OI(Volume)'!$A$7:$O$427,8)</f>
        <v>3592000</v>
      </c>
      <c r="I108" s="103">
        <f>VLOOKUP($A108,'OI(Volume)'!$A$7:$O$427,9)</f>
        <v>-4973000</v>
      </c>
      <c r="J108" s="103">
        <f>VLOOKUP($A108,'OI(Volume)'!$A$7:$O$427,11)</f>
        <v>2828000</v>
      </c>
      <c r="K108" s="103">
        <f>VLOOKUP($A108,'OI(Volume)'!$A$7:$O$427,12)</f>
        <v>-3200000</v>
      </c>
      <c r="L108" s="103">
        <f>VLOOKUP($A108,'OI(Value)'!$A$7:$O$306,8,0)</f>
        <v>267</v>
      </c>
      <c r="M108" s="103">
        <f>VLOOKUP($A108,'OI(Value)'!$A$7:$O$306,9,0)</f>
        <v>-370</v>
      </c>
      <c r="N108" s="103">
        <f>VLOOKUP($A108,'OI(Value)'!$A$7:$O$306,11,0)</f>
        <v>210</v>
      </c>
      <c r="O108" s="103">
        <f>VLOOKUP($A108,'OI(Value)'!$A$7:$O$306,12,0)</f>
        <v>-238</v>
      </c>
      <c r="P108" s="179">
        <f>VLOOKUP(A108,'OI(Value)'!A108:O309,8,0)</f>
        <v>267</v>
      </c>
      <c r="Q108" s="179">
        <f>VLOOKUP(A108,'OI(Value)'!A108:O309,9,0)</f>
        <v>-370</v>
      </c>
      <c r="R108" s="179">
        <f>VLOOKUP(A108,'OI(Value)'!A108:O309,11,0)</f>
        <v>210</v>
      </c>
      <c r="S108" s="179">
        <f>VLOOKUP(A108,'OI(Value)'!A108:O309,11,0)</f>
        <v>210</v>
      </c>
    </row>
    <row r="109" spans="1:19" x14ac:dyDescent="0.25">
      <c r="A109" s="105" t="str">
        <f>'Data shares'!C104</f>
        <v>INDIANB</v>
      </c>
      <c r="B109" s="143">
        <f>VLOOKUP($A109,'Data shares'!$C:$FA,118)</f>
        <v>0.76</v>
      </c>
      <c r="C109" s="143">
        <f>VLOOKUP($A109,'Data shares'!$C:$FA,119)</f>
        <v>0.69</v>
      </c>
      <c r="D109" s="143">
        <f>VLOOKUP($A109,'Data shares'!$C:$FA,121)*100</f>
        <v>10.14</v>
      </c>
      <c r="E109" s="143">
        <f>VLOOKUP($A109,'Data shares'!$C:$FA,124)</f>
        <v>0.64</v>
      </c>
      <c r="F109" s="143">
        <f>VLOOKUP($A109,'Data shares'!$C:$FA,125)</f>
        <v>0.48</v>
      </c>
      <c r="G109" s="143">
        <f>VLOOKUP($A109,'Data shares'!$C:$FA,127)*100</f>
        <v>33.33</v>
      </c>
      <c r="H109" s="103">
        <f>VLOOKUP($A109,'OI(Volume)'!$A$7:$O$427,8)</f>
        <v>974000</v>
      </c>
      <c r="I109" s="103">
        <f>VLOOKUP($A109,'OI(Volume)'!$A$7:$O$427,9)</f>
        <v>-1962000</v>
      </c>
      <c r="J109" s="103">
        <f>VLOOKUP($A109,'OI(Volume)'!$A$7:$O$427,11)</f>
        <v>741000</v>
      </c>
      <c r="K109" s="103">
        <f>VLOOKUP($A109,'OI(Volume)'!$A$7:$O$427,12)</f>
        <v>-1293000</v>
      </c>
      <c r="L109" s="103">
        <f>VLOOKUP($A109,'OI(Value)'!$A$7:$O$306,8,0)</f>
        <v>61</v>
      </c>
      <c r="M109" s="103">
        <f>VLOOKUP($A109,'OI(Value)'!$A$7:$O$306,9,0)</f>
        <v>-122</v>
      </c>
      <c r="N109" s="103">
        <f>VLOOKUP($A109,'OI(Value)'!$A$7:$O$306,11,0)</f>
        <v>46</v>
      </c>
      <c r="O109" s="103">
        <f>VLOOKUP($A109,'OI(Value)'!$A$7:$O$306,12,0)</f>
        <v>-81</v>
      </c>
      <c r="P109" s="179">
        <f>VLOOKUP(A109,'OI(Value)'!A109:O310,8,0)</f>
        <v>61</v>
      </c>
      <c r="Q109" s="179">
        <f>VLOOKUP(A109,'OI(Value)'!A109:O310,9,0)</f>
        <v>-122</v>
      </c>
      <c r="R109" s="179">
        <f>VLOOKUP(A109,'OI(Value)'!A109:O310,11,0)</f>
        <v>46</v>
      </c>
      <c r="S109" s="179">
        <f>VLOOKUP(A109,'OI(Value)'!A109:O310,11,0)</f>
        <v>46</v>
      </c>
    </row>
    <row r="110" spans="1:19" x14ac:dyDescent="0.25">
      <c r="A110" s="105" t="str">
        <f>'Data shares'!C105</f>
        <v>INDIAVIX</v>
      </c>
      <c r="B110" s="143">
        <f>VLOOKUP($A110,'Data shares'!$C:$FA,118)</f>
        <v>0</v>
      </c>
      <c r="C110" s="143">
        <f>VLOOKUP($A110,'Data shares'!$C:$FA,119)</f>
        <v>0</v>
      </c>
      <c r="D110" s="143">
        <f>VLOOKUP($A110,'Data shares'!$C:$FA,121)*100</f>
        <v>0</v>
      </c>
      <c r="E110" s="143">
        <f>VLOOKUP($A110,'Data shares'!$C:$FA,124)</f>
        <v>0</v>
      </c>
      <c r="F110" s="143">
        <f>VLOOKUP($A110,'Data shares'!$C:$FA,125)</f>
        <v>0</v>
      </c>
      <c r="G110" s="143">
        <f>VLOOKUP($A110,'Data shares'!$C:$FA,127)*100</f>
        <v>0</v>
      </c>
      <c r="H110" s="103">
        <f>VLOOKUP($A110,'OI(Volume)'!$A$7:$O$427,8)</f>
        <v>0</v>
      </c>
      <c r="I110" s="103">
        <f>VLOOKUP($A110,'OI(Volume)'!$A$7:$O$427,9)</f>
        <v>0</v>
      </c>
      <c r="J110" s="103">
        <f>VLOOKUP($A110,'OI(Volume)'!$A$7:$O$427,11)</f>
        <v>0</v>
      </c>
      <c r="K110" s="103">
        <f>VLOOKUP($A110,'OI(Volume)'!$A$7:$O$427,12)</f>
        <v>0</v>
      </c>
      <c r="L110" s="103">
        <f>VLOOKUP($A110,'OI(Value)'!$A$7:$O$306,8,0)</f>
        <v>0</v>
      </c>
      <c r="M110" s="103">
        <f>VLOOKUP($A110,'OI(Value)'!$A$7:$O$306,9,0)</f>
        <v>0</v>
      </c>
      <c r="N110" s="103">
        <f>VLOOKUP($A110,'OI(Value)'!$A$7:$O$306,11,0)</f>
        <v>0</v>
      </c>
      <c r="O110" s="103">
        <f>VLOOKUP($A110,'OI(Value)'!$A$7:$O$306,12,0)</f>
        <v>0</v>
      </c>
      <c r="P110" s="179">
        <f>VLOOKUP(A110,'OI(Value)'!A110:O311,8,0)</f>
        <v>0</v>
      </c>
      <c r="Q110" s="179">
        <f>VLOOKUP(A110,'OI(Value)'!A110:O311,9,0)</f>
        <v>0</v>
      </c>
      <c r="R110" s="179">
        <f>VLOOKUP(A110,'OI(Value)'!A110:O311,11,0)</f>
        <v>0</v>
      </c>
      <c r="S110" s="179">
        <f>VLOOKUP(A110,'OI(Value)'!A110:O311,11,0)</f>
        <v>0</v>
      </c>
    </row>
    <row r="111" spans="1:19" x14ac:dyDescent="0.25">
      <c r="A111" s="105" t="str">
        <f>'Data shares'!C106</f>
        <v>INDIGO</v>
      </c>
      <c r="B111" s="143">
        <f>VLOOKUP($A111,'Data shares'!$C:$FA,118)</f>
        <v>1.04</v>
      </c>
      <c r="C111" s="143">
        <f>VLOOKUP($A111,'Data shares'!$C:$FA,119)</f>
        <v>1</v>
      </c>
      <c r="D111" s="143">
        <f>VLOOKUP($A111,'Data shares'!$C:$FA,121)*100</f>
        <v>4</v>
      </c>
      <c r="E111" s="143">
        <f>VLOOKUP($A111,'Data shares'!$C:$FA,124)</f>
        <v>1.02</v>
      </c>
      <c r="F111" s="143">
        <f>VLOOKUP($A111,'Data shares'!$C:$FA,125)</f>
        <v>0.82</v>
      </c>
      <c r="G111" s="143">
        <f>VLOOKUP($A111,'Data shares'!$C:$FA,127)*100</f>
        <v>24.39</v>
      </c>
      <c r="H111" s="103">
        <f>VLOOKUP($A111,'OI(Volume)'!$A$7:$O$427,8)</f>
        <v>937200</v>
      </c>
      <c r="I111" s="103">
        <f>VLOOKUP($A111,'OI(Volume)'!$A$7:$O$427,9)</f>
        <v>-2091600</v>
      </c>
      <c r="J111" s="103">
        <f>VLOOKUP($A111,'OI(Volume)'!$A$7:$O$427,11)</f>
        <v>972600</v>
      </c>
      <c r="K111" s="103">
        <f>VLOOKUP($A111,'OI(Volume)'!$A$7:$O$427,12)</f>
        <v>-2066250</v>
      </c>
      <c r="L111" s="103">
        <f>VLOOKUP($A111,'OI(Value)'!$A$7:$O$306,8,0)</f>
        <v>551</v>
      </c>
      <c r="M111" s="103">
        <f>VLOOKUP($A111,'OI(Value)'!$A$7:$O$306,9,0)</f>
        <v>-1230</v>
      </c>
      <c r="N111" s="103">
        <f>VLOOKUP($A111,'OI(Value)'!$A$7:$O$306,11,0)</f>
        <v>572</v>
      </c>
      <c r="O111" s="103">
        <f>VLOOKUP($A111,'OI(Value)'!$A$7:$O$306,12,0)</f>
        <v>-1215</v>
      </c>
      <c r="P111" s="179">
        <f>VLOOKUP(A111,'OI(Value)'!A111:O312,8,0)</f>
        <v>551</v>
      </c>
      <c r="Q111" s="179">
        <f>VLOOKUP(A111,'OI(Value)'!A111:O312,9,0)</f>
        <v>-1230</v>
      </c>
      <c r="R111" s="179">
        <f>VLOOKUP(A111,'OI(Value)'!A111:O312,11,0)</f>
        <v>572</v>
      </c>
      <c r="S111" s="179">
        <f>VLOOKUP(A111,'OI(Value)'!A111:O312,11,0)</f>
        <v>572</v>
      </c>
    </row>
    <row r="112" spans="1:19" x14ac:dyDescent="0.25">
      <c r="A112" s="105" t="str">
        <f>'Data shares'!C107</f>
        <v>INDUSINDBK</v>
      </c>
      <c r="B112" s="143">
        <f>VLOOKUP($A112,'Data shares'!$C:$FA,118)</f>
        <v>0.86</v>
      </c>
      <c r="C112" s="143">
        <f>VLOOKUP($A112,'Data shares'!$C:$FA,119)</f>
        <v>0.54</v>
      </c>
      <c r="D112" s="143">
        <f>VLOOKUP($A112,'Data shares'!$C:$FA,121)*100</f>
        <v>59.260000000000005</v>
      </c>
      <c r="E112" s="143">
        <f>VLOOKUP($A112,'Data shares'!$C:$FA,124)</f>
        <v>0.78</v>
      </c>
      <c r="F112" s="143">
        <f>VLOOKUP($A112,'Data shares'!$C:$FA,125)</f>
        <v>0.8</v>
      </c>
      <c r="G112" s="143">
        <f>VLOOKUP($A112,'Data shares'!$C:$FA,127)*100</f>
        <v>-2.5</v>
      </c>
      <c r="H112" s="103">
        <f>VLOOKUP($A112,'OI(Volume)'!$A$7:$O$427,8)</f>
        <v>7520800</v>
      </c>
      <c r="I112" s="103">
        <f>VLOOKUP($A112,'OI(Volume)'!$A$7:$O$427,9)</f>
        <v>-15115800</v>
      </c>
      <c r="J112" s="103">
        <f>VLOOKUP($A112,'OI(Volume)'!$A$7:$O$427,11)</f>
        <v>6482700</v>
      </c>
      <c r="K112" s="103">
        <f>VLOOKUP($A112,'OI(Volume)'!$A$7:$O$427,12)</f>
        <v>-5665800</v>
      </c>
      <c r="L112" s="103">
        <f>VLOOKUP($A112,'OI(Value)'!$A$7:$O$306,8,0)</f>
        <v>604</v>
      </c>
      <c r="M112" s="103">
        <f>VLOOKUP($A112,'OI(Value)'!$A$7:$O$306,9,0)</f>
        <v>-1215</v>
      </c>
      <c r="N112" s="103">
        <f>VLOOKUP($A112,'OI(Value)'!$A$7:$O$306,11,0)</f>
        <v>521</v>
      </c>
      <c r="O112" s="103">
        <f>VLOOKUP($A112,'OI(Value)'!$A$7:$O$306,12,0)</f>
        <v>-455</v>
      </c>
      <c r="P112" s="179">
        <f>VLOOKUP(A112,'OI(Value)'!A112:O313,8,0)</f>
        <v>604</v>
      </c>
      <c r="Q112" s="179">
        <f>VLOOKUP(A112,'OI(Value)'!A112:O313,9,0)</f>
        <v>-1215</v>
      </c>
      <c r="R112" s="179">
        <f>VLOOKUP(A112,'OI(Value)'!A112:O313,11,0)</f>
        <v>521</v>
      </c>
      <c r="S112" s="179">
        <f>VLOOKUP(A112,'OI(Value)'!A112:O313,11,0)</f>
        <v>521</v>
      </c>
    </row>
    <row r="113" spans="1:19" x14ac:dyDescent="0.25">
      <c r="A113" s="105" t="str">
        <f>'Data shares'!C108</f>
        <v>INDUSTOWER</v>
      </c>
      <c r="B113" s="143">
        <f>VLOOKUP($A113,'Data shares'!$C:$FA,118)</f>
        <v>0.74</v>
      </c>
      <c r="C113" s="143">
        <f>VLOOKUP($A113,'Data shares'!$C:$FA,119)</f>
        <v>0.67</v>
      </c>
      <c r="D113" s="143">
        <f>VLOOKUP($A113,'Data shares'!$C:$FA,121)*100</f>
        <v>10.45</v>
      </c>
      <c r="E113" s="143">
        <f>VLOOKUP($A113,'Data shares'!$C:$FA,124)</f>
        <v>0.82</v>
      </c>
      <c r="F113" s="143">
        <f>VLOOKUP($A113,'Data shares'!$C:$FA,125)</f>
        <v>0.63</v>
      </c>
      <c r="G113" s="143">
        <f>VLOOKUP($A113,'Data shares'!$C:$FA,127)*100</f>
        <v>30.159999999999997</v>
      </c>
      <c r="H113" s="103">
        <f>VLOOKUP($A113,'OI(Volume)'!$A$7:$O$427,8)</f>
        <v>10494100</v>
      </c>
      <c r="I113" s="103">
        <f>VLOOKUP($A113,'OI(Volume)'!$A$7:$O$427,9)</f>
        <v>-5778300</v>
      </c>
      <c r="J113" s="103">
        <f>VLOOKUP($A113,'OI(Volume)'!$A$7:$O$427,11)</f>
        <v>7718000</v>
      </c>
      <c r="K113" s="103">
        <f>VLOOKUP($A113,'OI(Volume)'!$A$7:$O$427,12)</f>
        <v>-3240200</v>
      </c>
      <c r="L113" s="103">
        <f>VLOOKUP($A113,'OI(Value)'!$A$7:$O$306,8,0)</f>
        <v>382</v>
      </c>
      <c r="M113" s="103">
        <f>VLOOKUP($A113,'OI(Value)'!$A$7:$O$306,9,0)</f>
        <v>-210</v>
      </c>
      <c r="N113" s="103">
        <f>VLOOKUP($A113,'OI(Value)'!$A$7:$O$306,11,0)</f>
        <v>281</v>
      </c>
      <c r="O113" s="103">
        <f>VLOOKUP($A113,'OI(Value)'!$A$7:$O$306,12,0)</f>
        <v>-118</v>
      </c>
      <c r="P113" s="179">
        <f>VLOOKUP(A113,'OI(Value)'!A113:O314,8,0)</f>
        <v>382</v>
      </c>
      <c r="Q113" s="179">
        <f>VLOOKUP(A113,'OI(Value)'!A113:O314,9,0)</f>
        <v>-210</v>
      </c>
      <c r="R113" s="179">
        <f>VLOOKUP(A113,'OI(Value)'!A113:O314,11,0)</f>
        <v>281</v>
      </c>
      <c r="S113" s="179">
        <f>VLOOKUP(A113,'OI(Value)'!A113:O314,11,0)</f>
        <v>281</v>
      </c>
    </row>
    <row r="114" spans="1:19" x14ac:dyDescent="0.25">
      <c r="A114" s="105" t="str">
        <f>'Data shares'!C109</f>
        <v>INFY</v>
      </c>
      <c r="B114" s="143">
        <f>VLOOKUP($A114,'Data shares'!$C:$FA,118)</f>
        <v>0.62</v>
      </c>
      <c r="C114" s="143">
        <f>VLOOKUP($A114,'Data shares'!$C:$FA,119)</f>
        <v>0.49</v>
      </c>
      <c r="D114" s="143">
        <f>VLOOKUP($A114,'Data shares'!$C:$FA,121)*100</f>
        <v>26.529999999999998</v>
      </c>
      <c r="E114" s="143">
        <f>VLOOKUP($A114,'Data shares'!$C:$FA,124)</f>
        <v>0.56999999999999995</v>
      </c>
      <c r="F114" s="143">
        <f>VLOOKUP($A114,'Data shares'!$C:$FA,125)</f>
        <v>0.51</v>
      </c>
      <c r="G114" s="143">
        <f>VLOOKUP($A114,'Data shares'!$C:$FA,127)*100</f>
        <v>11.76</v>
      </c>
      <c r="H114" s="103">
        <f>VLOOKUP($A114,'OI(Volume)'!$A$7:$O$427,8)</f>
        <v>10949600</v>
      </c>
      <c r="I114" s="103">
        <f>VLOOKUP($A114,'OI(Volume)'!$A$7:$O$427,9)</f>
        <v>-17815600</v>
      </c>
      <c r="J114" s="103">
        <f>VLOOKUP($A114,'OI(Volume)'!$A$7:$O$427,11)</f>
        <v>6822400</v>
      </c>
      <c r="K114" s="103">
        <f>VLOOKUP($A114,'OI(Volume)'!$A$7:$O$427,12)</f>
        <v>-7377600</v>
      </c>
      <c r="L114" s="103">
        <f>VLOOKUP($A114,'OI(Value)'!$A$7:$O$306,8,0)</f>
        <v>1659</v>
      </c>
      <c r="M114" s="103">
        <f>VLOOKUP($A114,'OI(Value)'!$A$7:$O$306,9,0)</f>
        <v>-2699</v>
      </c>
      <c r="N114" s="103">
        <f>VLOOKUP($A114,'OI(Value)'!$A$7:$O$306,11,0)</f>
        <v>1034</v>
      </c>
      <c r="O114" s="103">
        <f>VLOOKUP($A114,'OI(Value)'!$A$7:$O$306,12,0)</f>
        <v>-1118</v>
      </c>
      <c r="P114" s="179">
        <f>VLOOKUP(A114,'OI(Value)'!A114:O315,8,0)</f>
        <v>1659</v>
      </c>
      <c r="Q114" s="179">
        <f>VLOOKUP(A114,'OI(Value)'!A114:O315,9,0)</f>
        <v>-2699</v>
      </c>
      <c r="R114" s="179">
        <f>VLOOKUP(A114,'OI(Value)'!A114:O315,11,0)</f>
        <v>1034</v>
      </c>
      <c r="S114" s="179">
        <f>VLOOKUP(A114,'OI(Value)'!A114:O315,11,0)</f>
        <v>1034</v>
      </c>
    </row>
    <row r="115" spans="1:19" x14ac:dyDescent="0.25">
      <c r="A115" s="105" t="str">
        <f>'Data shares'!C110</f>
        <v>INOXWIND</v>
      </c>
      <c r="B115" s="143">
        <f>VLOOKUP($A115,'Data shares'!$C:$FA,118)</f>
        <v>0.56999999999999995</v>
      </c>
      <c r="C115" s="143">
        <f>VLOOKUP($A115,'Data shares'!$C:$FA,119)</f>
        <v>0.47</v>
      </c>
      <c r="D115" s="143">
        <f>VLOOKUP($A115,'Data shares'!$C:$FA,121)*100</f>
        <v>21.279999999999998</v>
      </c>
      <c r="E115" s="143">
        <f>VLOOKUP($A115,'Data shares'!$C:$FA,124)</f>
        <v>0.95</v>
      </c>
      <c r="F115" s="143">
        <f>VLOOKUP($A115,'Data shares'!$C:$FA,125)</f>
        <v>0.92</v>
      </c>
      <c r="G115" s="143">
        <f>VLOOKUP($A115,'Data shares'!$C:$FA,127)*100</f>
        <v>3.26</v>
      </c>
      <c r="H115" s="103">
        <f>VLOOKUP($A115,'OI(Volume)'!$A$7:$O$427,8)</f>
        <v>4440104</v>
      </c>
      <c r="I115" s="103">
        <f>VLOOKUP($A115,'OI(Volume)'!$A$7:$O$427,9)</f>
        <v>-12741168</v>
      </c>
      <c r="J115" s="103">
        <f>VLOOKUP($A115,'OI(Volume)'!$A$7:$O$427,11)</f>
        <v>2548888</v>
      </c>
      <c r="K115" s="103">
        <f>VLOOKUP($A115,'OI(Volume)'!$A$7:$O$427,12)</f>
        <v>-5601664</v>
      </c>
      <c r="L115" s="103">
        <f>VLOOKUP($A115,'OI(Value)'!$A$7:$O$306,8,0)</f>
        <v>67</v>
      </c>
      <c r="M115" s="103">
        <f>VLOOKUP($A115,'OI(Value)'!$A$7:$O$306,9,0)</f>
        <v>-193</v>
      </c>
      <c r="N115" s="103">
        <f>VLOOKUP($A115,'OI(Value)'!$A$7:$O$306,11,0)</f>
        <v>39</v>
      </c>
      <c r="O115" s="103">
        <f>VLOOKUP($A115,'OI(Value)'!$A$7:$O$306,12,0)</f>
        <v>-85</v>
      </c>
      <c r="P115" s="179">
        <f>VLOOKUP(A115,'OI(Value)'!A115:O316,8,0)</f>
        <v>67</v>
      </c>
      <c r="Q115" s="179">
        <f>VLOOKUP(A115,'OI(Value)'!A115:O316,9,0)</f>
        <v>-193</v>
      </c>
      <c r="R115" s="179">
        <f>VLOOKUP(A115,'OI(Value)'!A115:O316,11,0)</f>
        <v>39</v>
      </c>
      <c r="S115" s="179">
        <f>VLOOKUP(A115,'OI(Value)'!A115:O316,11,0)</f>
        <v>39</v>
      </c>
    </row>
    <row r="116" spans="1:19" x14ac:dyDescent="0.25">
      <c r="A116" s="105" t="str">
        <f>'Data shares'!C111</f>
        <v>IOC</v>
      </c>
      <c r="B116" s="143">
        <f>VLOOKUP($A116,'Data shares'!$C:$FA,118)</f>
        <v>0.77</v>
      </c>
      <c r="C116" s="143">
        <f>VLOOKUP($A116,'Data shares'!$C:$FA,119)</f>
        <v>0.64</v>
      </c>
      <c r="D116" s="143">
        <f>VLOOKUP($A116,'Data shares'!$C:$FA,121)*100</f>
        <v>20.309999999999999</v>
      </c>
      <c r="E116" s="143">
        <f>VLOOKUP($A116,'Data shares'!$C:$FA,124)</f>
        <v>1.2</v>
      </c>
      <c r="F116" s="143">
        <f>VLOOKUP($A116,'Data shares'!$C:$FA,125)</f>
        <v>0.32</v>
      </c>
      <c r="G116" s="143">
        <f>VLOOKUP($A116,'Data shares'!$C:$FA,127)*100</f>
        <v>275</v>
      </c>
      <c r="H116" s="103">
        <f>VLOOKUP($A116,'OI(Volume)'!$A$7:$O$427,8)</f>
        <v>33062250</v>
      </c>
      <c r="I116" s="103">
        <f>VLOOKUP($A116,'OI(Volume)'!$A$7:$O$427,9)</f>
        <v>-37366875</v>
      </c>
      <c r="J116" s="103">
        <f>VLOOKUP($A116,'OI(Volume)'!$A$7:$O$427,11)</f>
        <v>25569375</v>
      </c>
      <c r="K116" s="103">
        <f>VLOOKUP($A116,'OI(Volume)'!$A$7:$O$427,12)</f>
        <v>-19636500</v>
      </c>
      <c r="L116" s="103">
        <f>VLOOKUP($A116,'OI(Value)'!$A$7:$O$306,8,0)</f>
        <v>483</v>
      </c>
      <c r="M116" s="103">
        <f>VLOOKUP($A116,'OI(Value)'!$A$7:$O$306,9,0)</f>
        <v>-546</v>
      </c>
      <c r="N116" s="103">
        <f>VLOOKUP($A116,'OI(Value)'!$A$7:$O$306,11,0)</f>
        <v>373</v>
      </c>
      <c r="O116" s="103">
        <f>VLOOKUP($A116,'OI(Value)'!$A$7:$O$306,12,0)</f>
        <v>-287</v>
      </c>
      <c r="P116" s="179">
        <f>VLOOKUP(A116,'OI(Value)'!A116:O317,8,0)</f>
        <v>483</v>
      </c>
      <c r="Q116" s="179">
        <f>VLOOKUP(A116,'OI(Value)'!A116:O317,9,0)</f>
        <v>-546</v>
      </c>
      <c r="R116" s="179">
        <f>VLOOKUP(A116,'OI(Value)'!A116:O317,11,0)</f>
        <v>373</v>
      </c>
      <c r="S116" s="179">
        <f>VLOOKUP(A116,'OI(Value)'!A116:O317,11,0)</f>
        <v>373</v>
      </c>
    </row>
    <row r="117" spans="1:19" x14ac:dyDescent="0.25">
      <c r="A117" s="105" t="str">
        <f>'Data shares'!C112</f>
        <v>IRB</v>
      </c>
      <c r="B117" s="143">
        <f>VLOOKUP($A117,'Data shares'!$C:$FA,118)</f>
        <v>0.56000000000000005</v>
      </c>
      <c r="C117" s="143">
        <f>VLOOKUP($A117,'Data shares'!$C:$FA,119)</f>
        <v>0.36</v>
      </c>
      <c r="D117" s="143">
        <f>VLOOKUP($A117,'Data shares'!$C:$FA,121)*100</f>
        <v>55.559999999999995</v>
      </c>
      <c r="E117" s="143">
        <f>VLOOKUP($A117,'Data shares'!$C:$FA,124)</f>
        <v>0.72</v>
      </c>
      <c r="F117" s="143">
        <f>VLOOKUP($A117,'Data shares'!$C:$FA,125)</f>
        <v>0.4</v>
      </c>
      <c r="G117" s="143">
        <f>VLOOKUP($A117,'Data shares'!$C:$FA,127)*100</f>
        <v>80</v>
      </c>
      <c r="H117" s="103">
        <f>VLOOKUP($A117,'OI(Volume)'!$A$7:$O$427,8)</f>
        <v>11266375</v>
      </c>
      <c r="I117" s="103">
        <f>VLOOKUP($A117,'OI(Volume)'!$A$7:$O$427,9)</f>
        <v>-29899675</v>
      </c>
      <c r="J117" s="103">
        <f>VLOOKUP($A117,'OI(Volume)'!$A$7:$O$427,11)</f>
        <v>6362875</v>
      </c>
      <c r="K117" s="103">
        <f>VLOOKUP($A117,'OI(Volume)'!$A$7:$O$427,12)</f>
        <v>-8452700</v>
      </c>
      <c r="L117" s="103">
        <f>VLOOKUP($A117,'OI(Value)'!$A$7:$O$306,8,0)</f>
        <v>51</v>
      </c>
      <c r="M117" s="103">
        <f>VLOOKUP($A117,'OI(Value)'!$A$7:$O$306,9,0)</f>
        <v>-135</v>
      </c>
      <c r="N117" s="103">
        <f>VLOOKUP($A117,'OI(Value)'!$A$7:$O$306,11,0)</f>
        <v>29</v>
      </c>
      <c r="O117" s="103">
        <f>VLOOKUP($A117,'OI(Value)'!$A$7:$O$306,12,0)</f>
        <v>-38</v>
      </c>
      <c r="P117" s="179">
        <f>VLOOKUP(A117,'OI(Value)'!A117:O318,8,0)</f>
        <v>51</v>
      </c>
      <c r="Q117" s="179">
        <f>VLOOKUP(A117,'OI(Value)'!A117:O318,9,0)</f>
        <v>-135</v>
      </c>
      <c r="R117" s="179">
        <f>VLOOKUP(A117,'OI(Value)'!A117:O318,11,0)</f>
        <v>29</v>
      </c>
      <c r="S117" s="179">
        <f>VLOOKUP(A117,'OI(Value)'!A117:O318,11,0)</f>
        <v>29</v>
      </c>
    </row>
    <row r="118" spans="1:19" x14ac:dyDescent="0.25">
      <c r="A118" s="105" t="str">
        <f>'Data shares'!C113</f>
        <v>IRCTC</v>
      </c>
      <c r="B118" s="143">
        <f>VLOOKUP($A118,'Data shares'!$C:$FA,118)</f>
        <v>0.86</v>
      </c>
      <c r="C118" s="143">
        <f>VLOOKUP($A118,'Data shares'!$C:$FA,119)</f>
        <v>0.63</v>
      </c>
      <c r="D118" s="143">
        <f>VLOOKUP($A118,'Data shares'!$C:$FA,121)*100</f>
        <v>36.51</v>
      </c>
      <c r="E118" s="143">
        <f>VLOOKUP($A118,'Data shares'!$C:$FA,124)</f>
        <v>0.68</v>
      </c>
      <c r="F118" s="143">
        <f>VLOOKUP($A118,'Data shares'!$C:$FA,125)</f>
        <v>0.44</v>
      </c>
      <c r="G118" s="143">
        <f>VLOOKUP($A118,'Data shares'!$C:$FA,127)*100</f>
        <v>54.55</v>
      </c>
      <c r="H118" s="103">
        <f>VLOOKUP($A118,'OI(Volume)'!$A$7:$O$427,8)</f>
        <v>3983000</v>
      </c>
      <c r="I118" s="103">
        <f>VLOOKUP($A118,'OI(Volume)'!$A$7:$O$427,9)</f>
        <v>-5037375</v>
      </c>
      <c r="J118" s="103">
        <f>VLOOKUP($A118,'OI(Volume)'!$A$7:$O$427,11)</f>
        <v>3414250</v>
      </c>
      <c r="K118" s="103">
        <f>VLOOKUP($A118,'OI(Volume)'!$A$7:$O$427,12)</f>
        <v>-2242625</v>
      </c>
      <c r="L118" s="103">
        <f>VLOOKUP($A118,'OI(Value)'!$A$7:$O$306,8,0)</f>
        <v>290</v>
      </c>
      <c r="M118" s="103">
        <f>VLOOKUP($A118,'OI(Value)'!$A$7:$O$306,9,0)</f>
        <v>-367</v>
      </c>
      <c r="N118" s="103">
        <f>VLOOKUP($A118,'OI(Value)'!$A$7:$O$306,11,0)</f>
        <v>249</v>
      </c>
      <c r="O118" s="103">
        <f>VLOOKUP($A118,'OI(Value)'!$A$7:$O$306,12,0)</f>
        <v>-163</v>
      </c>
      <c r="P118" s="179">
        <f>VLOOKUP(A118,'OI(Value)'!A118:O319,8,0)</f>
        <v>290</v>
      </c>
      <c r="Q118" s="179">
        <f>VLOOKUP(A118,'OI(Value)'!A118:O319,9,0)</f>
        <v>-367</v>
      </c>
      <c r="R118" s="179">
        <f>VLOOKUP(A118,'OI(Value)'!A118:O319,11,0)</f>
        <v>249</v>
      </c>
      <c r="S118" s="179">
        <f>VLOOKUP(A118,'OI(Value)'!A118:O319,11,0)</f>
        <v>249</v>
      </c>
    </row>
    <row r="119" spans="1:19" x14ac:dyDescent="0.25">
      <c r="A119" s="105" t="str">
        <f>'Data shares'!C114</f>
        <v>IREDA</v>
      </c>
      <c r="B119" s="143">
        <f>VLOOKUP($A119,'Data shares'!$C:$FA,118)</f>
        <v>0.71</v>
      </c>
      <c r="C119" s="143">
        <f>VLOOKUP($A119,'Data shares'!$C:$FA,119)</f>
        <v>0.47</v>
      </c>
      <c r="D119" s="143">
        <f>VLOOKUP($A119,'Data shares'!$C:$FA,121)*100</f>
        <v>51.06</v>
      </c>
      <c r="E119" s="143">
        <f>VLOOKUP($A119,'Data shares'!$C:$FA,124)</f>
        <v>0.37</v>
      </c>
      <c r="F119" s="143">
        <f>VLOOKUP($A119,'Data shares'!$C:$FA,125)</f>
        <v>0.38</v>
      </c>
      <c r="G119" s="143">
        <f>VLOOKUP($A119,'Data shares'!$C:$FA,127)*100</f>
        <v>-2.63</v>
      </c>
      <c r="H119" s="103">
        <f>VLOOKUP($A119,'OI(Volume)'!$A$7:$O$427,8)</f>
        <v>13368750</v>
      </c>
      <c r="I119" s="103">
        <f>VLOOKUP($A119,'OI(Volume)'!$A$7:$O$427,9)</f>
        <v>-19240650</v>
      </c>
      <c r="J119" s="103">
        <f>VLOOKUP($A119,'OI(Volume)'!$A$7:$O$427,11)</f>
        <v>9511650</v>
      </c>
      <c r="K119" s="103">
        <f>VLOOKUP($A119,'OI(Volume)'!$A$7:$O$427,12)</f>
        <v>-5871900</v>
      </c>
      <c r="L119" s="103">
        <f>VLOOKUP($A119,'OI(Value)'!$A$7:$O$306,8,0)</f>
        <v>197</v>
      </c>
      <c r="M119" s="103">
        <f>VLOOKUP($A119,'OI(Value)'!$A$7:$O$306,9,0)</f>
        <v>-284</v>
      </c>
      <c r="N119" s="103">
        <f>VLOOKUP($A119,'OI(Value)'!$A$7:$O$306,11,0)</f>
        <v>140</v>
      </c>
      <c r="O119" s="103">
        <f>VLOOKUP($A119,'OI(Value)'!$A$7:$O$306,12,0)</f>
        <v>-87</v>
      </c>
      <c r="P119" s="179">
        <f>VLOOKUP(A119,'OI(Value)'!A119:O320,8,0)</f>
        <v>197</v>
      </c>
      <c r="Q119" s="179">
        <f>VLOOKUP(A119,'OI(Value)'!A119:O320,9,0)</f>
        <v>-284</v>
      </c>
      <c r="R119" s="179">
        <f>VLOOKUP(A119,'OI(Value)'!A119:O320,11,0)</f>
        <v>140</v>
      </c>
      <c r="S119" s="179">
        <f>VLOOKUP(A119,'OI(Value)'!A119:O320,11,0)</f>
        <v>140</v>
      </c>
    </row>
    <row r="120" spans="1:19" x14ac:dyDescent="0.25">
      <c r="A120" s="105" t="str">
        <f>'Data shares'!C115</f>
        <v>IRFC</v>
      </c>
      <c r="B120" s="143">
        <f>VLOOKUP($A120,'Data shares'!$C:$FA,118)</f>
        <v>0.46</v>
      </c>
      <c r="C120" s="143">
        <f>VLOOKUP($A120,'Data shares'!$C:$FA,119)</f>
        <v>0.43</v>
      </c>
      <c r="D120" s="143">
        <f>VLOOKUP($A120,'Data shares'!$C:$FA,121)*100</f>
        <v>6.98</v>
      </c>
      <c r="E120" s="143">
        <f>VLOOKUP($A120,'Data shares'!$C:$FA,124)</f>
        <v>0.42</v>
      </c>
      <c r="F120" s="143">
        <f>VLOOKUP($A120,'Data shares'!$C:$FA,125)</f>
        <v>0.32</v>
      </c>
      <c r="G120" s="143">
        <f>VLOOKUP($A120,'Data shares'!$C:$FA,127)*100</f>
        <v>31.25</v>
      </c>
      <c r="H120" s="103">
        <f>VLOOKUP($A120,'OI(Volume)'!$A$7:$O$427,8)</f>
        <v>20816500</v>
      </c>
      <c r="I120" s="103">
        <f>VLOOKUP($A120,'OI(Volume)'!$A$7:$O$427,9)</f>
        <v>-28249750</v>
      </c>
      <c r="J120" s="103">
        <f>VLOOKUP($A120,'OI(Volume)'!$A$7:$O$427,11)</f>
        <v>9520000</v>
      </c>
      <c r="K120" s="103">
        <f>VLOOKUP($A120,'OI(Volume)'!$A$7:$O$427,12)</f>
        <v>-11577000</v>
      </c>
      <c r="L120" s="103">
        <f>VLOOKUP($A120,'OI(Value)'!$A$7:$O$306,8,0)</f>
        <v>267</v>
      </c>
      <c r="M120" s="103">
        <f>VLOOKUP($A120,'OI(Value)'!$A$7:$O$306,9,0)</f>
        <v>-363</v>
      </c>
      <c r="N120" s="103">
        <f>VLOOKUP($A120,'OI(Value)'!$A$7:$O$306,11,0)</f>
        <v>122</v>
      </c>
      <c r="O120" s="103">
        <f>VLOOKUP($A120,'OI(Value)'!$A$7:$O$306,12,0)</f>
        <v>-149</v>
      </c>
      <c r="P120" s="179">
        <f>VLOOKUP(A120,'OI(Value)'!A120:O321,8,0)</f>
        <v>267</v>
      </c>
      <c r="Q120" s="179">
        <f>VLOOKUP(A120,'OI(Value)'!A120:O321,9,0)</f>
        <v>-363</v>
      </c>
      <c r="R120" s="179">
        <f>VLOOKUP(A120,'OI(Value)'!A120:O321,11,0)</f>
        <v>122</v>
      </c>
      <c r="S120" s="179">
        <f>VLOOKUP(A120,'OI(Value)'!A120:O321,11,0)</f>
        <v>122</v>
      </c>
    </row>
    <row r="121" spans="1:19" x14ac:dyDescent="0.25">
      <c r="A121" s="105" t="str">
        <f>'Data shares'!C116</f>
        <v>ITC</v>
      </c>
      <c r="B121" s="143">
        <f>VLOOKUP($A121,'Data shares'!$C:$FA,118)</f>
        <v>0.91</v>
      </c>
      <c r="C121" s="143">
        <f>VLOOKUP($A121,'Data shares'!$C:$FA,119)</f>
        <v>0.57999999999999996</v>
      </c>
      <c r="D121" s="143">
        <f>VLOOKUP($A121,'Data shares'!$C:$FA,121)*100</f>
        <v>56.899999999999991</v>
      </c>
      <c r="E121" s="143">
        <f>VLOOKUP($A121,'Data shares'!$C:$FA,124)</f>
        <v>0.49</v>
      </c>
      <c r="F121" s="143">
        <f>VLOOKUP($A121,'Data shares'!$C:$FA,125)</f>
        <v>0.67</v>
      </c>
      <c r="G121" s="143">
        <f>VLOOKUP($A121,'Data shares'!$C:$FA,127)*100</f>
        <v>-26.87</v>
      </c>
      <c r="H121" s="103">
        <f>VLOOKUP($A121,'OI(Volume)'!$A$7:$O$427,8)</f>
        <v>24611200</v>
      </c>
      <c r="I121" s="103">
        <f>VLOOKUP($A121,'OI(Volume)'!$A$7:$O$427,9)</f>
        <v>-30113600</v>
      </c>
      <c r="J121" s="103">
        <f>VLOOKUP($A121,'OI(Volume)'!$A$7:$O$427,11)</f>
        <v>22470400</v>
      </c>
      <c r="K121" s="103">
        <f>VLOOKUP($A121,'OI(Volume)'!$A$7:$O$427,12)</f>
        <v>-9459200</v>
      </c>
      <c r="L121" s="103">
        <f>VLOOKUP($A121,'OI(Value)'!$A$7:$O$306,8,0)</f>
        <v>1017</v>
      </c>
      <c r="M121" s="103">
        <f>VLOOKUP($A121,'OI(Value)'!$A$7:$O$306,9,0)</f>
        <v>-1244</v>
      </c>
      <c r="N121" s="103">
        <f>VLOOKUP($A121,'OI(Value)'!$A$7:$O$306,11,0)</f>
        <v>928</v>
      </c>
      <c r="O121" s="103">
        <f>VLOOKUP($A121,'OI(Value)'!$A$7:$O$306,12,0)</f>
        <v>-391</v>
      </c>
      <c r="P121" s="179">
        <f>VLOOKUP(A121,'OI(Value)'!A121:O322,8,0)</f>
        <v>1017</v>
      </c>
      <c r="Q121" s="179">
        <f>VLOOKUP(A121,'OI(Value)'!A121:O322,9,0)</f>
        <v>-1244</v>
      </c>
      <c r="R121" s="179">
        <f>VLOOKUP(A121,'OI(Value)'!A121:O322,11,0)</f>
        <v>928</v>
      </c>
      <c r="S121" s="179">
        <f>VLOOKUP(A121,'OI(Value)'!A121:O322,11,0)</f>
        <v>928</v>
      </c>
    </row>
    <row r="122" spans="1:19" x14ac:dyDescent="0.25">
      <c r="A122" s="105" t="str">
        <f>'Data shares'!C117</f>
        <v>JINDALSTEL</v>
      </c>
      <c r="B122" s="143">
        <f>VLOOKUP($A122,'Data shares'!$C:$FA,118)</f>
        <v>0.97</v>
      </c>
      <c r="C122" s="143">
        <f>VLOOKUP($A122,'Data shares'!$C:$FA,119)</f>
        <v>0.99</v>
      </c>
      <c r="D122" s="143">
        <f>VLOOKUP($A122,'Data shares'!$C:$FA,121)*100</f>
        <v>-2.02</v>
      </c>
      <c r="E122" s="143">
        <f>VLOOKUP($A122,'Data shares'!$C:$FA,124)</f>
        <v>0.92</v>
      </c>
      <c r="F122" s="143">
        <f>VLOOKUP($A122,'Data shares'!$C:$FA,125)</f>
        <v>0.77</v>
      </c>
      <c r="G122" s="143">
        <f>VLOOKUP($A122,'Data shares'!$C:$FA,127)*100</f>
        <v>19.48</v>
      </c>
      <c r="H122" s="103">
        <f>VLOOKUP($A122,'OI(Volume)'!$A$7:$O$427,8)</f>
        <v>1694375</v>
      </c>
      <c r="I122" s="103">
        <f>VLOOKUP($A122,'OI(Volume)'!$A$7:$O$427,9)</f>
        <v>-2279375</v>
      </c>
      <c r="J122" s="103">
        <f>VLOOKUP($A122,'OI(Volume)'!$A$7:$O$427,11)</f>
        <v>1646250</v>
      </c>
      <c r="K122" s="103">
        <f>VLOOKUP($A122,'OI(Volume)'!$A$7:$O$427,12)</f>
        <v>-2285625</v>
      </c>
      <c r="L122" s="103">
        <f>VLOOKUP($A122,'OI(Value)'!$A$7:$O$306,8,0)</f>
        <v>164</v>
      </c>
      <c r="M122" s="103">
        <f>VLOOKUP($A122,'OI(Value)'!$A$7:$O$306,9,0)</f>
        <v>-220</v>
      </c>
      <c r="N122" s="103">
        <f>VLOOKUP($A122,'OI(Value)'!$A$7:$O$306,11,0)</f>
        <v>159</v>
      </c>
      <c r="O122" s="103">
        <f>VLOOKUP($A122,'OI(Value)'!$A$7:$O$306,12,0)</f>
        <v>-221</v>
      </c>
      <c r="P122" s="179">
        <f>VLOOKUP(A122,'OI(Value)'!A122:O323,8,0)</f>
        <v>164</v>
      </c>
      <c r="Q122" s="179">
        <f>VLOOKUP(A122,'OI(Value)'!A122:O323,9,0)</f>
        <v>-220</v>
      </c>
      <c r="R122" s="179">
        <f>VLOOKUP(A122,'OI(Value)'!A122:O323,11,0)</f>
        <v>159</v>
      </c>
      <c r="S122" s="179">
        <f>VLOOKUP(A122,'OI(Value)'!A122:O323,11,0)</f>
        <v>159</v>
      </c>
    </row>
    <row r="123" spans="1:19" x14ac:dyDescent="0.25">
      <c r="A123" s="105" t="str">
        <f>'Data shares'!C118</f>
        <v>JIOFIN</v>
      </c>
      <c r="B123" s="143">
        <f>VLOOKUP($A123,'Data shares'!$C:$FA,118)</f>
        <v>0.78</v>
      </c>
      <c r="C123" s="143">
        <f>VLOOKUP($A123,'Data shares'!$C:$FA,119)</f>
        <v>0.65</v>
      </c>
      <c r="D123" s="143">
        <f>VLOOKUP($A123,'Data shares'!$C:$FA,121)*100</f>
        <v>20</v>
      </c>
      <c r="E123" s="143">
        <f>VLOOKUP($A123,'Data shares'!$C:$FA,124)</f>
        <v>0.37</v>
      </c>
      <c r="F123" s="143">
        <f>VLOOKUP($A123,'Data shares'!$C:$FA,125)</f>
        <v>0.52</v>
      </c>
      <c r="G123" s="143">
        <f>VLOOKUP($A123,'Data shares'!$C:$FA,127)*100</f>
        <v>-28.849999999999998</v>
      </c>
      <c r="H123" s="103">
        <f>VLOOKUP($A123,'OI(Volume)'!$A$7:$O$427,8)</f>
        <v>40878250</v>
      </c>
      <c r="I123" s="103">
        <f>VLOOKUP($A123,'OI(Volume)'!$A$7:$O$427,9)</f>
        <v>-37560050</v>
      </c>
      <c r="J123" s="103">
        <f>VLOOKUP($A123,'OI(Volume)'!$A$7:$O$427,11)</f>
        <v>31692100</v>
      </c>
      <c r="K123" s="103">
        <f>VLOOKUP($A123,'OI(Volume)'!$A$7:$O$427,12)</f>
        <v>-19157200</v>
      </c>
      <c r="L123" s="103">
        <f>VLOOKUP($A123,'OI(Value)'!$A$7:$O$306,8,0)</f>
        <v>1353</v>
      </c>
      <c r="M123" s="103">
        <f>VLOOKUP($A123,'OI(Value)'!$A$7:$O$306,9,0)</f>
        <v>-1243</v>
      </c>
      <c r="N123" s="103">
        <f>VLOOKUP($A123,'OI(Value)'!$A$7:$O$306,11,0)</f>
        <v>1049</v>
      </c>
      <c r="O123" s="103">
        <f>VLOOKUP($A123,'OI(Value)'!$A$7:$O$306,12,0)</f>
        <v>-634</v>
      </c>
      <c r="P123" s="179">
        <f>VLOOKUP(A123,'OI(Value)'!A123:O324,8,0)</f>
        <v>1353</v>
      </c>
      <c r="Q123" s="179">
        <f>VLOOKUP(A123,'OI(Value)'!A123:O324,9,0)</f>
        <v>-1243</v>
      </c>
      <c r="R123" s="179">
        <f>VLOOKUP(A123,'OI(Value)'!A123:O324,11,0)</f>
        <v>1049</v>
      </c>
      <c r="S123" s="179">
        <f>VLOOKUP(A123,'OI(Value)'!A123:O324,11,0)</f>
        <v>1049</v>
      </c>
    </row>
    <row r="124" spans="1:19" x14ac:dyDescent="0.25">
      <c r="A124" s="105" t="str">
        <f>'Data shares'!C119</f>
        <v>JSL</v>
      </c>
      <c r="B124" s="143">
        <f>VLOOKUP($A124,'Data shares'!$C:$FA,118)</f>
        <v>0.46</v>
      </c>
      <c r="C124" s="143">
        <f>VLOOKUP($A124,'Data shares'!$C:$FA,119)</f>
        <v>0.54</v>
      </c>
      <c r="D124" s="143">
        <f>VLOOKUP($A124,'Data shares'!$C:$FA,121)*100</f>
        <v>-14.81</v>
      </c>
      <c r="E124" s="143">
        <f>VLOOKUP($A124,'Data shares'!$C:$FA,124)</f>
        <v>0.5</v>
      </c>
      <c r="F124" s="143">
        <f>VLOOKUP($A124,'Data shares'!$C:$FA,125)</f>
        <v>0.23</v>
      </c>
      <c r="G124" s="143">
        <f>VLOOKUP($A124,'Data shares'!$C:$FA,127)*100</f>
        <v>117.39</v>
      </c>
      <c r="H124" s="103">
        <f>VLOOKUP($A124,'OI(Volume)'!$A$7:$O$427,8)</f>
        <v>684250</v>
      </c>
      <c r="I124" s="103">
        <f>VLOOKUP($A124,'OI(Volume)'!$A$7:$O$427,9)</f>
        <v>-1337050</v>
      </c>
      <c r="J124" s="103">
        <f>VLOOKUP($A124,'OI(Volume)'!$A$7:$O$427,11)</f>
        <v>312800</v>
      </c>
      <c r="K124" s="103">
        <f>VLOOKUP($A124,'OI(Volume)'!$A$7:$O$427,12)</f>
        <v>-786250</v>
      </c>
      <c r="L124" s="103">
        <f>VLOOKUP($A124,'OI(Value)'!$A$7:$O$306,8,0)</f>
        <v>48</v>
      </c>
      <c r="M124" s="103">
        <f>VLOOKUP($A124,'OI(Value)'!$A$7:$O$306,9,0)</f>
        <v>-93</v>
      </c>
      <c r="N124" s="103">
        <f>VLOOKUP($A124,'OI(Value)'!$A$7:$O$306,11,0)</f>
        <v>22</v>
      </c>
      <c r="O124" s="103">
        <f>VLOOKUP($A124,'OI(Value)'!$A$7:$O$306,12,0)</f>
        <v>-55</v>
      </c>
      <c r="P124" s="179">
        <f>VLOOKUP(A124,'OI(Value)'!A124:O325,8,0)</f>
        <v>48</v>
      </c>
      <c r="Q124" s="179">
        <f>VLOOKUP(A124,'OI(Value)'!A124:O325,9,0)</f>
        <v>-93</v>
      </c>
      <c r="R124" s="179">
        <f>VLOOKUP(A124,'OI(Value)'!A124:O325,11,0)</f>
        <v>22</v>
      </c>
      <c r="S124" s="179">
        <f>VLOOKUP(A124,'OI(Value)'!A124:O325,11,0)</f>
        <v>22</v>
      </c>
    </row>
    <row r="125" spans="1:19" x14ac:dyDescent="0.25">
      <c r="A125" s="105" t="str">
        <f>'Data shares'!C120</f>
        <v>JSWENERGY</v>
      </c>
      <c r="B125" s="143">
        <f>VLOOKUP($A125,'Data shares'!$C:$FA,118)</f>
        <v>0.62</v>
      </c>
      <c r="C125" s="143">
        <f>VLOOKUP($A125,'Data shares'!$C:$FA,119)</f>
        <v>0.56999999999999995</v>
      </c>
      <c r="D125" s="143">
        <f>VLOOKUP($A125,'Data shares'!$C:$FA,121)*100</f>
        <v>8.77</v>
      </c>
      <c r="E125" s="143">
        <f>VLOOKUP($A125,'Data shares'!$C:$FA,124)</f>
        <v>0.37</v>
      </c>
      <c r="F125" s="143">
        <f>VLOOKUP($A125,'Data shares'!$C:$FA,125)</f>
        <v>0.35</v>
      </c>
      <c r="G125" s="143">
        <f>VLOOKUP($A125,'Data shares'!$C:$FA,127)*100</f>
        <v>5.71</v>
      </c>
      <c r="H125" s="103">
        <f>VLOOKUP($A125,'OI(Volume)'!$A$7:$O$427,8)</f>
        <v>5128000</v>
      </c>
      <c r="I125" s="103">
        <f>VLOOKUP($A125,'OI(Volume)'!$A$7:$O$427,9)</f>
        <v>-3727000</v>
      </c>
      <c r="J125" s="103">
        <f>VLOOKUP($A125,'OI(Volume)'!$A$7:$O$427,11)</f>
        <v>3156000</v>
      </c>
      <c r="K125" s="103">
        <f>VLOOKUP($A125,'OI(Volume)'!$A$7:$O$427,12)</f>
        <v>-1906000</v>
      </c>
      <c r="L125" s="103">
        <f>VLOOKUP($A125,'OI(Value)'!$A$7:$O$306,8,0)</f>
        <v>266</v>
      </c>
      <c r="M125" s="103">
        <f>VLOOKUP($A125,'OI(Value)'!$A$7:$O$306,9,0)</f>
        <v>-193</v>
      </c>
      <c r="N125" s="103">
        <f>VLOOKUP($A125,'OI(Value)'!$A$7:$O$306,11,0)</f>
        <v>163</v>
      </c>
      <c r="O125" s="103">
        <f>VLOOKUP($A125,'OI(Value)'!$A$7:$O$306,12,0)</f>
        <v>-99</v>
      </c>
      <c r="P125" s="179">
        <f>VLOOKUP(A125,'OI(Value)'!A125:O326,8,0)</f>
        <v>266</v>
      </c>
      <c r="Q125" s="179">
        <f>VLOOKUP(A125,'OI(Value)'!A125:O326,9,0)</f>
        <v>-193</v>
      </c>
      <c r="R125" s="179">
        <f>VLOOKUP(A125,'OI(Value)'!A125:O326,11,0)</f>
        <v>163</v>
      </c>
      <c r="S125" s="179">
        <f>VLOOKUP(A125,'OI(Value)'!A125:O326,11,0)</f>
        <v>163</v>
      </c>
    </row>
    <row r="126" spans="1:19" x14ac:dyDescent="0.25">
      <c r="A126" s="105" t="str">
        <f>'Data shares'!C121</f>
        <v>JSWSTEEL</v>
      </c>
      <c r="B126" s="143">
        <f>VLOOKUP($A126,'Data shares'!$C:$FA,118)</f>
        <v>0.56999999999999995</v>
      </c>
      <c r="C126" s="143">
        <f>VLOOKUP($A126,'Data shares'!$C:$FA,119)</f>
        <v>0.62</v>
      </c>
      <c r="D126" s="143">
        <f>VLOOKUP($A126,'Data shares'!$C:$FA,121)*100</f>
        <v>-8.06</v>
      </c>
      <c r="E126" s="143">
        <f>VLOOKUP($A126,'Data shares'!$C:$FA,124)</f>
        <v>0.51</v>
      </c>
      <c r="F126" s="143">
        <f>VLOOKUP($A126,'Data shares'!$C:$FA,125)</f>
        <v>0.36</v>
      </c>
      <c r="G126" s="143">
        <f>VLOOKUP($A126,'Data shares'!$C:$FA,127)*100</f>
        <v>41.67</v>
      </c>
      <c r="H126" s="103">
        <f>VLOOKUP($A126,'OI(Volume)'!$A$7:$O$427,8)</f>
        <v>4263300</v>
      </c>
      <c r="I126" s="103">
        <f>VLOOKUP($A126,'OI(Volume)'!$A$7:$O$427,9)</f>
        <v>-5114475</v>
      </c>
      <c r="J126" s="103">
        <f>VLOOKUP($A126,'OI(Volume)'!$A$7:$O$427,11)</f>
        <v>2441475</v>
      </c>
      <c r="K126" s="103">
        <f>VLOOKUP($A126,'OI(Volume)'!$A$7:$O$427,12)</f>
        <v>-3388500</v>
      </c>
      <c r="L126" s="103">
        <f>VLOOKUP($A126,'OI(Value)'!$A$7:$O$306,8,0)</f>
        <v>449</v>
      </c>
      <c r="M126" s="103">
        <f>VLOOKUP($A126,'OI(Value)'!$A$7:$O$306,9,0)</f>
        <v>-538</v>
      </c>
      <c r="N126" s="103">
        <f>VLOOKUP($A126,'OI(Value)'!$A$7:$O$306,11,0)</f>
        <v>257</v>
      </c>
      <c r="O126" s="103">
        <f>VLOOKUP($A126,'OI(Value)'!$A$7:$O$306,12,0)</f>
        <v>-357</v>
      </c>
      <c r="P126" s="179">
        <f>VLOOKUP(A126,'OI(Value)'!A126:O327,8,0)</f>
        <v>449</v>
      </c>
      <c r="Q126" s="179">
        <f>VLOOKUP(A126,'OI(Value)'!A126:O327,9,0)</f>
        <v>-538</v>
      </c>
      <c r="R126" s="179">
        <f>VLOOKUP(A126,'OI(Value)'!A126:O327,11,0)</f>
        <v>257</v>
      </c>
      <c r="S126" s="179">
        <f>VLOOKUP(A126,'OI(Value)'!A126:O327,11,0)</f>
        <v>257</v>
      </c>
    </row>
    <row r="127" spans="1:19" x14ac:dyDescent="0.25">
      <c r="A127" s="105" t="str">
        <f>'Data shares'!C122</f>
        <v>JUBLFOOD</v>
      </c>
      <c r="B127" s="143">
        <f>VLOOKUP($A127,'Data shares'!$C:$FA,118)</f>
        <v>0.81</v>
      </c>
      <c r="C127" s="143">
        <f>VLOOKUP($A127,'Data shares'!$C:$FA,119)</f>
        <v>0.46</v>
      </c>
      <c r="D127" s="143">
        <f>VLOOKUP($A127,'Data shares'!$C:$FA,121)*100</f>
        <v>76.09</v>
      </c>
      <c r="E127" s="143">
        <f>VLOOKUP($A127,'Data shares'!$C:$FA,124)</f>
        <v>0.45</v>
      </c>
      <c r="F127" s="143">
        <f>VLOOKUP($A127,'Data shares'!$C:$FA,125)</f>
        <v>0.38</v>
      </c>
      <c r="G127" s="143">
        <f>VLOOKUP($A127,'Data shares'!$C:$FA,127)*100</f>
        <v>18.420000000000002</v>
      </c>
      <c r="H127" s="103">
        <f>VLOOKUP($A127,'OI(Volume)'!$A$7:$O$427,8)</f>
        <v>1193750</v>
      </c>
      <c r="I127" s="103">
        <f>VLOOKUP($A127,'OI(Volume)'!$A$7:$O$427,9)</f>
        <v>-5241250</v>
      </c>
      <c r="J127" s="103">
        <f>VLOOKUP($A127,'OI(Volume)'!$A$7:$O$427,11)</f>
        <v>965000</v>
      </c>
      <c r="K127" s="103">
        <f>VLOOKUP($A127,'OI(Volume)'!$A$7:$O$427,12)</f>
        <v>-1976250</v>
      </c>
      <c r="L127" s="103">
        <f>VLOOKUP($A127,'OI(Value)'!$A$7:$O$306,8,0)</f>
        <v>79</v>
      </c>
      <c r="M127" s="103">
        <f>VLOOKUP($A127,'OI(Value)'!$A$7:$O$306,9,0)</f>
        <v>-345</v>
      </c>
      <c r="N127" s="103">
        <f>VLOOKUP($A127,'OI(Value)'!$A$7:$O$306,11,0)</f>
        <v>63</v>
      </c>
      <c r="O127" s="103">
        <f>VLOOKUP($A127,'OI(Value)'!$A$7:$O$306,12,0)</f>
        <v>-130</v>
      </c>
      <c r="P127" s="179">
        <f>VLOOKUP(A127,'OI(Value)'!A127:O328,8,0)</f>
        <v>79</v>
      </c>
      <c r="Q127" s="179">
        <f>VLOOKUP(A127,'OI(Value)'!A127:O328,9,0)</f>
        <v>-345</v>
      </c>
      <c r="R127" s="179">
        <f>VLOOKUP(A127,'OI(Value)'!A127:O328,11,0)</f>
        <v>63</v>
      </c>
      <c r="S127" s="179">
        <f>VLOOKUP(A127,'OI(Value)'!A127:O328,11,0)</f>
        <v>63</v>
      </c>
    </row>
    <row r="128" spans="1:19" x14ac:dyDescent="0.25">
      <c r="A128" s="105" t="str">
        <f>'Data shares'!C123</f>
        <v>KALYANKJIL</v>
      </c>
      <c r="B128" s="143">
        <f>VLOOKUP($A128,'Data shares'!$C:$FA,118)</f>
        <v>0.55000000000000004</v>
      </c>
      <c r="C128" s="143">
        <f>VLOOKUP($A128,'Data shares'!$C:$FA,119)</f>
        <v>0.62</v>
      </c>
      <c r="D128" s="143">
        <f>VLOOKUP($A128,'Data shares'!$C:$FA,121)*100</f>
        <v>-11.29</v>
      </c>
      <c r="E128" s="143">
        <f>VLOOKUP($A128,'Data shares'!$C:$FA,124)</f>
        <v>0.46</v>
      </c>
      <c r="F128" s="143">
        <f>VLOOKUP($A128,'Data shares'!$C:$FA,125)</f>
        <v>0.4</v>
      </c>
      <c r="G128" s="143">
        <f>VLOOKUP($A128,'Data shares'!$C:$FA,127)*100</f>
        <v>15</v>
      </c>
      <c r="H128" s="103">
        <f>VLOOKUP($A128,'OI(Volume)'!$A$7:$O$427,8)</f>
        <v>2857600</v>
      </c>
      <c r="I128" s="103">
        <f>VLOOKUP($A128,'OI(Volume)'!$A$7:$O$427,9)</f>
        <v>-3623700</v>
      </c>
      <c r="J128" s="103">
        <f>VLOOKUP($A128,'OI(Volume)'!$A$7:$O$427,11)</f>
        <v>1585075</v>
      </c>
      <c r="K128" s="103">
        <f>VLOOKUP($A128,'OI(Volume)'!$A$7:$O$427,12)</f>
        <v>-2447525</v>
      </c>
      <c r="L128" s="103">
        <f>VLOOKUP($A128,'OI(Value)'!$A$7:$O$306,8,0)</f>
        <v>171</v>
      </c>
      <c r="M128" s="103">
        <f>VLOOKUP($A128,'OI(Value)'!$A$7:$O$306,9,0)</f>
        <v>-216</v>
      </c>
      <c r="N128" s="103">
        <f>VLOOKUP($A128,'OI(Value)'!$A$7:$O$306,11,0)</f>
        <v>95</v>
      </c>
      <c r="O128" s="103">
        <f>VLOOKUP($A128,'OI(Value)'!$A$7:$O$306,12,0)</f>
        <v>-146</v>
      </c>
      <c r="P128" s="179">
        <f>VLOOKUP(A128,'OI(Value)'!A128:O329,8,0)</f>
        <v>171</v>
      </c>
      <c r="Q128" s="179">
        <f>VLOOKUP(A128,'OI(Value)'!A128:O329,9,0)</f>
        <v>-216</v>
      </c>
      <c r="R128" s="179">
        <f>VLOOKUP(A128,'OI(Value)'!A128:O329,11,0)</f>
        <v>95</v>
      </c>
      <c r="S128" s="179">
        <f>VLOOKUP(A128,'OI(Value)'!A128:O329,11,0)</f>
        <v>95</v>
      </c>
    </row>
    <row r="129" spans="1:19" x14ac:dyDescent="0.25">
      <c r="A129" s="105" t="str">
        <f>'Data shares'!C124</f>
        <v>KAYNES</v>
      </c>
      <c r="B129" s="143">
        <f>VLOOKUP($A129,'Data shares'!$C:$FA,118)</f>
        <v>0.67</v>
      </c>
      <c r="C129" s="143">
        <f>VLOOKUP($A129,'Data shares'!$C:$FA,119)</f>
        <v>0.61</v>
      </c>
      <c r="D129" s="143">
        <f>VLOOKUP($A129,'Data shares'!$C:$FA,121)*100</f>
        <v>9.84</v>
      </c>
      <c r="E129" s="143">
        <f>VLOOKUP($A129,'Data shares'!$C:$FA,124)</f>
        <v>0.37</v>
      </c>
      <c r="F129" s="143">
        <f>VLOOKUP($A129,'Data shares'!$C:$FA,125)</f>
        <v>0.34</v>
      </c>
      <c r="G129" s="143">
        <f>VLOOKUP($A129,'Data shares'!$C:$FA,127)*100</f>
        <v>8.82</v>
      </c>
      <c r="H129" s="103">
        <f>VLOOKUP($A129,'OI(Volume)'!$A$7:$O$427,8)</f>
        <v>514800</v>
      </c>
      <c r="I129" s="103">
        <f>VLOOKUP($A129,'OI(Volume)'!$A$7:$O$427,9)</f>
        <v>-173600</v>
      </c>
      <c r="J129" s="103">
        <f>VLOOKUP($A129,'OI(Volume)'!$A$7:$O$427,11)</f>
        <v>346900</v>
      </c>
      <c r="K129" s="103">
        <f>VLOOKUP($A129,'OI(Volume)'!$A$7:$O$427,12)</f>
        <v>-72000</v>
      </c>
      <c r="L129" s="103">
        <f>VLOOKUP($A129,'OI(Value)'!$A$7:$O$306,8,0)</f>
        <v>320</v>
      </c>
      <c r="M129" s="103">
        <f>VLOOKUP($A129,'OI(Value)'!$A$7:$O$306,9,0)</f>
        <v>-108</v>
      </c>
      <c r="N129" s="103">
        <f>VLOOKUP($A129,'OI(Value)'!$A$7:$O$306,11,0)</f>
        <v>215</v>
      </c>
      <c r="O129" s="103">
        <f>VLOOKUP($A129,'OI(Value)'!$A$7:$O$306,12,0)</f>
        <v>-45</v>
      </c>
      <c r="P129" s="179">
        <f>VLOOKUP(A129,'OI(Value)'!A129:O330,8,0)</f>
        <v>320</v>
      </c>
      <c r="Q129" s="179">
        <f>VLOOKUP(A129,'OI(Value)'!A129:O330,9,0)</f>
        <v>-108</v>
      </c>
      <c r="R129" s="179">
        <f>VLOOKUP(A129,'OI(Value)'!A129:O330,11,0)</f>
        <v>215</v>
      </c>
      <c r="S129" s="179">
        <f>VLOOKUP(A129,'OI(Value)'!A129:O330,11,0)</f>
        <v>215</v>
      </c>
    </row>
    <row r="130" spans="1:19" x14ac:dyDescent="0.25">
      <c r="A130" s="105" t="str">
        <f>'Data shares'!C125</f>
        <v>KEI</v>
      </c>
      <c r="B130" s="143">
        <f>VLOOKUP($A130,'Data shares'!$C:$FA,118)</f>
        <v>0.59</v>
      </c>
      <c r="C130" s="143">
        <f>VLOOKUP($A130,'Data shares'!$C:$FA,119)</f>
        <v>0.56000000000000005</v>
      </c>
      <c r="D130" s="143">
        <f>VLOOKUP($A130,'Data shares'!$C:$FA,121)*100</f>
        <v>5.36</v>
      </c>
      <c r="E130" s="143">
        <f>VLOOKUP($A130,'Data shares'!$C:$FA,124)</f>
        <v>0.41</v>
      </c>
      <c r="F130" s="143">
        <f>VLOOKUP($A130,'Data shares'!$C:$FA,125)</f>
        <v>0.34</v>
      </c>
      <c r="G130" s="143">
        <f>VLOOKUP($A130,'Data shares'!$C:$FA,127)*100</f>
        <v>20.59</v>
      </c>
      <c r="H130" s="103">
        <f>VLOOKUP($A130,'OI(Volume)'!$A$7:$O$427,8)</f>
        <v>189525</v>
      </c>
      <c r="I130" s="103">
        <f>VLOOKUP($A130,'OI(Volume)'!$A$7:$O$427,9)</f>
        <v>-560350</v>
      </c>
      <c r="J130" s="103">
        <f>VLOOKUP($A130,'OI(Volume)'!$A$7:$O$427,11)</f>
        <v>111125</v>
      </c>
      <c r="K130" s="103">
        <f>VLOOKUP($A130,'OI(Volume)'!$A$7:$O$427,12)</f>
        <v>-310100</v>
      </c>
      <c r="L130" s="103">
        <f>VLOOKUP($A130,'OI(Value)'!$A$7:$O$306,8,0)</f>
        <v>73</v>
      </c>
      <c r="M130" s="103">
        <f>VLOOKUP($A130,'OI(Value)'!$A$7:$O$306,9,0)</f>
        <v>-217</v>
      </c>
      <c r="N130" s="103">
        <f>VLOOKUP($A130,'OI(Value)'!$A$7:$O$306,11,0)</f>
        <v>43</v>
      </c>
      <c r="O130" s="103">
        <f>VLOOKUP($A130,'OI(Value)'!$A$7:$O$306,12,0)</f>
        <v>-120</v>
      </c>
      <c r="P130" s="179">
        <f>VLOOKUP(A130,'OI(Value)'!A130:O331,8,0)</f>
        <v>73</v>
      </c>
      <c r="Q130" s="179">
        <f>VLOOKUP(A130,'OI(Value)'!A130:O331,9,0)</f>
        <v>-217</v>
      </c>
      <c r="R130" s="179">
        <f>VLOOKUP(A130,'OI(Value)'!A130:O331,11,0)</f>
        <v>43</v>
      </c>
      <c r="S130" s="179">
        <f>VLOOKUP(A130,'OI(Value)'!A130:O331,11,0)</f>
        <v>43</v>
      </c>
    </row>
    <row r="131" spans="1:19" x14ac:dyDescent="0.25">
      <c r="A131" s="105" t="str">
        <f>'Data shares'!C126</f>
        <v>KFINTECH</v>
      </c>
      <c r="B131" s="143">
        <f>VLOOKUP($A131,'Data shares'!$C:$FA,118)</f>
        <v>0.73</v>
      </c>
      <c r="C131" s="143">
        <f>VLOOKUP($A131,'Data shares'!$C:$FA,119)</f>
        <v>0.48</v>
      </c>
      <c r="D131" s="143">
        <f>VLOOKUP($A131,'Data shares'!$C:$FA,121)*100</f>
        <v>52.080000000000005</v>
      </c>
      <c r="E131" s="143">
        <f>VLOOKUP($A131,'Data shares'!$C:$FA,124)</f>
        <v>0.93</v>
      </c>
      <c r="F131" s="143">
        <f>VLOOKUP($A131,'Data shares'!$C:$FA,125)</f>
        <v>0.42</v>
      </c>
      <c r="G131" s="143">
        <f>VLOOKUP($A131,'Data shares'!$C:$FA,127)*100</f>
        <v>121.42999999999999</v>
      </c>
      <c r="H131" s="103">
        <f>VLOOKUP($A131,'OI(Volume)'!$A$7:$O$427,8)</f>
        <v>397800</v>
      </c>
      <c r="I131" s="103">
        <f>VLOOKUP($A131,'OI(Volume)'!$A$7:$O$427,9)</f>
        <v>-880650</v>
      </c>
      <c r="J131" s="103">
        <f>VLOOKUP($A131,'OI(Volume)'!$A$7:$O$427,11)</f>
        <v>288450</v>
      </c>
      <c r="K131" s="103">
        <f>VLOOKUP($A131,'OI(Volume)'!$A$7:$O$427,12)</f>
        <v>-319950</v>
      </c>
      <c r="L131" s="103">
        <f>VLOOKUP($A131,'OI(Value)'!$A$7:$O$306,8,0)</f>
        <v>43</v>
      </c>
      <c r="M131" s="103">
        <f>VLOOKUP($A131,'OI(Value)'!$A$7:$O$306,9,0)</f>
        <v>-95</v>
      </c>
      <c r="N131" s="103">
        <f>VLOOKUP($A131,'OI(Value)'!$A$7:$O$306,11,0)</f>
        <v>31</v>
      </c>
      <c r="O131" s="103">
        <f>VLOOKUP($A131,'OI(Value)'!$A$7:$O$306,12,0)</f>
        <v>-35</v>
      </c>
      <c r="P131" s="179">
        <f>VLOOKUP(A131,'OI(Value)'!A131:O332,8,0)</f>
        <v>43</v>
      </c>
      <c r="Q131" s="179">
        <f>VLOOKUP(A131,'OI(Value)'!A131:O332,9,0)</f>
        <v>-95</v>
      </c>
      <c r="R131" s="179">
        <f>VLOOKUP(A131,'OI(Value)'!A131:O332,11,0)</f>
        <v>31</v>
      </c>
      <c r="S131" s="179">
        <f>VLOOKUP(A131,'OI(Value)'!A131:O332,11,0)</f>
        <v>31</v>
      </c>
    </row>
    <row r="132" spans="1:19" x14ac:dyDescent="0.25">
      <c r="A132" s="105" t="str">
        <f>'Data shares'!C127</f>
        <v>KOTAKBANK</v>
      </c>
      <c r="B132" s="143">
        <f>VLOOKUP($A132,'Data shares'!$C:$FA,118)</f>
        <v>0.68</v>
      </c>
      <c r="C132" s="143">
        <f>VLOOKUP($A132,'Data shares'!$C:$FA,119)</f>
        <v>0.57999999999999996</v>
      </c>
      <c r="D132" s="143">
        <f>VLOOKUP($A132,'Data shares'!$C:$FA,121)*100</f>
        <v>17.239999999999998</v>
      </c>
      <c r="E132" s="143">
        <f>VLOOKUP($A132,'Data shares'!$C:$FA,124)</f>
        <v>0.56000000000000005</v>
      </c>
      <c r="F132" s="143">
        <f>VLOOKUP($A132,'Data shares'!$C:$FA,125)</f>
        <v>0.48</v>
      </c>
      <c r="G132" s="143">
        <f>VLOOKUP($A132,'Data shares'!$C:$FA,127)*100</f>
        <v>16.669999999999998</v>
      </c>
      <c r="H132" s="103">
        <f>VLOOKUP($A132,'OI(Volume)'!$A$7:$O$427,8)</f>
        <v>6469600</v>
      </c>
      <c r="I132" s="103">
        <f>VLOOKUP($A132,'OI(Volume)'!$A$7:$O$427,9)</f>
        <v>-8670400</v>
      </c>
      <c r="J132" s="103">
        <f>VLOOKUP($A132,'OI(Volume)'!$A$7:$O$427,11)</f>
        <v>4389600</v>
      </c>
      <c r="K132" s="103">
        <f>VLOOKUP($A132,'OI(Volume)'!$A$7:$O$427,12)</f>
        <v>-4422000</v>
      </c>
      <c r="L132" s="103">
        <f>VLOOKUP($A132,'OI(Value)'!$A$7:$O$306,8,0)</f>
        <v>1288</v>
      </c>
      <c r="M132" s="103">
        <f>VLOOKUP($A132,'OI(Value)'!$A$7:$O$306,9,0)</f>
        <v>-1726</v>
      </c>
      <c r="N132" s="103">
        <f>VLOOKUP($A132,'OI(Value)'!$A$7:$O$306,11,0)</f>
        <v>874</v>
      </c>
      <c r="O132" s="103">
        <f>VLOOKUP($A132,'OI(Value)'!$A$7:$O$306,12,0)</f>
        <v>-880</v>
      </c>
      <c r="P132" s="179">
        <f>VLOOKUP(A132,'OI(Value)'!A132:O333,8,0)</f>
        <v>1288</v>
      </c>
      <c r="Q132" s="179">
        <f>VLOOKUP(A132,'OI(Value)'!A132:O333,9,0)</f>
        <v>-1726</v>
      </c>
      <c r="R132" s="179">
        <f>VLOOKUP(A132,'OI(Value)'!A132:O333,11,0)</f>
        <v>874</v>
      </c>
      <c r="S132" s="179">
        <f>VLOOKUP(A132,'OI(Value)'!A132:O333,11,0)</f>
        <v>874</v>
      </c>
    </row>
    <row r="133" spans="1:19" x14ac:dyDescent="0.25">
      <c r="A133" s="105" t="str">
        <f>'Data shares'!C128</f>
        <v>KPITTECH</v>
      </c>
      <c r="B133" s="143">
        <f>VLOOKUP($A133,'Data shares'!$C:$FA,118)</f>
        <v>1.31</v>
      </c>
      <c r="C133" s="143">
        <f>VLOOKUP($A133,'Data shares'!$C:$FA,119)</f>
        <v>1.1000000000000001</v>
      </c>
      <c r="D133" s="143">
        <f>VLOOKUP($A133,'Data shares'!$C:$FA,121)*100</f>
        <v>19.09</v>
      </c>
      <c r="E133" s="143">
        <f>VLOOKUP($A133,'Data shares'!$C:$FA,124)</f>
        <v>0.73</v>
      </c>
      <c r="F133" s="143">
        <f>VLOOKUP($A133,'Data shares'!$C:$FA,125)</f>
        <v>0.63</v>
      </c>
      <c r="G133" s="143">
        <f>VLOOKUP($A133,'Data shares'!$C:$FA,127)*100</f>
        <v>15.870000000000001</v>
      </c>
      <c r="H133" s="103">
        <f>VLOOKUP($A133,'OI(Volume)'!$A$7:$O$427,8)</f>
        <v>1542800</v>
      </c>
      <c r="I133" s="103">
        <f>VLOOKUP($A133,'OI(Volume)'!$A$7:$O$427,9)</f>
        <v>-2943200</v>
      </c>
      <c r="J133" s="103">
        <f>VLOOKUP($A133,'OI(Volume)'!$A$7:$O$427,11)</f>
        <v>2022000</v>
      </c>
      <c r="K133" s="103">
        <f>VLOOKUP($A133,'OI(Volume)'!$A$7:$O$427,12)</f>
        <v>-2931600</v>
      </c>
      <c r="L133" s="103">
        <f>VLOOKUP($A133,'OI(Value)'!$A$7:$O$306,8,0)</f>
        <v>190</v>
      </c>
      <c r="M133" s="103">
        <f>VLOOKUP($A133,'OI(Value)'!$A$7:$O$306,9,0)</f>
        <v>-362</v>
      </c>
      <c r="N133" s="103">
        <f>VLOOKUP($A133,'OI(Value)'!$A$7:$O$306,11,0)</f>
        <v>248</v>
      </c>
      <c r="O133" s="103">
        <f>VLOOKUP($A133,'OI(Value)'!$A$7:$O$306,12,0)</f>
        <v>-360</v>
      </c>
      <c r="P133" s="179">
        <f>VLOOKUP(A133,'OI(Value)'!A133:O334,8,0)</f>
        <v>190</v>
      </c>
      <c r="Q133" s="179">
        <f>VLOOKUP(A133,'OI(Value)'!A133:O334,9,0)</f>
        <v>-362</v>
      </c>
      <c r="R133" s="179">
        <f>VLOOKUP(A133,'OI(Value)'!A133:O334,11,0)</f>
        <v>248</v>
      </c>
      <c r="S133" s="179">
        <f>VLOOKUP(A133,'OI(Value)'!A133:O334,11,0)</f>
        <v>248</v>
      </c>
    </row>
    <row r="134" spans="1:19" x14ac:dyDescent="0.25">
      <c r="A134" s="105" t="str">
        <f>'Data shares'!C129</f>
        <v>LAURUSLABS</v>
      </c>
      <c r="B134" s="143">
        <f>VLOOKUP($A134,'Data shares'!$C:$FA,118)</f>
        <v>0.66</v>
      </c>
      <c r="C134" s="143">
        <f>VLOOKUP($A134,'Data shares'!$C:$FA,119)</f>
        <v>0.9</v>
      </c>
      <c r="D134" s="143">
        <f>VLOOKUP($A134,'Data shares'!$C:$FA,121)*100</f>
        <v>-26.669999999999998</v>
      </c>
      <c r="E134" s="143">
        <f>VLOOKUP($A134,'Data shares'!$C:$FA,124)</f>
        <v>0.96</v>
      </c>
      <c r="F134" s="143">
        <f>VLOOKUP($A134,'Data shares'!$C:$FA,125)</f>
        <v>0.79</v>
      </c>
      <c r="G134" s="143">
        <f>VLOOKUP($A134,'Data shares'!$C:$FA,127)*100</f>
        <v>21.52</v>
      </c>
      <c r="H134" s="103">
        <f>VLOOKUP($A134,'OI(Volume)'!$A$7:$O$427,8)</f>
        <v>8418400</v>
      </c>
      <c r="I134" s="103">
        <f>VLOOKUP($A134,'OI(Volume)'!$A$7:$O$427,9)</f>
        <v>-11587200</v>
      </c>
      <c r="J134" s="103">
        <f>VLOOKUP($A134,'OI(Volume)'!$A$7:$O$427,11)</f>
        <v>5523300</v>
      </c>
      <c r="K134" s="103">
        <f>VLOOKUP($A134,'OI(Volume)'!$A$7:$O$427,12)</f>
        <v>-12452500</v>
      </c>
      <c r="L134" s="103">
        <f>VLOOKUP($A134,'OI(Value)'!$A$7:$O$306,8,0)</f>
        <v>739</v>
      </c>
      <c r="M134" s="103">
        <f>VLOOKUP($A134,'OI(Value)'!$A$7:$O$306,9,0)</f>
        <v>-1017</v>
      </c>
      <c r="N134" s="103">
        <f>VLOOKUP($A134,'OI(Value)'!$A$7:$O$306,11,0)</f>
        <v>485</v>
      </c>
      <c r="O134" s="103">
        <f>VLOOKUP($A134,'OI(Value)'!$A$7:$O$306,12,0)</f>
        <v>-1093</v>
      </c>
      <c r="P134" s="179">
        <f>VLOOKUP(A134,'OI(Value)'!A134:O335,8,0)</f>
        <v>739</v>
      </c>
      <c r="Q134" s="179">
        <f>VLOOKUP(A134,'OI(Value)'!A134:O335,9,0)</f>
        <v>-1017</v>
      </c>
      <c r="R134" s="179">
        <f>VLOOKUP(A134,'OI(Value)'!A134:O335,11,0)</f>
        <v>485</v>
      </c>
      <c r="S134" s="179">
        <f>VLOOKUP(A134,'OI(Value)'!A134:O335,11,0)</f>
        <v>485</v>
      </c>
    </row>
    <row r="135" spans="1:19" x14ac:dyDescent="0.25">
      <c r="A135" s="105" t="str">
        <f>'Data shares'!C130</f>
        <v>LICHSGFIN</v>
      </c>
      <c r="B135" s="143">
        <f>VLOOKUP($A135,'Data shares'!$C:$FA,118)</f>
        <v>0.99</v>
      </c>
      <c r="C135" s="143">
        <f>VLOOKUP($A135,'Data shares'!$C:$FA,119)</f>
        <v>0.92</v>
      </c>
      <c r="D135" s="143">
        <f>VLOOKUP($A135,'Data shares'!$C:$FA,121)*100</f>
        <v>7.61</v>
      </c>
      <c r="E135" s="143">
        <f>VLOOKUP($A135,'Data shares'!$C:$FA,124)</f>
        <v>0.59</v>
      </c>
      <c r="F135" s="143">
        <f>VLOOKUP($A135,'Data shares'!$C:$FA,125)</f>
        <v>0.81</v>
      </c>
      <c r="G135" s="143">
        <f>VLOOKUP($A135,'Data shares'!$C:$FA,127)*100</f>
        <v>-27.16</v>
      </c>
      <c r="H135" s="103">
        <f>VLOOKUP($A135,'OI(Volume)'!$A$7:$O$427,8)</f>
        <v>5733000</v>
      </c>
      <c r="I135" s="103">
        <f>VLOOKUP($A135,'OI(Volume)'!$A$7:$O$427,9)</f>
        <v>-3289000</v>
      </c>
      <c r="J135" s="103">
        <f>VLOOKUP($A135,'OI(Volume)'!$A$7:$O$427,11)</f>
        <v>5694000</v>
      </c>
      <c r="K135" s="103">
        <f>VLOOKUP($A135,'OI(Volume)'!$A$7:$O$427,12)</f>
        <v>-2607000</v>
      </c>
      <c r="L135" s="103">
        <f>VLOOKUP($A135,'OI(Value)'!$A$7:$O$306,8,0)</f>
        <v>334</v>
      </c>
      <c r="M135" s="103">
        <f>VLOOKUP($A135,'OI(Value)'!$A$7:$O$306,9,0)</f>
        <v>-191</v>
      </c>
      <c r="N135" s="103">
        <f>VLOOKUP($A135,'OI(Value)'!$A$7:$O$306,11,0)</f>
        <v>331</v>
      </c>
      <c r="O135" s="103">
        <f>VLOOKUP($A135,'OI(Value)'!$A$7:$O$306,12,0)</f>
        <v>-152</v>
      </c>
      <c r="P135" s="179">
        <f>VLOOKUP(A135,'OI(Value)'!A135:O336,8,0)</f>
        <v>334</v>
      </c>
      <c r="Q135" s="179">
        <f>VLOOKUP(A135,'OI(Value)'!A135:O336,9,0)</f>
        <v>-191</v>
      </c>
      <c r="R135" s="179">
        <f>VLOOKUP(A135,'OI(Value)'!A135:O336,11,0)</f>
        <v>331</v>
      </c>
      <c r="S135" s="179">
        <f>VLOOKUP(A135,'OI(Value)'!A135:O336,11,0)</f>
        <v>331</v>
      </c>
    </row>
    <row r="136" spans="1:19" x14ac:dyDescent="0.25">
      <c r="A136" s="105" t="str">
        <f>'Data shares'!C131</f>
        <v>LICI</v>
      </c>
      <c r="B136" s="143">
        <f>VLOOKUP($A136,'Data shares'!$C:$FA,118)</f>
        <v>0.7</v>
      </c>
      <c r="C136" s="143">
        <f>VLOOKUP($A136,'Data shares'!$C:$FA,119)</f>
        <v>0.5</v>
      </c>
      <c r="D136" s="143">
        <f>VLOOKUP($A136,'Data shares'!$C:$FA,121)*100</f>
        <v>40</v>
      </c>
      <c r="E136" s="143">
        <f>VLOOKUP($A136,'Data shares'!$C:$FA,124)</f>
        <v>0.63</v>
      </c>
      <c r="F136" s="143">
        <f>VLOOKUP($A136,'Data shares'!$C:$FA,125)</f>
        <v>0.32</v>
      </c>
      <c r="G136" s="143">
        <f>VLOOKUP($A136,'Data shares'!$C:$FA,127)*100</f>
        <v>96.88</v>
      </c>
      <c r="H136" s="103">
        <f>VLOOKUP($A136,'OI(Volume)'!$A$7:$O$427,8)</f>
        <v>1449000</v>
      </c>
      <c r="I136" s="103">
        <f>VLOOKUP($A136,'OI(Volume)'!$A$7:$O$427,9)</f>
        <v>-3111500</v>
      </c>
      <c r="J136" s="103">
        <f>VLOOKUP($A136,'OI(Volume)'!$A$7:$O$427,11)</f>
        <v>1019900</v>
      </c>
      <c r="K136" s="103">
        <f>VLOOKUP($A136,'OI(Volume)'!$A$7:$O$427,12)</f>
        <v>-1275400</v>
      </c>
      <c r="L136" s="103">
        <f>VLOOKUP($A136,'OI(Value)'!$A$7:$O$306,8,0)</f>
        <v>130</v>
      </c>
      <c r="M136" s="103">
        <f>VLOOKUP($A136,'OI(Value)'!$A$7:$O$306,9,0)</f>
        <v>-280</v>
      </c>
      <c r="N136" s="103">
        <f>VLOOKUP($A136,'OI(Value)'!$A$7:$O$306,11,0)</f>
        <v>92</v>
      </c>
      <c r="O136" s="103">
        <f>VLOOKUP($A136,'OI(Value)'!$A$7:$O$306,12,0)</f>
        <v>-115</v>
      </c>
      <c r="P136" s="179">
        <f>VLOOKUP(A136,'OI(Value)'!A136:O337,8,0)</f>
        <v>130</v>
      </c>
      <c r="Q136" s="179">
        <f>VLOOKUP(A136,'OI(Value)'!A136:O337,9,0)</f>
        <v>-280</v>
      </c>
      <c r="R136" s="179">
        <f>VLOOKUP(A136,'OI(Value)'!A136:O337,11,0)</f>
        <v>92</v>
      </c>
      <c r="S136" s="179">
        <f>VLOOKUP(A136,'OI(Value)'!A136:O337,11,0)</f>
        <v>92</v>
      </c>
    </row>
    <row r="137" spans="1:19" x14ac:dyDescent="0.25">
      <c r="A137" s="105" t="str">
        <f>'Data shares'!C132</f>
        <v>LODHA</v>
      </c>
      <c r="B137" s="143">
        <f>VLOOKUP($A137,'Data shares'!$C:$FA,118)</f>
        <v>0.85</v>
      </c>
      <c r="C137" s="143">
        <f>VLOOKUP($A137,'Data shares'!$C:$FA,119)</f>
        <v>0.64</v>
      </c>
      <c r="D137" s="143">
        <f>VLOOKUP($A137,'Data shares'!$C:$FA,121)*100</f>
        <v>32.81</v>
      </c>
      <c r="E137" s="143">
        <f>VLOOKUP($A137,'Data shares'!$C:$FA,124)</f>
        <v>0.62</v>
      </c>
      <c r="F137" s="143">
        <f>VLOOKUP($A137,'Data shares'!$C:$FA,125)</f>
        <v>0.55000000000000004</v>
      </c>
      <c r="G137" s="143">
        <f>VLOOKUP($A137,'Data shares'!$C:$FA,127)*100</f>
        <v>12.73</v>
      </c>
      <c r="H137" s="103">
        <f>VLOOKUP($A137,'OI(Volume)'!$A$7:$O$427,8)</f>
        <v>1062450</v>
      </c>
      <c r="I137" s="103">
        <f>VLOOKUP($A137,'OI(Volume)'!$A$7:$O$427,9)</f>
        <v>-2202300</v>
      </c>
      <c r="J137" s="103">
        <f>VLOOKUP($A137,'OI(Volume)'!$A$7:$O$427,11)</f>
        <v>903600</v>
      </c>
      <c r="K137" s="103">
        <f>VLOOKUP($A137,'OI(Volume)'!$A$7:$O$427,12)</f>
        <v>-1197450</v>
      </c>
      <c r="L137" s="103">
        <f>VLOOKUP($A137,'OI(Value)'!$A$7:$O$306,8,0)</f>
        <v>131</v>
      </c>
      <c r="M137" s="103">
        <f>VLOOKUP($A137,'OI(Value)'!$A$7:$O$306,9,0)</f>
        <v>-272</v>
      </c>
      <c r="N137" s="103">
        <f>VLOOKUP($A137,'OI(Value)'!$A$7:$O$306,11,0)</f>
        <v>112</v>
      </c>
      <c r="O137" s="103">
        <f>VLOOKUP($A137,'OI(Value)'!$A$7:$O$306,12,0)</f>
        <v>-148</v>
      </c>
      <c r="P137" s="179">
        <f>VLOOKUP(A137,'OI(Value)'!A137:O338,8,0)</f>
        <v>131</v>
      </c>
      <c r="Q137" s="179">
        <f>VLOOKUP(A137,'OI(Value)'!A137:O338,9,0)</f>
        <v>-272</v>
      </c>
      <c r="R137" s="179">
        <f>VLOOKUP(A137,'OI(Value)'!A137:O338,11,0)</f>
        <v>112</v>
      </c>
      <c r="S137" s="179">
        <f>VLOOKUP(A137,'OI(Value)'!A137:O338,11,0)</f>
        <v>112</v>
      </c>
    </row>
    <row r="138" spans="1:19" x14ac:dyDescent="0.25">
      <c r="A138" s="105" t="str">
        <f>'Data shares'!C133</f>
        <v>LT</v>
      </c>
      <c r="B138" s="143">
        <f>VLOOKUP($A138,'Data shares'!$C:$FA,118)</f>
        <v>0.87</v>
      </c>
      <c r="C138" s="143">
        <f>VLOOKUP($A138,'Data shares'!$C:$FA,119)</f>
        <v>0.59</v>
      </c>
      <c r="D138" s="143">
        <f>VLOOKUP($A138,'Data shares'!$C:$FA,121)*100</f>
        <v>47.46</v>
      </c>
      <c r="E138" s="143">
        <f>VLOOKUP($A138,'Data shares'!$C:$FA,124)</f>
        <v>0.54</v>
      </c>
      <c r="F138" s="143">
        <f>VLOOKUP($A138,'Data shares'!$C:$FA,125)</f>
        <v>0.36</v>
      </c>
      <c r="G138" s="143">
        <f>VLOOKUP($A138,'Data shares'!$C:$FA,127)*100</f>
        <v>50</v>
      </c>
      <c r="H138" s="103">
        <f>VLOOKUP($A138,'OI(Volume)'!$A$7:$O$427,8)</f>
        <v>2453325</v>
      </c>
      <c r="I138" s="103">
        <f>VLOOKUP($A138,'OI(Volume)'!$A$7:$O$427,9)</f>
        <v>-7177450</v>
      </c>
      <c r="J138" s="103">
        <f>VLOOKUP($A138,'OI(Volume)'!$A$7:$O$427,11)</f>
        <v>2126950</v>
      </c>
      <c r="K138" s="103">
        <f>VLOOKUP($A138,'OI(Volume)'!$A$7:$O$427,12)</f>
        <v>-3599050</v>
      </c>
      <c r="L138" s="103">
        <f>VLOOKUP($A138,'OI(Value)'!$A$7:$O$306,8,0)</f>
        <v>896</v>
      </c>
      <c r="M138" s="103">
        <f>VLOOKUP($A138,'OI(Value)'!$A$7:$O$306,9,0)</f>
        <v>-2620</v>
      </c>
      <c r="N138" s="103">
        <f>VLOOKUP($A138,'OI(Value)'!$A$7:$O$306,11,0)</f>
        <v>776</v>
      </c>
      <c r="O138" s="103">
        <f>VLOOKUP($A138,'OI(Value)'!$A$7:$O$306,12,0)</f>
        <v>-1314</v>
      </c>
      <c r="P138" s="179">
        <f>VLOOKUP(A138,'OI(Value)'!A138:O339,8,0)</f>
        <v>896</v>
      </c>
      <c r="Q138" s="179">
        <f>VLOOKUP(A138,'OI(Value)'!A138:O339,9,0)</f>
        <v>-2620</v>
      </c>
      <c r="R138" s="179">
        <f>VLOOKUP(A138,'OI(Value)'!A138:O339,11,0)</f>
        <v>776</v>
      </c>
      <c r="S138" s="179">
        <f>VLOOKUP(A138,'OI(Value)'!A138:O339,11,0)</f>
        <v>776</v>
      </c>
    </row>
    <row r="139" spans="1:19" x14ac:dyDescent="0.25">
      <c r="A139" s="105" t="str">
        <f>'Data shares'!C134</f>
        <v>LTF</v>
      </c>
      <c r="B139" s="143">
        <f>VLOOKUP($A139,'Data shares'!$C:$FA,118)</f>
        <v>0.68</v>
      </c>
      <c r="C139" s="143">
        <f>VLOOKUP($A139,'Data shares'!$C:$FA,119)</f>
        <v>0.67</v>
      </c>
      <c r="D139" s="143">
        <f>VLOOKUP($A139,'Data shares'!$C:$FA,121)*100</f>
        <v>1.49</v>
      </c>
      <c r="E139" s="143">
        <f>VLOOKUP($A139,'Data shares'!$C:$FA,124)</f>
        <v>0.52</v>
      </c>
      <c r="F139" s="143">
        <f>VLOOKUP($A139,'Data shares'!$C:$FA,125)</f>
        <v>0.64</v>
      </c>
      <c r="G139" s="143">
        <f>VLOOKUP($A139,'Data shares'!$C:$FA,127)*100</f>
        <v>-18.75</v>
      </c>
      <c r="H139" s="103">
        <f>VLOOKUP($A139,'OI(Volume)'!$A$7:$O$427,8)</f>
        <v>19954064</v>
      </c>
      <c r="I139" s="103">
        <f>VLOOKUP($A139,'OI(Volume)'!$A$7:$O$427,9)</f>
        <v>-23724454</v>
      </c>
      <c r="J139" s="103">
        <f>VLOOKUP($A139,'OI(Volume)'!$A$7:$O$427,11)</f>
        <v>13586790</v>
      </c>
      <c r="K139" s="103">
        <f>VLOOKUP($A139,'OI(Volume)'!$A$7:$O$427,12)</f>
        <v>-15773170</v>
      </c>
      <c r="L139" s="103">
        <f>VLOOKUP($A139,'OI(Value)'!$A$7:$O$306,8,0)</f>
        <v>406</v>
      </c>
      <c r="M139" s="103">
        <f>VLOOKUP($A139,'OI(Value)'!$A$7:$O$306,9,0)</f>
        <v>-483</v>
      </c>
      <c r="N139" s="103">
        <f>VLOOKUP($A139,'OI(Value)'!$A$7:$O$306,11,0)</f>
        <v>277</v>
      </c>
      <c r="O139" s="103">
        <f>VLOOKUP($A139,'OI(Value)'!$A$7:$O$306,12,0)</f>
        <v>-321</v>
      </c>
      <c r="P139" s="179">
        <f>VLOOKUP(A139,'OI(Value)'!A139:O340,8,0)</f>
        <v>406</v>
      </c>
      <c r="Q139" s="179">
        <f>VLOOKUP(A139,'OI(Value)'!A139:O340,9,0)</f>
        <v>-483</v>
      </c>
      <c r="R139" s="179">
        <f>VLOOKUP(A139,'OI(Value)'!A139:O340,11,0)</f>
        <v>277</v>
      </c>
      <c r="S139" s="179">
        <f>VLOOKUP(A139,'OI(Value)'!A139:O340,11,0)</f>
        <v>277</v>
      </c>
    </row>
    <row r="140" spans="1:19" x14ac:dyDescent="0.25">
      <c r="A140" s="105" t="str">
        <f>'Data shares'!C135</f>
        <v>LTIM</v>
      </c>
      <c r="B140" s="143">
        <f>VLOOKUP($A140,'Data shares'!$C:$FA,118)</f>
        <v>0.76</v>
      </c>
      <c r="C140" s="143">
        <f>VLOOKUP($A140,'Data shares'!$C:$FA,119)</f>
        <v>0.63</v>
      </c>
      <c r="D140" s="143">
        <f>VLOOKUP($A140,'Data shares'!$C:$FA,121)*100</f>
        <v>20.630000000000003</v>
      </c>
      <c r="E140" s="143">
        <f>VLOOKUP($A140,'Data shares'!$C:$FA,124)</f>
        <v>0.41</v>
      </c>
      <c r="F140" s="143">
        <f>VLOOKUP($A140,'Data shares'!$C:$FA,125)</f>
        <v>0.37</v>
      </c>
      <c r="G140" s="143">
        <f>VLOOKUP($A140,'Data shares'!$C:$FA,127)*100</f>
        <v>10.81</v>
      </c>
      <c r="H140" s="103">
        <f>VLOOKUP($A140,'OI(Volume)'!$A$7:$O$427,8)</f>
        <v>208950</v>
      </c>
      <c r="I140" s="103">
        <f>VLOOKUP($A140,'OI(Volume)'!$A$7:$O$427,9)</f>
        <v>-674100</v>
      </c>
      <c r="J140" s="103">
        <f>VLOOKUP($A140,'OI(Volume)'!$A$7:$O$427,11)</f>
        <v>158850</v>
      </c>
      <c r="K140" s="103">
        <f>VLOOKUP($A140,'OI(Volume)'!$A$7:$O$427,12)</f>
        <v>-393300</v>
      </c>
      <c r="L140" s="103">
        <f>VLOOKUP($A140,'OI(Value)'!$A$7:$O$306,8,0)</f>
        <v>107</v>
      </c>
      <c r="M140" s="103">
        <f>VLOOKUP($A140,'OI(Value)'!$A$7:$O$306,9,0)</f>
        <v>-344</v>
      </c>
      <c r="N140" s="103">
        <f>VLOOKUP($A140,'OI(Value)'!$A$7:$O$306,11,0)</f>
        <v>81</v>
      </c>
      <c r="O140" s="103">
        <f>VLOOKUP($A140,'OI(Value)'!$A$7:$O$306,12,0)</f>
        <v>-201</v>
      </c>
      <c r="P140" s="179">
        <f>VLOOKUP(A140,'OI(Value)'!A140:O341,8,0)</f>
        <v>107</v>
      </c>
      <c r="Q140" s="179">
        <f>VLOOKUP(A140,'OI(Value)'!A140:O341,9,0)</f>
        <v>-344</v>
      </c>
      <c r="R140" s="179">
        <f>VLOOKUP(A140,'OI(Value)'!A140:O341,11,0)</f>
        <v>81</v>
      </c>
      <c r="S140" s="179">
        <f>VLOOKUP(A140,'OI(Value)'!A140:O341,11,0)</f>
        <v>81</v>
      </c>
    </row>
    <row r="141" spans="1:19" x14ac:dyDescent="0.25">
      <c r="A141" s="105" t="str">
        <f>'Data shares'!C136</f>
        <v>LUPIN</v>
      </c>
      <c r="B141" s="143">
        <f>VLOOKUP($A141,'Data shares'!$C:$FA,118)</f>
        <v>0.79</v>
      </c>
      <c r="C141" s="143">
        <f>VLOOKUP($A141,'Data shares'!$C:$FA,119)</f>
        <v>0.83</v>
      </c>
      <c r="D141" s="143">
        <f>VLOOKUP($A141,'Data shares'!$C:$FA,121)*100</f>
        <v>-4.82</v>
      </c>
      <c r="E141" s="143">
        <f>VLOOKUP($A141,'Data shares'!$C:$FA,124)</f>
        <v>0.92</v>
      </c>
      <c r="F141" s="143">
        <f>VLOOKUP($A141,'Data shares'!$C:$FA,125)</f>
        <v>0.42</v>
      </c>
      <c r="G141" s="143">
        <f>VLOOKUP($A141,'Data shares'!$C:$FA,127)*100</f>
        <v>119.04999999999998</v>
      </c>
      <c r="H141" s="103">
        <f>VLOOKUP($A141,'OI(Volume)'!$A$7:$O$427,8)</f>
        <v>1144950</v>
      </c>
      <c r="I141" s="103">
        <f>VLOOKUP($A141,'OI(Volume)'!$A$7:$O$427,9)</f>
        <v>-1769275</v>
      </c>
      <c r="J141" s="103">
        <f>VLOOKUP($A141,'OI(Volume)'!$A$7:$O$427,11)</f>
        <v>902700</v>
      </c>
      <c r="K141" s="103">
        <f>VLOOKUP($A141,'OI(Volume)'!$A$7:$O$427,12)</f>
        <v>-1504925</v>
      </c>
      <c r="L141" s="103">
        <f>VLOOKUP($A141,'OI(Value)'!$A$7:$O$306,8,0)</f>
        <v>222</v>
      </c>
      <c r="M141" s="103">
        <f>VLOOKUP($A141,'OI(Value)'!$A$7:$O$306,9,0)</f>
        <v>-342</v>
      </c>
      <c r="N141" s="103">
        <f>VLOOKUP($A141,'OI(Value)'!$A$7:$O$306,11,0)</f>
        <v>175</v>
      </c>
      <c r="O141" s="103">
        <f>VLOOKUP($A141,'OI(Value)'!$A$7:$O$306,12,0)</f>
        <v>-291</v>
      </c>
      <c r="P141" s="179">
        <f>VLOOKUP(A141,'OI(Value)'!A141:O342,8,0)</f>
        <v>222</v>
      </c>
      <c r="Q141" s="179">
        <f>VLOOKUP(A141,'OI(Value)'!A141:O342,9,0)</f>
        <v>-342</v>
      </c>
      <c r="R141" s="179">
        <f>VLOOKUP(A141,'OI(Value)'!A141:O342,11,0)</f>
        <v>175</v>
      </c>
      <c r="S141" s="179">
        <f>VLOOKUP(A141,'OI(Value)'!A141:O342,11,0)</f>
        <v>175</v>
      </c>
    </row>
    <row r="142" spans="1:19" x14ac:dyDescent="0.25">
      <c r="A142" s="105" t="str">
        <f>'Data shares'!C137</f>
        <v>M&amp;M</v>
      </c>
      <c r="B142" s="143">
        <f>VLOOKUP($A142,'Data shares'!$C:$FA,118)</f>
        <v>0.62</v>
      </c>
      <c r="C142" s="143">
        <f>VLOOKUP($A142,'Data shares'!$C:$FA,119)</f>
        <v>0.59</v>
      </c>
      <c r="D142" s="143">
        <f>VLOOKUP($A142,'Data shares'!$C:$FA,121)*100</f>
        <v>5.08</v>
      </c>
      <c r="E142" s="143">
        <f>VLOOKUP($A142,'Data shares'!$C:$FA,124)</f>
        <v>0.43</v>
      </c>
      <c r="F142" s="143">
        <f>VLOOKUP($A142,'Data shares'!$C:$FA,125)</f>
        <v>0.46</v>
      </c>
      <c r="G142" s="143">
        <f>VLOOKUP($A142,'Data shares'!$C:$FA,127)*100</f>
        <v>-6.52</v>
      </c>
      <c r="H142" s="103">
        <f>VLOOKUP($A142,'OI(Volume)'!$A$7:$O$427,8)</f>
        <v>3336000</v>
      </c>
      <c r="I142" s="103">
        <f>VLOOKUP($A142,'OI(Volume)'!$A$7:$O$427,9)</f>
        <v>-2481800</v>
      </c>
      <c r="J142" s="103">
        <f>VLOOKUP($A142,'OI(Volume)'!$A$7:$O$427,11)</f>
        <v>2084800</v>
      </c>
      <c r="K142" s="103">
        <f>VLOOKUP($A142,'OI(Volume)'!$A$7:$O$427,12)</f>
        <v>-1363200</v>
      </c>
      <c r="L142" s="103">
        <f>VLOOKUP($A142,'OI(Value)'!$A$7:$O$306,8,0)</f>
        <v>1073</v>
      </c>
      <c r="M142" s="103">
        <f>VLOOKUP($A142,'OI(Value)'!$A$7:$O$306,9,0)</f>
        <v>-798</v>
      </c>
      <c r="N142" s="103">
        <f>VLOOKUP($A142,'OI(Value)'!$A$7:$O$306,11,0)</f>
        <v>670</v>
      </c>
      <c r="O142" s="103">
        <f>VLOOKUP($A142,'OI(Value)'!$A$7:$O$306,12,0)</f>
        <v>-438</v>
      </c>
      <c r="P142" s="179">
        <f>VLOOKUP(A142,'OI(Value)'!A142:O343,8,0)</f>
        <v>1073</v>
      </c>
      <c r="Q142" s="179">
        <f>VLOOKUP(A142,'OI(Value)'!A142:O343,9,0)</f>
        <v>-798</v>
      </c>
      <c r="R142" s="179">
        <f>VLOOKUP(A142,'OI(Value)'!A142:O343,11,0)</f>
        <v>670</v>
      </c>
      <c r="S142" s="179">
        <f>VLOOKUP(A142,'OI(Value)'!A142:O343,11,0)</f>
        <v>670</v>
      </c>
    </row>
    <row r="143" spans="1:19" x14ac:dyDescent="0.25">
      <c r="A143" s="105" t="str">
        <f>'Data shares'!C138</f>
        <v>M&amp;MFIN</v>
      </c>
      <c r="B143" s="143">
        <f>VLOOKUP($A143,'Data shares'!$C:$FA,118)</f>
        <v>0.42</v>
      </c>
      <c r="C143" s="143">
        <f>VLOOKUP($A143,'Data shares'!$C:$FA,119)</f>
        <v>0.38</v>
      </c>
      <c r="D143" s="143">
        <f>VLOOKUP($A143,'Data shares'!$C:$FA,121)*100</f>
        <v>10.530000000000001</v>
      </c>
      <c r="E143" s="143">
        <f>VLOOKUP($A143,'Data shares'!$C:$FA,124)</f>
        <v>0.33</v>
      </c>
      <c r="F143" s="143">
        <f>VLOOKUP($A143,'Data shares'!$C:$FA,125)</f>
        <v>0.28999999999999998</v>
      </c>
      <c r="G143" s="143">
        <f>VLOOKUP($A143,'Data shares'!$C:$FA,127)*100</f>
        <v>13.79</v>
      </c>
      <c r="H143" s="103">
        <f>VLOOKUP($A143,'OI(Volume)'!$A$7:$O$427,8)</f>
        <v>7907376</v>
      </c>
      <c r="I143" s="103">
        <f>VLOOKUP($A143,'OI(Volume)'!$A$7:$O$427,9)</f>
        <v>-1944976</v>
      </c>
      <c r="J143" s="103">
        <f>VLOOKUP($A143,'OI(Volume)'!$A$7:$O$427,11)</f>
        <v>3324552</v>
      </c>
      <c r="K143" s="103">
        <f>VLOOKUP($A143,'OI(Volume)'!$A$7:$O$427,12)</f>
        <v>-464656</v>
      </c>
      <c r="L143" s="103">
        <f>VLOOKUP($A143,'OI(Value)'!$A$7:$O$306,8,0)</f>
        <v>0</v>
      </c>
      <c r="M143" s="103">
        <f>VLOOKUP($A143,'OI(Value)'!$A$7:$O$306,9,0)</f>
        <v>0</v>
      </c>
      <c r="N143" s="103">
        <f>VLOOKUP($A143,'OI(Value)'!$A$7:$O$306,11,0)</f>
        <v>0</v>
      </c>
      <c r="O143" s="103">
        <f>VLOOKUP($A143,'OI(Value)'!$A$7:$O$306,12,0)</f>
        <v>0</v>
      </c>
      <c r="P143" s="179">
        <f>VLOOKUP(A143,'OI(Value)'!A143:O344,8,0)</f>
        <v>0</v>
      </c>
      <c r="Q143" s="179">
        <f>VLOOKUP(A143,'OI(Value)'!A143:O344,9,0)</f>
        <v>0</v>
      </c>
      <c r="R143" s="179">
        <f>VLOOKUP(A143,'OI(Value)'!A143:O344,11,0)</f>
        <v>0</v>
      </c>
      <c r="S143" s="179">
        <f>VLOOKUP(A143,'OI(Value)'!A143:O344,11,0)</f>
        <v>0</v>
      </c>
    </row>
    <row r="144" spans="1:19" x14ac:dyDescent="0.25">
      <c r="A144" s="105" t="str">
        <f>'Data shares'!C139</f>
        <v>MANAPPURAM</v>
      </c>
      <c r="B144" s="143">
        <f>VLOOKUP($A144,'Data shares'!$C:$FA,118)</f>
        <v>1.54</v>
      </c>
      <c r="C144" s="143">
        <f>VLOOKUP($A144,'Data shares'!$C:$FA,119)</f>
        <v>1.05</v>
      </c>
      <c r="D144" s="143">
        <f>VLOOKUP($A144,'Data shares'!$C:$FA,121)*100</f>
        <v>46.67</v>
      </c>
      <c r="E144" s="143">
        <f>VLOOKUP($A144,'Data shares'!$C:$FA,124)</f>
        <v>1.1599999999999999</v>
      </c>
      <c r="F144" s="143">
        <f>VLOOKUP($A144,'Data shares'!$C:$FA,125)</f>
        <v>1.08</v>
      </c>
      <c r="G144" s="143">
        <f>VLOOKUP($A144,'Data shares'!$C:$FA,127)*100</f>
        <v>7.41</v>
      </c>
      <c r="H144" s="103">
        <f>VLOOKUP($A144,'OI(Volume)'!$A$7:$O$427,8)</f>
        <v>5952000</v>
      </c>
      <c r="I144" s="103">
        <f>VLOOKUP($A144,'OI(Volume)'!$A$7:$O$427,9)</f>
        <v>-7878000</v>
      </c>
      <c r="J144" s="103">
        <f>VLOOKUP($A144,'OI(Volume)'!$A$7:$O$427,11)</f>
        <v>9174000</v>
      </c>
      <c r="K144" s="103">
        <f>VLOOKUP($A144,'OI(Volume)'!$A$7:$O$427,12)</f>
        <v>-5367000</v>
      </c>
      <c r="L144" s="103">
        <f>VLOOKUP($A144,'OI(Value)'!$A$7:$O$306,8,0)</f>
        <v>151</v>
      </c>
      <c r="M144" s="103">
        <f>VLOOKUP($A144,'OI(Value)'!$A$7:$O$306,9,0)</f>
        <v>-200</v>
      </c>
      <c r="N144" s="103">
        <f>VLOOKUP($A144,'OI(Value)'!$A$7:$O$306,11,0)</f>
        <v>233</v>
      </c>
      <c r="O144" s="103">
        <f>VLOOKUP($A144,'OI(Value)'!$A$7:$O$306,12,0)</f>
        <v>-137</v>
      </c>
      <c r="P144" s="179">
        <f>VLOOKUP(A144,'OI(Value)'!A144:O345,8,0)</f>
        <v>151</v>
      </c>
      <c r="Q144" s="179">
        <f>VLOOKUP(A144,'OI(Value)'!A144:O345,9,0)</f>
        <v>-200</v>
      </c>
      <c r="R144" s="179">
        <f>VLOOKUP(A144,'OI(Value)'!A144:O345,11,0)</f>
        <v>233</v>
      </c>
      <c r="S144" s="179">
        <f>VLOOKUP(A144,'OI(Value)'!A144:O345,11,0)</f>
        <v>233</v>
      </c>
    </row>
    <row r="145" spans="1:19" x14ac:dyDescent="0.25">
      <c r="A145" s="105" t="str">
        <f>'Data shares'!C140</f>
        <v>MANKIND</v>
      </c>
      <c r="B145" s="143">
        <f>VLOOKUP($A145,'Data shares'!$C:$FA,118)</f>
        <v>0.56999999999999995</v>
      </c>
      <c r="C145" s="143">
        <f>VLOOKUP($A145,'Data shares'!$C:$FA,119)</f>
        <v>0.7</v>
      </c>
      <c r="D145" s="143">
        <f>VLOOKUP($A145,'Data shares'!$C:$FA,121)*100</f>
        <v>-18.57</v>
      </c>
      <c r="E145" s="143">
        <f>VLOOKUP($A145,'Data shares'!$C:$FA,124)</f>
        <v>0.52</v>
      </c>
      <c r="F145" s="143">
        <f>VLOOKUP($A145,'Data shares'!$C:$FA,125)</f>
        <v>0.34</v>
      </c>
      <c r="G145" s="143">
        <f>VLOOKUP($A145,'Data shares'!$C:$FA,127)*100</f>
        <v>52.94</v>
      </c>
      <c r="H145" s="103">
        <f>VLOOKUP($A145,'OI(Volume)'!$A$7:$O$427,8)</f>
        <v>312750</v>
      </c>
      <c r="I145" s="103">
        <f>VLOOKUP($A145,'OI(Volume)'!$A$7:$O$427,9)</f>
        <v>-654300</v>
      </c>
      <c r="J145" s="103">
        <f>VLOOKUP($A145,'OI(Volume)'!$A$7:$O$427,11)</f>
        <v>176850</v>
      </c>
      <c r="K145" s="103">
        <f>VLOOKUP($A145,'OI(Volume)'!$A$7:$O$427,12)</f>
        <v>-500850</v>
      </c>
      <c r="L145" s="103">
        <f>VLOOKUP($A145,'OI(Value)'!$A$7:$O$306,8,0)</f>
        <v>80</v>
      </c>
      <c r="M145" s="103">
        <f>VLOOKUP($A145,'OI(Value)'!$A$7:$O$306,9,0)</f>
        <v>-168</v>
      </c>
      <c r="N145" s="103">
        <f>VLOOKUP($A145,'OI(Value)'!$A$7:$O$306,11,0)</f>
        <v>45</v>
      </c>
      <c r="O145" s="103">
        <f>VLOOKUP($A145,'OI(Value)'!$A$7:$O$306,12,0)</f>
        <v>-129</v>
      </c>
      <c r="P145" s="179">
        <f>VLOOKUP(A145,'OI(Value)'!A145:O346,8,0)</f>
        <v>80</v>
      </c>
      <c r="Q145" s="179">
        <f>VLOOKUP(A145,'OI(Value)'!A145:O346,9,0)</f>
        <v>-168</v>
      </c>
      <c r="R145" s="179">
        <f>VLOOKUP(A145,'OI(Value)'!A145:O346,11,0)</f>
        <v>45</v>
      </c>
      <c r="S145" s="179">
        <f>VLOOKUP(A145,'OI(Value)'!A145:O346,11,0)</f>
        <v>45</v>
      </c>
    </row>
    <row r="146" spans="1:19" x14ac:dyDescent="0.25">
      <c r="A146" s="105" t="str">
        <f>'Data shares'!C141</f>
        <v>MARICO</v>
      </c>
      <c r="B146" s="143">
        <f>VLOOKUP($A146,'Data shares'!$C:$FA,118)</f>
        <v>0.76</v>
      </c>
      <c r="C146" s="143">
        <f>VLOOKUP($A146,'Data shares'!$C:$FA,119)</f>
        <v>0.56999999999999995</v>
      </c>
      <c r="D146" s="143">
        <f>VLOOKUP($A146,'Data shares'!$C:$FA,121)*100</f>
        <v>33.33</v>
      </c>
      <c r="E146" s="143">
        <f>VLOOKUP($A146,'Data shares'!$C:$FA,124)</f>
        <v>0.35</v>
      </c>
      <c r="F146" s="143">
        <f>VLOOKUP($A146,'Data shares'!$C:$FA,125)</f>
        <v>0.55000000000000004</v>
      </c>
      <c r="G146" s="143">
        <f>VLOOKUP($A146,'Data shares'!$C:$FA,127)*100</f>
        <v>-36.36</v>
      </c>
      <c r="H146" s="103">
        <f>VLOOKUP($A146,'OI(Volume)'!$A$7:$O$427,8)</f>
        <v>1222800</v>
      </c>
      <c r="I146" s="103">
        <f>VLOOKUP($A146,'OI(Volume)'!$A$7:$O$427,9)</f>
        <v>-4681200</v>
      </c>
      <c r="J146" s="103">
        <f>VLOOKUP($A146,'OI(Volume)'!$A$7:$O$427,11)</f>
        <v>928800</v>
      </c>
      <c r="K146" s="103">
        <f>VLOOKUP($A146,'OI(Volume)'!$A$7:$O$427,12)</f>
        <v>-2463600</v>
      </c>
      <c r="L146" s="103">
        <f>VLOOKUP($A146,'OI(Value)'!$A$7:$O$306,8,0)</f>
        <v>86</v>
      </c>
      <c r="M146" s="103">
        <f>VLOOKUP($A146,'OI(Value)'!$A$7:$O$306,9,0)</f>
        <v>-330</v>
      </c>
      <c r="N146" s="103">
        <f>VLOOKUP($A146,'OI(Value)'!$A$7:$O$306,11,0)</f>
        <v>66</v>
      </c>
      <c r="O146" s="103">
        <f>VLOOKUP($A146,'OI(Value)'!$A$7:$O$306,12,0)</f>
        <v>-174</v>
      </c>
      <c r="P146" s="179">
        <f>VLOOKUP(A146,'OI(Value)'!A146:O347,8,0)</f>
        <v>86</v>
      </c>
      <c r="Q146" s="179">
        <f>VLOOKUP(A146,'OI(Value)'!A146:O347,9,0)</f>
        <v>-330</v>
      </c>
      <c r="R146" s="179">
        <f>VLOOKUP(A146,'OI(Value)'!A146:O347,11,0)</f>
        <v>66</v>
      </c>
      <c r="S146" s="179">
        <f>VLOOKUP(A146,'OI(Value)'!A146:O347,11,0)</f>
        <v>66</v>
      </c>
    </row>
    <row r="147" spans="1:19" x14ac:dyDescent="0.25">
      <c r="A147" s="105" t="str">
        <f>'Data shares'!C142</f>
        <v>MARUTI</v>
      </c>
      <c r="B147" s="143">
        <f>VLOOKUP($A147,'Data shares'!$C:$FA,118)</f>
        <v>0.51</v>
      </c>
      <c r="C147" s="143">
        <f>VLOOKUP($A147,'Data shares'!$C:$FA,119)</f>
        <v>0.33</v>
      </c>
      <c r="D147" s="143">
        <f>VLOOKUP($A147,'Data shares'!$C:$FA,121)*100</f>
        <v>54.55</v>
      </c>
      <c r="E147" s="143">
        <f>VLOOKUP($A147,'Data shares'!$C:$FA,124)</f>
        <v>0.43</v>
      </c>
      <c r="F147" s="143">
        <f>VLOOKUP($A147,'Data shares'!$C:$FA,125)</f>
        <v>0.37</v>
      </c>
      <c r="G147" s="143">
        <f>VLOOKUP($A147,'Data shares'!$C:$FA,127)*100</f>
        <v>16.220000000000002</v>
      </c>
      <c r="H147" s="103">
        <f>VLOOKUP($A147,'OI(Volume)'!$A$7:$O$427,8)</f>
        <v>838500</v>
      </c>
      <c r="I147" s="103">
        <f>VLOOKUP($A147,'OI(Volume)'!$A$7:$O$427,9)</f>
        <v>-2026950</v>
      </c>
      <c r="J147" s="103">
        <f>VLOOKUP($A147,'OI(Volume)'!$A$7:$O$427,11)</f>
        <v>430800</v>
      </c>
      <c r="K147" s="103">
        <f>VLOOKUP($A147,'OI(Volume)'!$A$7:$O$427,12)</f>
        <v>-514900</v>
      </c>
      <c r="L147" s="103">
        <f>VLOOKUP($A147,'OI(Value)'!$A$7:$O$306,8,0)</f>
        <v>1052</v>
      </c>
      <c r="M147" s="103">
        <f>VLOOKUP($A147,'OI(Value)'!$A$7:$O$306,9,0)</f>
        <v>-2544</v>
      </c>
      <c r="N147" s="103">
        <f>VLOOKUP($A147,'OI(Value)'!$A$7:$O$306,11,0)</f>
        <v>541</v>
      </c>
      <c r="O147" s="103">
        <f>VLOOKUP($A147,'OI(Value)'!$A$7:$O$306,12,0)</f>
        <v>-646</v>
      </c>
      <c r="P147" s="179">
        <f>VLOOKUP(A147,'OI(Value)'!A147:O348,8,0)</f>
        <v>1052</v>
      </c>
      <c r="Q147" s="179">
        <f>VLOOKUP(A147,'OI(Value)'!A147:O348,9,0)</f>
        <v>-2544</v>
      </c>
      <c r="R147" s="179">
        <f>VLOOKUP(A147,'OI(Value)'!A147:O348,11,0)</f>
        <v>541</v>
      </c>
      <c r="S147" s="179">
        <f>VLOOKUP(A147,'OI(Value)'!A147:O348,11,0)</f>
        <v>541</v>
      </c>
    </row>
    <row r="148" spans="1:19" x14ac:dyDescent="0.25">
      <c r="A148" s="105" t="str">
        <f>'Data shares'!C143</f>
        <v>MAXHEALTH</v>
      </c>
      <c r="B148" s="143">
        <f>VLOOKUP($A148,'Data shares'!$C:$FA,118)</f>
        <v>0.69</v>
      </c>
      <c r="C148" s="143">
        <f>VLOOKUP($A148,'Data shares'!$C:$FA,119)</f>
        <v>0.46</v>
      </c>
      <c r="D148" s="143">
        <f>VLOOKUP($A148,'Data shares'!$C:$FA,121)*100</f>
        <v>50</v>
      </c>
      <c r="E148" s="143">
        <f>VLOOKUP($A148,'Data shares'!$C:$FA,124)</f>
        <v>0.54</v>
      </c>
      <c r="F148" s="143">
        <f>VLOOKUP($A148,'Data shares'!$C:$FA,125)</f>
        <v>0.43</v>
      </c>
      <c r="G148" s="143">
        <f>VLOOKUP($A148,'Data shares'!$C:$FA,127)*100</f>
        <v>25.580000000000002</v>
      </c>
      <c r="H148" s="103">
        <f>VLOOKUP($A148,'OI(Volume)'!$A$7:$O$427,8)</f>
        <v>692475</v>
      </c>
      <c r="I148" s="103">
        <f>VLOOKUP($A148,'OI(Volume)'!$A$7:$O$427,9)</f>
        <v>-1633275</v>
      </c>
      <c r="J148" s="103">
        <f>VLOOKUP($A148,'OI(Volume)'!$A$7:$O$427,11)</f>
        <v>479850</v>
      </c>
      <c r="K148" s="103">
        <f>VLOOKUP($A148,'OI(Volume)'!$A$7:$O$427,12)</f>
        <v>-586950</v>
      </c>
      <c r="L148" s="103">
        <f>VLOOKUP($A148,'OI(Value)'!$A$7:$O$306,8,0)</f>
        <v>87</v>
      </c>
      <c r="M148" s="103">
        <f>VLOOKUP($A148,'OI(Value)'!$A$7:$O$306,9,0)</f>
        <v>-204</v>
      </c>
      <c r="N148" s="103">
        <f>VLOOKUP($A148,'OI(Value)'!$A$7:$O$306,11,0)</f>
        <v>60</v>
      </c>
      <c r="O148" s="103">
        <f>VLOOKUP($A148,'OI(Value)'!$A$7:$O$306,12,0)</f>
        <v>-73</v>
      </c>
      <c r="P148" s="179">
        <f>VLOOKUP(A148,'OI(Value)'!A148:O349,8,0)</f>
        <v>87</v>
      </c>
      <c r="Q148" s="179">
        <f>VLOOKUP(A148,'OI(Value)'!A148:O349,9,0)</f>
        <v>-204</v>
      </c>
      <c r="R148" s="179">
        <f>VLOOKUP(A148,'OI(Value)'!A148:O349,11,0)</f>
        <v>60</v>
      </c>
      <c r="S148" s="179">
        <f>VLOOKUP(A148,'OI(Value)'!A148:O349,11,0)</f>
        <v>60</v>
      </c>
    </row>
    <row r="149" spans="1:19" x14ac:dyDescent="0.25">
      <c r="A149" s="105" t="str">
        <f>'Data shares'!C144</f>
        <v>MAZDOCK</v>
      </c>
      <c r="B149" s="143">
        <f>VLOOKUP($A149,'Data shares'!$C:$FA,118)</f>
        <v>0.55000000000000004</v>
      </c>
      <c r="C149" s="143">
        <f>VLOOKUP($A149,'Data shares'!$C:$FA,119)</f>
        <v>0.46</v>
      </c>
      <c r="D149" s="143">
        <f>VLOOKUP($A149,'Data shares'!$C:$FA,121)*100</f>
        <v>19.57</v>
      </c>
      <c r="E149" s="143">
        <f>VLOOKUP($A149,'Data shares'!$C:$FA,124)</f>
        <v>0.31</v>
      </c>
      <c r="F149" s="143">
        <f>VLOOKUP($A149,'Data shares'!$C:$FA,125)</f>
        <v>0.35</v>
      </c>
      <c r="G149" s="143">
        <f>VLOOKUP($A149,'Data shares'!$C:$FA,127)*100</f>
        <v>-11.43</v>
      </c>
      <c r="H149" s="103">
        <f>VLOOKUP($A149,'OI(Volume)'!$A$7:$O$427,8)</f>
        <v>1040025</v>
      </c>
      <c r="I149" s="103">
        <f>VLOOKUP($A149,'OI(Volume)'!$A$7:$O$427,9)</f>
        <v>-1978375</v>
      </c>
      <c r="J149" s="103">
        <f>VLOOKUP($A149,'OI(Volume)'!$A$7:$O$427,11)</f>
        <v>575575</v>
      </c>
      <c r="K149" s="103">
        <f>VLOOKUP($A149,'OI(Volume)'!$A$7:$O$427,12)</f>
        <v>-821450</v>
      </c>
      <c r="L149" s="103">
        <f>VLOOKUP($A149,'OI(Value)'!$A$7:$O$306,8,0)</f>
        <v>289</v>
      </c>
      <c r="M149" s="103">
        <f>VLOOKUP($A149,'OI(Value)'!$A$7:$O$306,9,0)</f>
        <v>-550</v>
      </c>
      <c r="N149" s="103">
        <f>VLOOKUP($A149,'OI(Value)'!$A$7:$O$306,11,0)</f>
        <v>160</v>
      </c>
      <c r="O149" s="103">
        <f>VLOOKUP($A149,'OI(Value)'!$A$7:$O$306,12,0)</f>
        <v>-228</v>
      </c>
      <c r="P149" s="179">
        <f>VLOOKUP(A149,'OI(Value)'!A149:O350,8,0)</f>
        <v>289</v>
      </c>
      <c r="Q149" s="179">
        <f>VLOOKUP(A149,'OI(Value)'!A149:O350,9,0)</f>
        <v>-550</v>
      </c>
      <c r="R149" s="179">
        <f>VLOOKUP(A149,'OI(Value)'!A149:O350,11,0)</f>
        <v>160</v>
      </c>
      <c r="S149" s="179">
        <f>VLOOKUP(A149,'OI(Value)'!A149:O350,11,0)</f>
        <v>160</v>
      </c>
    </row>
    <row r="150" spans="1:19" x14ac:dyDescent="0.25">
      <c r="A150" s="105" t="str">
        <f>'Data shares'!C145</f>
        <v>MCX</v>
      </c>
      <c r="B150" s="143">
        <f>VLOOKUP($A150,'Data shares'!$C:$FA,118)</f>
        <v>0.69</v>
      </c>
      <c r="C150" s="143">
        <f>VLOOKUP($A150,'Data shares'!$C:$FA,119)</f>
        <v>0.61</v>
      </c>
      <c r="D150" s="143">
        <f>VLOOKUP($A150,'Data shares'!$C:$FA,121)*100</f>
        <v>13.11</v>
      </c>
      <c r="E150" s="143">
        <f>VLOOKUP($A150,'Data shares'!$C:$FA,124)</f>
        <v>0.57999999999999996</v>
      </c>
      <c r="F150" s="143">
        <f>VLOOKUP($A150,'Data shares'!$C:$FA,125)</f>
        <v>0.68</v>
      </c>
      <c r="G150" s="143">
        <f>VLOOKUP($A150,'Data shares'!$C:$FA,127)*100</f>
        <v>-14.71</v>
      </c>
      <c r="H150" s="103">
        <f>VLOOKUP($A150,'OI(Volume)'!$A$7:$O$427,8)</f>
        <v>845000</v>
      </c>
      <c r="I150" s="103">
        <f>VLOOKUP($A150,'OI(Volume)'!$A$7:$O$427,9)</f>
        <v>-1890750</v>
      </c>
      <c r="J150" s="103">
        <f>VLOOKUP($A150,'OI(Volume)'!$A$7:$O$427,11)</f>
        <v>587000</v>
      </c>
      <c r="K150" s="103">
        <f>VLOOKUP($A150,'OI(Volume)'!$A$7:$O$427,12)</f>
        <v>-1094625</v>
      </c>
      <c r="L150" s="103">
        <f>VLOOKUP($A150,'OI(Value)'!$A$7:$O$306,8,0)</f>
        <v>650</v>
      </c>
      <c r="M150" s="103">
        <f>VLOOKUP($A150,'OI(Value)'!$A$7:$O$306,9,0)</f>
        <v>-1455</v>
      </c>
      <c r="N150" s="103">
        <f>VLOOKUP($A150,'OI(Value)'!$A$7:$O$306,11,0)</f>
        <v>452</v>
      </c>
      <c r="O150" s="103">
        <f>VLOOKUP($A150,'OI(Value)'!$A$7:$O$306,12,0)</f>
        <v>-843</v>
      </c>
      <c r="P150" s="179">
        <f>VLOOKUP(A150,'OI(Value)'!A150:O351,8,0)</f>
        <v>650</v>
      </c>
      <c r="Q150" s="179">
        <f>VLOOKUP(A150,'OI(Value)'!A150:O351,9,0)</f>
        <v>-1455</v>
      </c>
      <c r="R150" s="179">
        <f>VLOOKUP(A150,'OI(Value)'!A150:O351,11,0)</f>
        <v>452</v>
      </c>
      <c r="S150" s="179">
        <f>VLOOKUP(A150,'OI(Value)'!A150:O351,11,0)</f>
        <v>452</v>
      </c>
    </row>
    <row r="151" spans="1:19" x14ac:dyDescent="0.25">
      <c r="A151" s="105" t="str">
        <f>'Data shares'!C146</f>
        <v>MFSL</v>
      </c>
      <c r="B151" s="143">
        <f>VLOOKUP($A151,'Data shares'!$C:$FA,118)</f>
        <v>1.06</v>
      </c>
      <c r="C151" s="143">
        <f>VLOOKUP($A151,'Data shares'!$C:$FA,119)</f>
        <v>0.74</v>
      </c>
      <c r="D151" s="143">
        <f>VLOOKUP($A151,'Data shares'!$C:$FA,121)*100</f>
        <v>43.24</v>
      </c>
      <c r="E151" s="143">
        <f>VLOOKUP($A151,'Data shares'!$C:$FA,124)</f>
        <v>1.4</v>
      </c>
      <c r="F151" s="143">
        <f>VLOOKUP($A151,'Data shares'!$C:$FA,125)</f>
        <v>0.46</v>
      </c>
      <c r="G151" s="143">
        <f>VLOOKUP($A151,'Data shares'!$C:$FA,127)*100</f>
        <v>204.35</v>
      </c>
      <c r="H151" s="103">
        <f>VLOOKUP($A151,'OI(Volume)'!$A$7:$O$427,8)</f>
        <v>323200</v>
      </c>
      <c r="I151" s="103">
        <f>VLOOKUP($A151,'OI(Volume)'!$A$7:$O$427,9)</f>
        <v>-1088000</v>
      </c>
      <c r="J151" s="103">
        <f>VLOOKUP($A151,'OI(Volume)'!$A$7:$O$427,11)</f>
        <v>343200</v>
      </c>
      <c r="K151" s="103">
        <f>VLOOKUP($A151,'OI(Volume)'!$A$7:$O$427,12)</f>
        <v>-698400</v>
      </c>
      <c r="L151" s="103">
        <f>VLOOKUP($A151,'OI(Value)'!$A$7:$O$306,8,0)</f>
        <v>49</v>
      </c>
      <c r="M151" s="103">
        <f>VLOOKUP($A151,'OI(Value)'!$A$7:$O$306,9,0)</f>
        <v>-164</v>
      </c>
      <c r="N151" s="103">
        <f>VLOOKUP($A151,'OI(Value)'!$A$7:$O$306,11,0)</f>
        <v>52</v>
      </c>
      <c r="O151" s="103">
        <f>VLOOKUP($A151,'OI(Value)'!$A$7:$O$306,12,0)</f>
        <v>-105</v>
      </c>
      <c r="P151" s="179">
        <f>VLOOKUP(A151,'OI(Value)'!A151:O352,8,0)</f>
        <v>49</v>
      </c>
      <c r="Q151" s="179">
        <f>VLOOKUP(A151,'OI(Value)'!A151:O352,9,0)</f>
        <v>-164</v>
      </c>
      <c r="R151" s="179">
        <f>VLOOKUP(A151,'OI(Value)'!A151:O352,11,0)</f>
        <v>52</v>
      </c>
      <c r="S151" s="179">
        <f>VLOOKUP(A151,'OI(Value)'!A151:O352,11,0)</f>
        <v>52</v>
      </c>
    </row>
    <row r="152" spans="1:19" x14ac:dyDescent="0.25">
      <c r="A152" s="105" t="str">
        <f>'Data shares'!C147</f>
        <v>MGL</v>
      </c>
      <c r="B152" s="143">
        <f>VLOOKUP($A152,'Data shares'!$C:$FA,118)</f>
        <v>0.56999999999999995</v>
      </c>
      <c r="C152" s="143">
        <f>VLOOKUP($A152,'Data shares'!$C:$FA,119)</f>
        <v>0.47</v>
      </c>
      <c r="D152" s="143">
        <f>VLOOKUP($A152,'Data shares'!$C:$FA,121)*100</f>
        <v>21.279999999999998</v>
      </c>
      <c r="E152" s="143">
        <f>VLOOKUP($A152,'Data shares'!$C:$FA,124)</f>
        <v>0.38</v>
      </c>
      <c r="F152" s="143">
        <f>VLOOKUP($A152,'Data shares'!$C:$FA,125)</f>
        <v>0.34</v>
      </c>
      <c r="G152" s="143">
        <f>VLOOKUP($A152,'Data shares'!$C:$FA,127)*100</f>
        <v>11.76</v>
      </c>
      <c r="H152" s="103">
        <f>VLOOKUP($A152,'OI(Volume)'!$A$7:$O$427,8)</f>
        <v>1472000</v>
      </c>
      <c r="I152" s="103">
        <f>VLOOKUP($A152,'OI(Volume)'!$A$7:$O$427,9)</f>
        <v>-676400</v>
      </c>
      <c r="J152" s="103">
        <f>VLOOKUP($A152,'OI(Volume)'!$A$7:$O$427,11)</f>
        <v>832800</v>
      </c>
      <c r="K152" s="103">
        <f>VLOOKUP($A152,'OI(Volume)'!$A$7:$O$427,12)</f>
        <v>-175200</v>
      </c>
      <c r="L152" s="103">
        <f>VLOOKUP($A152,'OI(Value)'!$A$7:$O$306,8,0)</f>
        <v>0</v>
      </c>
      <c r="M152" s="103">
        <f>VLOOKUP($A152,'OI(Value)'!$A$7:$O$306,9,0)</f>
        <v>0</v>
      </c>
      <c r="N152" s="103">
        <f>VLOOKUP($A152,'OI(Value)'!$A$7:$O$306,11,0)</f>
        <v>0</v>
      </c>
      <c r="O152" s="103">
        <f>VLOOKUP($A152,'OI(Value)'!$A$7:$O$306,12,0)</f>
        <v>0</v>
      </c>
      <c r="P152" s="179">
        <f>VLOOKUP(A152,'OI(Value)'!A152:O353,8,0)</f>
        <v>0</v>
      </c>
      <c r="Q152" s="179">
        <f>VLOOKUP(A152,'OI(Value)'!A152:O353,9,0)</f>
        <v>0</v>
      </c>
      <c r="R152" s="179">
        <f>VLOOKUP(A152,'OI(Value)'!A152:O353,11,0)</f>
        <v>0</v>
      </c>
      <c r="S152" s="179">
        <f>VLOOKUP(A152,'OI(Value)'!A152:O353,11,0)</f>
        <v>0</v>
      </c>
    </row>
    <row r="153" spans="1:19" x14ac:dyDescent="0.25">
      <c r="A153" s="105" t="str">
        <f>'Data shares'!C148</f>
        <v>MIDCPNIFTY</v>
      </c>
      <c r="B153" s="143">
        <f>VLOOKUP($A153,'Data shares'!$C:$FA,118)</f>
        <v>1.2</v>
      </c>
      <c r="C153" s="143">
        <f>VLOOKUP($A153,'Data shares'!$C:$FA,119)</f>
        <v>0.76</v>
      </c>
      <c r="D153" s="143">
        <f>VLOOKUP($A153,'Data shares'!$C:$FA,121)*100</f>
        <v>57.89</v>
      </c>
      <c r="E153" s="143">
        <f>VLOOKUP($A153,'Data shares'!$C:$FA,124)</f>
        <v>0.92</v>
      </c>
      <c r="F153" s="143">
        <f>VLOOKUP($A153,'Data shares'!$C:$FA,125)</f>
        <v>0.89</v>
      </c>
      <c r="G153" s="143">
        <f>VLOOKUP($A153,'Data shares'!$C:$FA,127)*100</f>
        <v>3.37</v>
      </c>
      <c r="H153" s="103">
        <f>VLOOKUP($A153,'OI(Volume)'!$A$7:$O$427,8)</f>
        <v>1486660</v>
      </c>
      <c r="I153" s="103">
        <f>VLOOKUP($A153,'OI(Volume)'!$A$7:$O$427,9)</f>
        <v>-18098360</v>
      </c>
      <c r="J153" s="103">
        <f>VLOOKUP($A153,'OI(Volume)'!$A$7:$O$427,11)</f>
        <v>1782480</v>
      </c>
      <c r="K153" s="103">
        <f>VLOOKUP($A153,'OI(Volume)'!$A$7:$O$427,12)</f>
        <v>-13133400</v>
      </c>
      <c r="L153" s="103">
        <f>VLOOKUP($A153,'OI(Value)'!$A$7:$O$306,8,0)</f>
        <v>1921</v>
      </c>
      <c r="M153" s="103">
        <f>VLOOKUP($A153,'OI(Value)'!$A$7:$O$306,9,0)</f>
        <v>-23384</v>
      </c>
      <c r="N153" s="103">
        <f>VLOOKUP($A153,'OI(Value)'!$A$7:$O$306,11,0)</f>
        <v>2303</v>
      </c>
      <c r="O153" s="103">
        <f>VLOOKUP($A153,'OI(Value)'!$A$7:$O$306,12,0)</f>
        <v>-16969</v>
      </c>
      <c r="P153" s="179">
        <f>VLOOKUP(A153,'OI(Value)'!A153:O354,8,0)</f>
        <v>1921</v>
      </c>
      <c r="Q153" s="179">
        <f>VLOOKUP(A153,'OI(Value)'!A153:O354,9,0)</f>
        <v>-23384</v>
      </c>
      <c r="R153" s="179">
        <f>VLOOKUP(A153,'OI(Value)'!A153:O354,11,0)</f>
        <v>2303</v>
      </c>
      <c r="S153" s="179">
        <f>VLOOKUP(A153,'OI(Value)'!A153:O354,11,0)</f>
        <v>2303</v>
      </c>
    </row>
    <row r="154" spans="1:19" x14ac:dyDescent="0.25">
      <c r="A154" s="105" t="str">
        <f>'Data shares'!C149</f>
        <v>MOTHERSON</v>
      </c>
      <c r="B154" s="143">
        <f>VLOOKUP($A154,'Data shares'!$C:$FA,118)</f>
        <v>0.69</v>
      </c>
      <c r="C154" s="143">
        <f>VLOOKUP($A154,'Data shares'!$C:$FA,119)</f>
        <v>0.61</v>
      </c>
      <c r="D154" s="143">
        <f>VLOOKUP($A154,'Data shares'!$C:$FA,121)*100</f>
        <v>13.11</v>
      </c>
      <c r="E154" s="143">
        <f>VLOOKUP($A154,'Data shares'!$C:$FA,124)</f>
        <v>0.95</v>
      </c>
      <c r="F154" s="143">
        <f>VLOOKUP($A154,'Data shares'!$C:$FA,125)</f>
        <v>0.67</v>
      </c>
      <c r="G154" s="143">
        <f>VLOOKUP($A154,'Data shares'!$C:$FA,127)*100</f>
        <v>41.79</v>
      </c>
      <c r="H154" s="103">
        <f>VLOOKUP($A154,'OI(Volume)'!$A$7:$O$427,8)</f>
        <v>19003500</v>
      </c>
      <c r="I154" s="103">
        <f>VLOOKUP($A154,'OI(Volume)'!$A$7:$O$427,9)</f>
        <v>-24532350</v>
      </c>
      <c r="J154" s="103">
        <f>VLOOKUP($A154,'OI(Volume)'!$A$7:$O$427,11)</f>
        <v>13093350</v>
      </c>
      <c r="K154" s="103">
        <f>VLOOKUP($A154,'OI(Volume)'!$A$7:$O$427,12)</f>
        <v>-13462350</v>
      </c>
      <c r="L154" s="103">
        <f>VLOOKUP($A154,'OI(Value)'!$A$7:$O$306,8,0)</f>
        <v>186</v>
      </c>
      <c r="M154" s="103">
        <f>VLOOKUP($A154,'OI(Value)'!$A$7:$O$306,9,0)</f>
        <v>-240</v>
      </c>
      <c r="N154" s="103">
        <f>VLOOKUP($A154,'OI(Value)'!$A$7:$O$306,11,0)</f>
        <v>128</v>
      </c>
      <c r="O154" s="103">
        <f>VLOOKUP($A154,'OI(Value)'!$A$7:$O$306,12,0)</f>
        <v>-132</v>
      </c>
      <c r="P154" s="179">
        <f>VLOOKUP(A154,'OI(Value)'!A154:O355,8,0)</f>
        <v>186</v>
      </c>
      <c r="Q154" s="179">
        <f>VLOOKUP(A154,'OI(Value)'!A154:O355,9,0)</f>
        <v>-240</v>
      </c>
      <c r="R154" s="179">
        <f>VLOOKUP(A154,'OI(Value)'!A154:O355,11,0)</f>
        <v>128</v>
      </c>
      <c r="S154" s="179">
        <f>VLOOKUP(A154,'OI(Value)'!A154:O355,11,0)</f>
        <v>128</v>
      </c>
    </row>
    <row r="155" spans="1:19" x14ac:dyDescent="0.25">
      <c r="A155" s="105" t="str">
        <f>'Data shares'!C150</f>
        <v>MPHASIS</v>
      </c>
      <c r="B155" s="143">
        <f>VLOOKUP($A155,'Data shares'!$C:$FA,118)</f>
        <v>0.68</v>
      </c>
      <c r="C155" s="143">
        <f>VLOOKUP($A155,'Data shares'!$C:$FA,119)</f>
        <v>0.84</v>
      </c>
      <c r="D155" s="143">
        <f>VLOOKUP($A155,'Data shares'!$C:$FA,121)*100</f>
        <v>-19.05</v>
      </c>
      <c r="E155" s="143">
        <f>VLOOKUP($A155,'Data shares'!$C:$FA,124)</f>
        <v>0.59</v>
      </c>
      <c r="F155" s="143">
        <f>VLOOKUP($A155,'Data shares'!$C:$FA,125)</f>
        <v>0.39</v>
      </c>
      <c r="G155" s="143">
        <f>VLOOKUP($A155,'Data shares'!$C:$FA,127)*100</f>
        <v>51.28</v>
      </c>
      <c r="H155" s="103">
        <f>VLOOKUP($A155,'OI(Volume)'!$A$7:$O$427,8)</f>
        <v>368775</v>
      </c>
      <c r="I155" s="103">
        <f>VLOOKUP($A155,'OI(Volume)'!$A$7:$O$427,9)</f>
        <v>-890175</v>
      </c>
      <c r="J155" s="103">
        <f>VLOOKUP($A155,'OI(Volume)'!$A$7:$O$427,11)</f>
        <v>250800</v>
      </c>
      <c r="K155" s="103">
        <f>VLOOKUP($A155,'OI(Volume)'!$A$7:$O$427,12)</f>
        <v>-809600</v>
      </c>
      <c r="L155" s="103">
        <f>VLOOKUP($A155,'OI(Value)'!$A$7:$O$306,8,0)</f>
        <v>103</v>
      </c>
      <c r="M155" s="103">
        <f>VLOOKUP($A155,'OI(Value)'!$A$7:$O$306,9,0)</f>
        <v>-249</v>
      </c>
      <c r="N155" s="103">
        <f>VLOOKUP($A155,'OI(Value)'!$A$7:$O$306,11,0)</f>
        <v>70</v>
      </c>
      <c r="O155" s="103">
        <f>VLOOKUP($A155,'OI(Value)'!$A$7:$O$306,12,0)</f>
        <v>-227</v>
      </c>
      <c r="P155" s="179">
        <f>VLOOKUP(A155,'OI(Value)'!A155:O356,8,0)</f>
        <v>103</v>
      </c>
      <c r="Q155" s="179">
        <f>VLOOKUP(A155,'OI(Value)'!A155:O356,9,0)</f>
        <v>-249</v>
      </c>
      <c r="R155" s="179">
        <f>VLOOKUP(A155,'OI(Value)'!A155:O356,11,0)</f>
        <v>70</v>
      </c>
      <c r="S155" s="179">
        <f>VLOOKUP(A155,'OI(Value)'!A155:O356,11,0)</f>
        <v>70</v>
      </c>
    </row>
    <row r="156" spans="1:19" x14ac:dyDescent="0.25">
      <c r="A156" s="105" t="str">
        <f>'Data shares'!C151</f>
        <v>MUTHOOTFIN</v>
      </c>
      <c r="B156" s="143">
        <f>VLOOKUP($A156,'Data shares'!$C:$FA,118)</f>
        <v>0.26</v>
      </c>
      <c r="C156" s="143">
        <f>VLOOKUP($A156,'Data shares'!$C:$FA,119)</f>
        <v>0.5</v>
      </c>
      <c r="D156" s="143">
        <f>VLOOKUP($A156,'Data shares'!$C:$FA,121)*100</f>
        <v>-48</v>
      </c>
      <c r="E156" s="143">
        <f>VLOOKUP($A156,'Data shares'!$C:$FA,124)</f>
        <v>0.43</v>
      </c>
      <c r="F156" s="143">
        <f>VLOOKUP($A156,'Data shares'!$C:$FA,125)</f>
        <v>0.53</v>
      </c>
      <c r="G156" s="143">
        <f>VLOOKUP($A156,'Data shares'!$C:$FA,127)*100</f>
        <v>-18.87</v>
      </c>
      <c r="H156" s="103">
        <f>VLOOKUP($A156,'OI(Volume)'!$A$7:$O$427,8)</f>
        <v>1425875</v>
      </c>
      <c r="I156" s="103">
        <f>VLOOKUP($A156,'OI(Volume)'!$A$7:$O$427,9)</f>
        <v>-892100</v>
      </c>
      <c r="J156" s="103">
        <f>VLOOKUP($A156,'OI(Volume)'!$A$7:$O$427,11)</f>
        <v>366300</v>
      </c>
      <c r="K156" s="103">
        <f>VLOOKUP($A156,'OI(Volume)'!$A$7:$O$427,12)</f>
        <v>-791175</v>
      </c>
      <c r="L156" s="103">
        <f>VLOOKUP($A156,'OI(Value)'!$A$7:$O$306,8,0)</f>
        <v>374</v>
      </c>
      <c r="M156" s="103">
        <f>VLOOKUP($A156,'OI(Value)'!$A$7:$O$306,9,0)</f>
        <v>-234</v>
      </c>
      <c r="N156" s="103">
        <f>VLOOKUP($A156,'OI(Value)'!$A$7:$O$306,11,0)</f>
        <v>96</v>
      </c>
      <c r="O156" s="103">
        <f>VLOOKUP($A156,'OI(Value)'!$A$7:$O$306,12,0)</f>
        <v>-207</v>
      </c>
      <c r="P156" s="179">
        <f>VLOOKUP(A156,'OI(Value)'!A156:O357,8,0)</f>
        <v>374</v>
      </c>
      <c r="Q156" s="179">
        <f>VLOOKUP(A156,'OI(Value)'!A156:O357,9,0)</f>
        <v>-234</v>
      </c>
      <c r="R156" s="179">
        <f>VLOOKUP(A156,'OI(Value)'!A156:O357,11,0)</f>
        <v>96</v>
      </c>
      <c r="S156" s="179">
        <f>VLOOKUP(A156,'OI(Value)'!A156:O357,11,0)</f>
        <v>96</v>
      </c>
    </row>
    <row r="157" spans="1:19" x14ac:dyDescent="0.25">
      <c r="A157" s="105" t="str">
        <f>'Data shares'!C152</f>
        <v>NATIONALUM</v>
      </c>
      <c r="B157" s="143">
        <f>VLOOKUP($A157,'Data shares'!$C:$FA,118)</f>
        <v>0.93</v>
      </c>
      <c r="C157" s="143">
        <f>VLOOKUP($A157,'Data shares'!$C:$FA,119)</f>
        <v>0.72</v>
      </c>
      <c r="D157" s="143">
        <f>VLOOKUP($A157,'Data shares'!$C:$FA,121)*100</f>
        <v>29.17</v>
      </c>
      <c r="E157" s="143">
        <f>VLOOKUP($A157,'Data shares'!$C:$FA,124)</f>
        <v>0.81</v>
      </c>
      <c r="F157" s="143">
        <f>VLOOKUP($A157,'Data shares'!$C:$FA,125)</f>
        <v>0.56999999999999995</v>
      </c>
      <c r="G157" s="143">
        <f>VLOOKUP($A157,'Data shares'!$C:$FA,127)*100</f>
        <v>42.11</v>
      </c>
      <c r="H157" s="103">
        <f>VLOOKUP($A157,'OI(Volume)'!$A$7:$O$427,8)</f>
        <v>14036250</v>
      </c>
      <c r="I157" s="103">
        <f>VLOOKUP($A157,'OI(Volume)'!$A$7:$O$427,9)</f>
        <v>-10095000</v>
      </c>
      <c r="J157" s="103">
        <f>VLOOKUP($A157,'OI(Volume)'!$A$7:$O$427,11)</f>
        <v>13102500</v>
      </c>
      <c r="K157" s="103">
        <f>VLOOKUP($A157,'OI(Volume)'!$A$7:$O$427,12)</f>
        <v>-4200000</v>
      </c>
      <c r="L157" s="103">
        <f>VLOOKUP($A157,'OI(Value)'!$A$7:$O$306,8,0)</f>
        <v>261</v>
      </c>
      <c r="M157" s="103">
        <f>VLOOKUP($A157,'OI(Value)'!$A$7:$O$306,9,0)</f>
        <v>-188</v>
      </c>
      <c r="N157" s="103">
        <f>VLOOKUP($A157,'OI(Value)'!$A$7:$O$306,11,0)</f>
        <v>244</v>
      </c>
      <c r="O157" s="103">
        <f>VLOOKUP($A157,'OI(Value)'!$A$7:$O$306,12,0)</f>
        <v>-78</v>
      </c>
      <c r="P157" s="179">
        <f>VLOOKUP(A157,'OI(Value)'!A157:O358,8,0)</f>
        <v>261</v>
      </c>
      <c r="Q157" s="179">
        <f>VLOOKUP(A157,'OI(Value)'!A157:O358,9,0)</f>
        <v>-188</v>
      </c>
      <c r="R157" s="179">
        <f>VLOOKUP(A157,'OI(Value)'!A157:O358,11,0)</f>
        <v>244</v>
      </c>
      <c r="S157" s="179">
        <f>VLOOKUP(A157,'OI(Value)'!A157:O358,11,0)</f>
        <v>244</v>
      </c>
    </row>
    <row r="158" spans="1:19" x14ac:dyDescent="0.25">
      <c r="A158" s="105" t="str">
        <f>'Data shares'!C153</f>
        <v>NAUKRI</v>
      </c>
      <c r="B158" s="143">
        <f>VLOOKUP($A158,'Data shares'!$C:$FA,118)</f>
        <v>1.01</v>
      </c>
      <c r="C158" s="143">
        <f>VLOOKUP($A158,'Data shares'!$C:$FA,119)</f>
        <v>0.66</v>
      </c>
      <c r="D158" s="143">
        <f>VLOOKUP($A158,'Data shares'!$C:$FA,121)*100</f>
        <v>53.03</v>
      </c>
      <c r="E158" s="143">
        <f>VLOOKUP($A158,'Data shares'!$C:$FA,124)</f>
        <v>0.61</v>
      </c>
      <c r="F158" s="143">
        <f>VLOOKUP($A158,'Data shares'!$C:$FA,125)</f>
        <v>0.67</v>
      </c>
      <c r="G158" s="143">
        <f>VLOOKUP($A158,'Data shares'!$C:$FA,127)*100</f>
        <v>-8.9599999999999991</v>
      </c>
      <c r="H158" s="103">
        <f>VLOOKUP($A158,'OI(Volume)'!$A$7:$O$427,8)</f>
        <v>443625</v>
      </c>
      <c r="I158" s="103">
        <f>VLOOKUP($A158,'OI(Volume)'!$A$7:$O$427,9)</f>
        <v>-1374375</v>
      </c>
      <c r="J158" s="103">
        <f>VLOOKUP($A158,'OI(Volume)'!$A$7:$O$427,11)</f>
        <v>448500</v>
      </c>
      <c r="K158" s="103">
        <f>VLOOKUP($A158,'OI(Volume)'!$A$7:$O$427,12)</f>
        <v>-751125</v>
      </c>
      <c r="L158" s="103">
        <f>VLOOKUP($A158,'OI(Value)'!$A$7:$O$306,8,0)</f>
        <v>62</v>
      </c>
      <c r="M158" s="103">
        <f>VLOOKUP($A158,'OI(Value)'!$A$7:$O$306,9,0)</f>
        <v>-192</v>
      </c>
      <c r="N158" s="103">
        <f>VLOOKUP($A158,'OI(Value)'!$A$7:$O$306,11,0)</f>
        <v>63</v>
      </c>
      <c r="O158" s="103">
        <f>VLOOKUP($A158,'OI(Value)'!$A$7:$O$306,12,0)</f>
        <v>-105</v>
      </c>
      <c r="P158" s="179">
        <f>VLOOKUP(A158,'OI(Value)'!A158:O359,8,0)</f>
        <v>62</v>
      </c>
      <c r="Q158" s="179">
        <f>VLOOKUP(A158,'OI(Value)'!A158:O359,9,0)</f>
        <v>-192</v>
      </c>
      <c r="R158" s="179">
        <f>VLOOKUP(A158,'OI(Value)'!A158:O359,11,0)</f>
        <v>63</v>
      </c>
      <c r="S158" s="179">
        <f>VLOOKUP(A158,'OI(Value)'!A158:O359,11,0)</f>
        <v>63</v>
      </c>
    </row>
    <row r="159" spans="1:19" x14ac:dyDescent="0.25">
      <c r="A159" s="105" t="str">
        <f>'Data shares'!C154</f>
        <v>NBCC</v>
      </c>
      <c r="B159" s="143">
        <f>VLOOKUP($A159,'Data shares'!$C:$FA,118)</f>
        <v>0.68</v>
      </c>
      <c r="C159" s="143">
        <f>VLOOKUP($A159,'Data shares'!$C:$FA,119)</f>
        <v>0.46</v>
      </c>
      <c r="D159" s="143">
        <f>VLOOKUP($A159,'Data shares'!$C:$FA,121)*100</f>
        <v>47.83</v>
      </c>
      <c r="E159" s="143">
        <f>VLOOKUP($A159,'Data shares'!$C:$FA,124)</f>
        <v>0.79</v>
      </c>
      <c r="F159" s="143">
        <f>VLOOKUP($A159,'Data shares'!$C:$FA,125)</f>
        <v>0.6</v>
      </c>
      <c r="G159" s="143">
        <f>VLOOKUP($A159,'Data shares'!$C:$FA,127)*100</f>
        <v>31.669999999999998</v>
      </c>
      <c r="H159" s="103">
        <f>VLOOKUP($A159,'OI(Volume)'!$A$7:$O$427,8)</f>
        <v>6344000</v>
      </c>
      <c r="I159" s="103">
        <f>VLOOKUP($A159,'OI(Volume)'!$A$7:$O$427,9)</f>
        <v>-21385000</v>
      </c>
      <c r="J159" s="103">
        <f>VLOOKUP($A159,'OI(Volume)'!$A$7:$O$427,11)</f>
        <v>4309500</v>
      </c>
      <c r="K159" s="103">
        <f>VLOOKUP($A159,'OI(Volume)'!$A$7:$O$427,12)</f>
        <v>-8430500</v>
      </c>
      <c r="L159" s="103">
        <f>VLOOKUP($A159,'OI(Value)'!$A$7:$O$306,8,0)</f>
        <v>69</v>
      </c>
      <c r="M159" s="103">
        <f>VLOOKUP($A159,'OI(Value)'!$A$7:$O$306,9,0)</f>
        <v>-232</v>
      </c>
      <c r="N159" s="103">
        <f>VLOOKUP($A159,'OI(Value)'!$A$7:$O$306,11,0)</f>
        <v>47</v>
      </c>
      <c r="O159" s="103">
        <f>VLOOKUP($A159,'OI(Value)'!$A$7:$O$306,12,0)</f>
        <v>-92</v>
      </c>
      <c r="P159" s="179">
        <f>VLOOKUP(A159,'OI(Value)'!A159:O360,8,0)</f>
        <v>69</v>
      </c>
      <c r="Q159" s="179">
        <f>VLOOKUP(A159,'OI(Value)'!A159:O360,9,0)</f>
        <v>-232</v>
      </c>
      <c r="R159" s="179">
        <f>VLOOKUP(A159,'OI(Value)'!A159:O360,11,0)</f>
        <v>47</v>
      </c>
      <c r="S159" s="179">
        <f>VLOOKUP(A159,'OI(Value)'!A159:O360,11,0)</f>
        <v>47</v>
      </c>
    </row>
    <row r="160" spans="1:19" x14ac:dyDescent="0.25">
      <c r="A160" s="105" t="str">
        <f>'Data shares'!C155</f>
        <v>NCC</v>
      </c>
      <c r="B160" s="143">
        <f>VLOOKUP($A160,'Data shares'!$C:$FA,118)</f>
        <v>0.74</v>
      </c>
      <c r="C160" s="143">
        <f>VLOOKUP($A160,'Data shares'!$C:$FA,119)</f>
        <v>0.52</v>
      </c>
      <c r="D160" s="143">
        <f>VLOOKUP($A160,'Data shares'!$C:$FA,121)*100</f>
        <v>42.309999999999995</v>
      </c>
      <c r="E160" s="143">
        <f>VLOOKUP($A160,'Data shares'!$C:$FA,124)</f>
        <v>0.59</v>
      </c>
      <c r="F160" s="143">
        <f>VLOOKUP($A160,'Data shares'!$C:$FA,125)</f>
        <v>0.45</v>
      </c>
      <c r="G160" s="143">
        <f>VLOOKUP($A160,'Data shares'!$C:$FA,127)*100</f>
        <v>31.11</v>
      </c>
      <c r="H160" s="103">
        <f>VLOOKUP($A160,'OI(Volume)'!$A$7:$O$427,8)</f>
        <v>2705400</v>
      </c>
      <c r="I160" s="103">
        <f>VLOOKUP($A160,'OI(Volume)'!$A$7:$O$427,9)</f>
        <v>-6442200</v>
      </c>
      <c r="J160" s="103">
        <f>VLOOKUP($A160,'OI(Volume)'!$A$7:$O$427,11)</f>
        <v>1989900</v>
      </c>
      <c r="K160" s="103">
        <f>VLOOKUP($A160,'OI(Volume)'!$A$7:$O$427,12)</f>
        <v>-2751300</v>
      </c>
      <c r="L160" s="103">
        <f>VLOOKUP($A160,'OI(Value)'!$A$7:$O$306,8,0)</f>
        <v>59</v>
      </c>
      <c r="M160" s="103">
        <f>VLOOKUP($A160,'OI(Value)'!$A$7:$O$306,9,0)</f>
        <v>-140</v>
      </c>
      <c r="N160" s="103">
        <f>VLOOKUP($A160,'OI(Value)'!$A$7:$O$306,11,0)</f>
        <v>43</v>
      </c>
      <c r="O160" s="103">
        <f>VLOOKUP($A160,'OI(Value)'!$A$7:$O$306,12,0)</f>
        <v>-60</v>
      </c>
      <c r="P160" s="179">
        <f>VLOOKUP(A160,'OI(Value)'!A160:O361,8,0)</f>
        <v>59</v>
      </c>
      <c r="Q160" s="179">
        <f>VLOOKUP(A160,'OI(Value)'!A160:O361,9,0)</f>
        <v>-140</v>
      </c>
      <c r="R160" s="179">
        <f>VLOOKUP(A160,'OI(Value)'!A160:O361,11,0)</f>
        <v>43</v>
      </c>
      <c r="S160" s="179">
        <f>VLOOKUP(A160,'OI(Value)'!A160:O361,11,0)</f>
        <v>43</v>
      </c>
    </row>
    <row r="161" spans="1:19" x14ac:dyDescent="0.25">
      <c r="A161" s="105" t="str">
        <f>'Data shares'!C156</f>
        <v>NESTLEIND</v>
      </c>
      <c r="B161" s="143">
        <f>VLOOKUP($A161,'Data shares'!$C:$FA,118)</f>
        <v>0.91</v>
      </c>
      <c r="C161" s="143">
        <f>VLOOKUP($A161,'Data shares'!$C:$FA,119)</f>
        <v>0.68</v>
      </c>
      <c r="D161" s="143">
        <f>VLOOKUP($A161,'Data shares'!$C:$FA,121)*100</f>
        <v>33.82</v>
      </c>
      <c r="E161" s="143">
        <f>VLOOKUP($A161,'Data shares'!$C:$FA,124)</f>
        <v>0.43</v>
      </c>
      <c r="F161" s="143">
        <f>VLOOKUP($A161,'Data shares'!$C:$FA,125)</f>
        <v>0.31</v>
      </c>
      <c r="G161" s="143">
        <f>VLOOKUP($A161,'Data shares'!$C:$FA,127)*100</f>
        <v>38.71</v>
      </c>
      <c r="H161" s="103">
        <f>VLOOKUP($A161,'OI(Volume)'!$A$7:$O$427,8)</f>
        <v>1401750</v>
      </c>
      <c r="I161" s="103">
        <f>VLOOKUP($A161,'OI(Volume)'!$A$7:$O$427,9)</f>
        <v>-2384500</v>
      </c>
      <c r="J161" s="103">
        <f>VLOOKUP($A161,'OI(Volume)'!$A$7:$O$427,11)</f>
        <v>1273000</v>
      </c>
      <c r="K161" s="103">
        <f>VLOOKUP($A161,'OI(Volume)'!$A$7:$O$427,12)</f>
        <v>-1313500</v>
      </c>
      <c r="L161" s="103">
        <f>VLOOKUP($A161,'OI(Value)'!$A$7:$O$306,8,0)</f>
        <v>316</v>
      </c>
      <c r="M161" s="103">
        <f>VLOOKUP($A161,'OI(Value)'!$A$7:$O$306,9,0)</f>
        <v>-538</v>
      </c>
      <c r="N161" s="103">
        <f>VLOOKUP($A161,'OI(Value)'!$A$7:$O$306,11,0)</f>
        <v>287</v>
      </c>
      <c r="O161" s="103">
        <f>VLOOKUP($A161,'OI(Value)'!$A$7:$O$306,12,0)</f>
        <v>-297</v>
      </c>
      <c r="P161" s="179">
        <f>VLOOKUP(A161,'OI(Value)'!A161:O362,8,0)</f>
        <v>316</v>
      </c>
      <c r="Q161" s="179">
        <f>VLOOKUP(A161,'OI(Value)'!A161:O362,9,0)</f>
        <v>-538</v>
      </c>
      <c r="R161" s="179">
        <f>VLOOKUP(A161,'OI(Value)'!A161:O362,11,0)</f>
        <v>287</v>
      </c>
      <c r="S161" s="179">
        <f>VLOOKUP(A161,'OI(Value)'!A161:O362,11,0)</f>
        <v>287</v>
      </c>
    </row>
    <row r="162" spans="1:19" x14ac:dyDescent="0.25">
      <c r="A162" s="105" t="str">
        <f>'Data shares'!C157</f>
        <v>NHPC</v>
      </c>
      <c r="B162" s="143">
        <f>VLOOKUP($A162,'Data shares'!$C:$FA,118)</f>
        <v>0.63</v>
      </c>
      <c r="C162" s="143">
        <f>VLOOKUP($A162,'Data shares'!$C:$FA,119)</f>
        <v>0.48</v>
      </c>
      <c r="D162" s="143">
        <f>VLOOKUP($A162,'Data shares'!$C:$FA,121)*100</f>
        <v>31.25</v>
      </c>
      <c r="E162" s="143">
        <f>VLOOKUP($A162,'Data shares'!$C:$FA,124)</f>
        <v>0.52</v>
      </c>
      <c r="F162" s="143">
        <f>VLOOKUP($A162,'Data shares'!$C:$FA,125)</f>
        <v>0.52</v>
      </c>
      <c r="G162" s="143">
        <f>VLOOKUP($A162,'Data shares'!$C:$FA,127)*100</f>
        <v>0</v>
      </c>
      <c r="H162" s="103">
        <f>VLOOKUP($A162,'OI(Volume)'!$A$7:$O$427,8)</f>
        <v>7072000</v>
      </c>
      <c r="I162" s="103">
        <f>VLOOKUP($A162,'OI(Volume)'!$A$7:$O$427,9)</f>
        <v>-14899200</v>
      </c>
      <c r="J162" s="103">
        <f>VLOOKUP($A162,'OI(Volume)'!$A$7:$O$427,11)</f>
        <v>4435200</v>
      </c>
      <c r="K162" s="103">
        <f>VLOOKUP($A162,'OI(Volume)'!$A$7:$O$427,12)</f>
        <v>-6214400</v>
      </c>
      <c r="L162" s="103">
        <f>VLOOKUP($A162,'OI(Value)'!$A$7:$O$306,8,0)</f>
        <v>59</v>
      </c>
      <c r="M162" s="103">
        <f>VLOOKUP($A162,'OI(Value)'!$A$7:$O$306,9,0)</f>
        <v>-124</v>
      </c>
      <c r="N162" s="103">
        <f>VLOOKUP($A162,'OI(Value)'!$A$7:$O$306,11,0)</f>
        <v>37</v>
      </c>
      <c r="O162" s="103">
        <f>VLOOKUP($A162,'OI(Value)'!$A$7:$O$306,12,0)</f>
        <v>-52</v>
      </c>
      <c r="P162" s="179">
        <f>VLOOKUP(A162,'OI(Value)'!A162:O363,8,0)</f>
        <v>59</v>
      </c>
      <c r="Q162" s="179">
        <f>VLOOKUP(A162,'OI(Value)'!A162:O363,9,0)</f>
        <v>-124</v>
      </c>
      <c r="R162" s="179">
        <f>VLOOKUP(A162,'OI(Value)'!A162:O363,11,0)</f>
        <v>37</v>
      </c>
      <c r="S162" s="179">
        <f>VLOOKUP(A162,'OI(Value)'!A162:O363,11,0)</f>
        <v>37</v>
      </c>
    </row>
    <row r="163" spans="1:19" x14ac:dyDescent="0.25">
      <c r="A163" s="105" t="str">
        <f>'Data shares'!C158</f>
        <v>NIFTY</v>
      </c>
      <c r="B163" s="143">
        <f>VLOOKUP($A163,'Data shares'!$C:$FA,118)</f>
        <v>1.04</v>
      </c>
      <c r="C163" s="143">
        <f>VLOOKUP($A163,'Data shares'!$C:$FA,119)</f>
        <v>0.87</v>
      </c>
      <c r="D163" s="143">
        <f>VLOOKUP($A163,'Data shares'!$C:$FA,121)*100</f>
        <v>19.54</v>
      </c>
      <c r="E163" s="143">
        <f>VLOOKUP($A163,'Data shares'!$C:$FA,124)</f>
        <v>0.93</v>
      </c>
      <c r="F163" s="143">
        <f>VLOOKUP($A163,'Data shares'!$C:$FA,125)</f>
        <v>0.83</v>
      </c>
      <c r="G163" s="143">
        <f>VLOOKUP($A163,'Data shares'!$C:$FA,127)*100</f>
        <v>12.049999999999999</v>
      </c>
      <c r="H163" s="103">
        <f>VLOOKUP($A163,'OI(Volume)'!$A$7:$O$427,8)</f>
        <v>120340800</v>
      </c>
      <c r="I163" s="103">
        <f>VLOOKUP($A163,'OI(Volume)'!$A$7:$O$427,9)</f>
        <v>-146166750</v>
      </c>
      <c r="J163" s="103">
        <f>VLOOKUP($A163,'OI(Volume)'!$A$7:$O$427,11)</f>
        <v>125223375</v>
      </c>
      <c r="K163" s="103">
        <f>VLOOKUP($A163,'OI(Volume)'!$A$7:$O$427,12)</f>
        <v>-107464850</v>
      </c>
      <c r="L163" s="103">
        <f>VLOOKUP($A163,'OI(Value)'!$A$7:$O$306,8,0)</f>
        <v>299307</v>
      </c>
      <c r="M163" s="103">
        <f>VLOOKUP($A163,'OI(Value)'!$A$7:$O$306,9,0)</f>
        <v>-363540</v>
      </c>
      <c r="N163" s="103">
        <f>VLOOKUP($A163,'OI(Value)'!$A$7:$O$306,11,0)</f>
        <v>311451</v>
      </c>
      <c r="O163" s="103">
        <f>VLOOKUP($A163,'OI(Value)'!$A$7:$O$306,12,0)</f>
        <v>-267282</v>
      </c>
      <c r="P163" s="179">
        <f>VLOOKUP(A163,'OI(Value)'!A163:O364,8,0)</f>
        <v>299307</v>
      </c>
      <c r="Q163" s="179">
        <f>VLOOKUP(A163,'OI(Value)'!A163:O364,9,0)</f>
        <v>-363540</v>
      </c>
      <c r="R163" s="179">
        <f>VLOOKUP(A163,'OI(Value)'!A163:O364,11,0)</f>
        <v>311451</v>
      </c>
      <c r="S163" s="179">
        <f>VLOOKUP(A163,'OI(Value)'!A163:O364,11,0)</f>
        <v>311451</v>
      </c>
    </row>
    <row r="164" spans="1:19" x14ac:dyDescent="0.25">
      <c r="A164" s="105" t="str">
        <f>'Data shares'!C159</f>
        <v>NIFTYNXT50</v>
      </c>
      <c r="B164" s="143">
        <f>VLOOKUP($A164,'Data shares'!$C:$FA,118)</f>
        <v>0</v>
      </c>
      <c r="C164" s="143">
        <f>VLOOKUP($A164,'Data shares'!$C:$FA,119)</f>
        <v>0.54</v>
      </c>
      <c r="D164" s="143">
        <f>VLOOKUP($A164,'Data shares'!$C:$FA,121)*100</f>
        <v>-100</v>
      </c>
      <c r="E164" s="143">
        <f>VLOOKUP($A164,'Data shares'!$C:$FA,124)</f>
        <v>0.75</v>
      </c>
      <c r="F164" s="143">
        <f>VLOOKUP($A164,'Data shares'!$C:$FA,125)</f>
        <v>0.31</v>
      </c>
      <c r="G164" s="143">
        <f>VLOOKUP($A164,'Data shares'!$C:$FA,127)*100</f>
        <v>141.94</v>
      </c>
      <c r="H164" s="103">
        <f>VLOOKUP($A164,'OI(Volume)'!$A$7:$O$427,8)</f>
        <v>0</v>
      </c>
      <c r="I164" s="103">
        <f>VLOOKUP($A164,'OI(Volume)'!$A$7:$O$427,9)</f>
        <v>-24075</v>
      </c>
      <c r="J164" s="103">
        <f>VLOOKUP($A164,'OI(Volume)'!$A$7:$O$427,11)</f>
        <v>75</v>
      </c>
      <c r="K164" s="103">
        <f>VLOOKUP($A164,'OI(Volume)'!$A$7:$O$427,12)</f>
        <v>-12850</v>
      </c>
      <c r="L164" s="103">
        <f>VLOOKUP($A164,'OI(Value)'!$A$7:$O$306,8,0)</f>
        <v>0</v>
      </c>
      <c r="M164" s="103">
        <f>VLOOKUP($A164,'OI(Value)'!$A$7:$O$306,9,0)</f>
        <v>-162</v>
      </c>
      <c r="N164" s="103">
        <f>VLOOKUP($A164,'OI(Value)'!$A$7:$O$306,11,0)</f>
        <v>1</v>
      </c>
      <c r="O164" s="103">
        <f>VLOOKUP($A164,'OI(Value)'!$A$7:$O$306,12,0)</f>
        <v>-86</v>
      </c>
      <c r="P164" s="179">
        <f>VLOOKUP(A164,'OI(Value)'!A164:O365,8,0)</f>
        <v>0</v>
      </c>
      <c r="Q164" s="179">
        <f>VLOOKUP(A164,'OI(Value)'!A164:O365,9,0)</f>
        <v>-162</v>
      </c>
      <c r="R164" s="179">
        <f>VLOOKUP(A164,'OI(Value)'!A164:O365,11,0)</f>
        <v>1</v>
      </c>
      <c r="S164" s="179">
        <f>VLOOKUP(A164,'OI(Value)'!A164:O365,11,0)</f>
        <v>1</v>
      </c>
    </row>
    <row r="165" spans="1:19" x14ac:dyDescent="0.25">
      <c r="A165" s="105" t="str">
        <f>'Data shares'!C160</f>
        <v>NMDC</v>
      </c>
      <c r="B165" s="143">
        <f>VLOOKUP($A165,'Data shares'!$C:$FA,118)</f>
        <v>0.88</v>
      </c>
      <c r="C165" s="143">
        <f>VLOOKUP($A165,'Data shares'!$C:$FA,119)</f>
        <v>0.86</v>
      </c>
      <c r="D165" s="143">
        <f>VLOOKUP($A165,'Data shares'!$C:$FA,121)*100</f>
        <v>2.33</v>
      </c>
      <c r="E165" s="143">
        <f>VLOOKUP($A165,'Data shares'!$C:$FA,124)</f>
        <v>0.8</v>
      </c>
      <c r="F165" s="143">
        <f>VLOOKUP($A165,'Data shares'!$C:$FA,125)</f>
        <v>0.65</v>
      </c>
      <c r="G165" s="143">
        <f>VLOOKUP($A165,'Data shares'!$C:$FA,127)*100</f>
        <v>23.080000000000002</v>
      </c>
      <c r="H165" s="103">
        <f>VLOOKUP($A165,'OI(Volume)'!$A$7:$O$427,8)</f>
        <v>69430500</v>
      </c>
      <c r="I165" s="103">
        <f>VLOOKUP($A165,'OI(Volume)'!$A$7:$O$427,9)</f>
        <v>-58846500</v>
      </c>
      <c r="J165" s="103">
        <f>VLOOKUP($A165,'OI(Volume)'!$A$7:$O$427,11)</f>
        <v>61411500</v>
      </c>
      <c r="K165" s="103">
        <f>VLOOKUP($A165,'OI(Volume)'!$A$7:$O$427,12)</f>
        <v>-49018500</v>
      </c>
      <c r="L165" s="103">
        <f>VLOOKUP($A165,'OI(Value)'!$A$7:$O$306,8,0)</f>
        <v>486</v>
      </c>
      <c r="M165" s="103">
        <f>VLOOKUP($A165,'OI(Value)'!$A$7:$O$306,9,0)</f>
        <v>-412</v>
      </c>
      <c r="N165" s="103">
        <f>VLOOKUP($A165,'OI(Value)'!$A$7:$O$306,11,0)</f>
        <v>430</v>
      </c>
      <c r="O165" s="103">
        <f>VLOOKUP($A165,'OI(Value)'!$A$7:$O$306,12,0)</f>
        <v>-343</v>
      </c>
      <c r="P165" s="179">
        <f>VLOOKUP(A165,'OI(Value)'!A165:O366,8,0)</f>
        <v>486</v>
      </c>
      <c r="Q165" s="179">
        <f>VLOOKUP(A165,'OI(Value)'!A165:O366,9,0)</f>
        <v>-412</v>
      </c>
      <c r="R165" s="179">
        <f>VLOOKUP(A165,'OI(Value)'!A165:O366,11,0)</f>
        <v>430</v>
      </c>
      <c r="S165" s="179">
        <f>VLOOKUP(A165,'OI(Value)'!A165:O366,11,0)</f>
        <v>430</v>
      </c>
    </row>
    <row r="166" spans="1:19" x14ac:dyDescent="0.25">
      <c r="A166" s="105" t="str">
        <f>'Data shares'!C161</f>
        <v>NTPC</v>
      </c>
      <c r="B166" s="143">
        <f>VLOOKUP($A166,'Data shares'!$C:$FA,118)</f>
        <v>0.88</v>
      </c>
      <c r="C166" s="143">
        <f>VLOOKUP($A166,'Data shares'!$C:$FA,119)</f>
        <v>0.31</v>
      </c>
      <c r="D166" s="143">
        <f>VLOOKUP($A166,'Data shares'!$C:$FA,121)*100</f>
        <v>183.87</v>
      </c>
      <c r="E166" s="143">
        <f>VLOOKUP($A166,'Data shares'!$C:$FA,124)</f>
        <v>0.84</v>
      </c>
      <c r="F166" s="143">
        <f>VLOOKUP($A166,'Data shares'!$C:$FA,125)</f>
        <v>0.41</v>
      </c>
      <c r="G166" s="143">
        <f>VLOOKUP($A166,'Data shares'!$C:$FA,127)*100</f>
        <v>104.88</v>
      </c>
      <c r="H166" s="103">
        <f>VLOOKUP($A166,'OI(Volume)'!$A$7:$O$427,8)</f>
        <v>11134500</v>
      </c>
      <c r="I166" s="103">
        <f>VLOOKUP($A166,'OI(Volume)'!$A$7:$O$427,9)</f>
        <v>-64228500</v>
      </c>
      <c r="J166" s="103">
        <f>VLOOKUP($A166,'OI(Volume)'!$A$7:$O$427,11)</f>
        <v>9826500</v>
      </c>
      <c r="K166" s="103">
        <f>VLOOKUP($A166,'OI(Volume)'!$A$7:$O$427,12)</f>
        <v>-13749000</v>
      </c>
      <c r="L166" s="103">
        <f>VLOOKUP($A166,'OI(Value)'!$A$7:$O$306,8,0)</f>
        <v>374</v>
      </c>
      <c r="M166" s="103">
        <f>VLOOKUP($A166,'OI(Value)'!$A$7:$O$306,9,0)</f>
        <v>-2157</v>
      </c>
      <c r="N166" s="103">
        <f>VLOOKUP($A166,'OI(Value)'!$A$7:$O$306,11,0)</f>
        <v>330</v>
      </c>
      <c r="O166" s="103">
        <f>VLOOKUP($A166,'OI(Value)'!$A$7:$O$306,12,0)</f>
        <v>-462</v>
      </c>
      <c r="P166" s="179">
        <f>VLOOKUP(A166,'OI(Value)'!A166:O367,8,0)</f>
        <v>374</v>
      </c>
      <c r="Q166" s="179">
        <f>VLOOKUP(A166,'OI(Value)'!A166:O367,9,0)</f>
        <v>-2157</v>
      </c>
      <c r="R166" s="179">
        <f>VLOOKUP(A166,'OI(Value)'!A166:O367,11,0)</f>
        <v>330</v>
      </c>
      <c r="S166" s="179">
        <f>VLOOKUP(A166,'OI(Value)'!A166:O367,11,0)</f>
        <v>330</v>
      </c>
    </row>
    <row r="167" spans="1:19" x14ac:dyDescent="0.25">
      <c r="A167" s="105" t="str">
        <f>'Data shares'!C162</f>
        <v>NYKAA</v>
      </c>
      <c r="B167" s="143">
        <f>VLOOKUP($A167,'Data shares'!$C:$FA,118)</f>
        <v>0.52</v>
      </c>
      <c r="C167" s="143">
        <f>VLOOKUP($A167,'Data shares'!$C:$FA,119)</f>
        <v>0.59</v>
      </c>
      <c r="D167" s="143">
        <f>VLOOKUP($A167,'Data shares'!$C:$FA,121)*100</f>
        <v>-11.86</v>
      </c>
      <c r="E167" s="143">
        <f>VLOOKUP($A167,'Data shares'!$C:$FA,124)</f>
        <v>0.43</v>
      </c>
      <c r="F167" s="143">
        <f>VLOOKUP($A167,'Data shares'!$C:$FA,125)</f>
        <v>0.35</v>
      </c>
      <c r="G167" s="143">
        <f>VLOOKUP($A167,'Data shares'!$C:$FA,127)*100</f>
        <v>22.86</v>
      </c>
      <c r="H167" s="103">
        <f>VLOOKUP($A167,'OI(Volume)'!$A$7:$O$427,8)</f>
        <v>3778125</v>
      </c>
      <c r="I167" s="103">
        <f>VLOOKUP($A167,'OI(Volume)'!$A$7:$O$427,9)</f>
        <v>-11275000</v>
      </c>
      <c r="J167" s="103">
        <f>VLOOKUP($A167,'OI(Volume)'!$A$7:$O$427,11)</f>
        <v>1946875</v>
      </c>
      <c r="K167" s="103">
        <f>VLOOKUP($A167,'OI(Volume)'!$A$7:$O$427,12)</f>
        <v>-6959375</v>
      </c>
      <c r="L167" s="103">
        <f>VLOOKUP($A167,'OI(Value)'!$A$7:$O$306,8,0)</f>
        <v>79</v>
      </c>
      <c r="M167" s="103">
        <f>VLOOKUP($A167,'OI(Value)'!$A$7:$O$306,9,0)</f>
        <v>-237</v>
      </c>
      <c r="N167" s="103">
        <f>VLOOKUP($A167,'OI(Value)'!$A$7:$O$306,11,0)</f>
        <v>41</v>
      </c>
      <c r="O167" s="103">
        <f>VLOOKUP($A167,'OI(Value)'!$A$7:$O$306,12,0)</f>
        <v>-146</v>
      </c>
      <c r="P167" s="179">
        <f>VLOOKUP(A167,'OI(Value)'!A167:O368,8,0)</f>
        <v>79</v>
      </c>
      <c r="Q167" s="179">
        <f>VLOOKUP(A167,'OI(Value)'!A167:O368,9,0)</f>
        <v>-237</v>
      </c>
      <c r="R167" s="179">
        <f>VLOOKUP(A167,'OI(Value)'!A167:O368,11,0)</f>
        <v>41</v>
      </c>
      <c r="S167" s="179">
        <f>VLOOKUP(A167,'OI(Value)'!A167:O368,11,0)</f>
        <v>41</v>
      </c>
    </row>
    <row r="168" spans="1:19" x14ac:dyDescent="0.25">
      <c r="A168" s="105" t="str">
        <f>'Data shares'!C163</f>
        <v>OBEROIRLTY</v>
      </c>
      <c r="B168" s="143">
        <f>VLOOKUP($A168,'Data shares'!$C:$FA,118)</f>
        <v>1.01</v>
      </c>
      <c r="C168" s="143">
        <f>VLOOKUP($A168,'Data shares'!$C:$FA,119)</f>
        <v>0.51</v>
      </c>
      <c r="D168" s="143">
        <f>VLOOKUP($A168,'Data shares'!$C:$FA,121)*100</f>
        <v>98.04</v>
      </c>
      <c r="E168" s="143">
        <f>VLOOKUP($A168,'Data shares'!$C:$FA,124)</f>
        <v>0.56000000000000005</v>
      </c>
      <c r="F168" s="143">
        <f>VLOOKUP($A168,'Data shares'!$C:$FA,125)</f>
        <v>0.49</v>
      </c>
      <c r="G168" s="143">
        <f>VLOOKUP($A168,'Data shares'!$C:$FA,127)*100</f>
        <v>14.29</v>
      </c>
      <c r="H168" s="103">
        <f>VLOOKUP($A168,'OI(Volume)'!$A$7:$O$427,8)</f>
        <v>661500</v>
      </c>
      <c r="I168" s="103">
        <f>VLOOKUP($A168,'OI(Volume)'!$A$7:$O$427,9)</f>
        <v>-2302650</v>
      </c>
      <c r="J168" s="103">
        <f>VLOOKUP($A168,'OI(Volume)'!$A$7:$O$427,11)</f>
        <v>669900</v>
      </c>
      <c r="K168" s="103">
        <f>VLOOKUP($A168,'OI(Volume)'!$A$7:$O$427,12)</f>
        <v>-851900</v>
      </c>
      <c r="L168" s="103">
        <f>VLOOKUP($A168,'OI(Value)'!$A$7:$O$306,8,0)</f>
        <v>108</v>
      </c>
      <c r="M168" s="103">
        <f>VLOOKUP($A168,'OI(Value)'!$A$7:$O$306,9,0)</f>
        <v>-377</v>
      </c>
      <c r="N168" s="103">
        <f>VLOOKUP($A168,'OI(Value)'!$A$7:$O$306,11,0)</f>
        <v>110</v>
      </c>
      <c r="O168" s="103">
        <f>VLOOKUP($A168,'OI(Value)'!$A$7:$O$306,12,0)</f>
        <v>-140</v>
      </c>
      <c r="P168" s="179">
        <f>VLOOKUP(A168,'OI(Value)'!A168:O369,8,0)</f>
        <v>108</v>
      </c>
      <c r="Q168" s="179">
        <f>VLOOKUP(A168,'OI(Value)'!A168:O369,9,0)</f>
        <v>-377</v>
      </c>
      <c r="R168" s="179">
        <f>VLOOKUP(A168,'OI(Value)'!A168:O369,11,0)</f>
        <v>110</v>
      </c>
      <c r="S168" s="179">
        <f>VLOOKUP(A168,'OI(Value)'!A168:O369,11,0)</f>
        <v>110</v>
      </c>
    </row>
    <row r="169" spans="1:19" x14ac:dyDescent="0.25">
      <c r="A169" s="105" t="str">
        <f>'Data shares'!C164</f>
        <v>OFSS</v>
      </c>
      <c r="B169" s="143">
        <f>VLOOKUP($A169,'Data shares'!$C:$FA,118)</f>
        <v>0.61</v>
      </c>
      <c r="C169" s="143">
        <f>VLOOKUP($A169,'Data shares'!$C:$FA,119)</f>
        <v>0.56999999999999995</v>
      </c>
      <c r="D169" s="143">
        <f>VLOOKUP($A169,'Data shares'!$C:$FA,121)*100</f>
        <v>7.02</v>
      </c>
      <c r="E169" s="143">
        <f>VLOOKUP($A169,'Data shares'!$C:$FA,124)</f>
        <v>0.57999999999999996</v>
      </c>
      <c r="F169" s="143">
        <f>VLOOKUP($A169,'Data shares'!$C:$FA,125)</f>
        <v>0.3</v>
      </c>
      <c r="G169" s="143">
        <f>VLOOKUP($A169,'Data shares'!$C:$FA,127)*100</f>
        <v>93.33</v>
      </c>
      <c r="H169" s="103">
        <f>VLOOKUP($A169,'OI(Volume)'!$A$7:$O$427,8)</f>
        <v>215100</v>
      </c>
      <c r="I169" s="103">
        <f>VLOOKUP($A169,'OI(Volume)'!$A$7:$O$427,9)</f>
        <v>-447450</v>
      </c>
      <c r="J169" s="103">
        <f>VLOOKUP($A169,'OI(Volume)'!$A$7:$O$427,11)</f>
        <v>132000</v>
      </c>
      <c r="K169" s="103">
        <f>VLOOKUP($A169,'OI(Volume)'!$A$7:$O$427,12)</f>
        <v>-246900</v>
      </c>
      <c r="L169" s="103">
        <f>VLOOKUP($A169,'OI(Value)'!$A$7:$O$306,8,0)</f>
        <v>183</v>
      </c>
      <c r="M169" s="103">
        <f>VLOOKUP($A169,'OI(Value)'!$A$7:$O$306,9,0)</f>
        <v>-381</v>
      </c>
      <c r="N169" s="103">
        <f>VLOOKUP($A169,'OI(Value)'!$A$7:$O$306,11,0)</f>
        <v>112</v>
      </c>
      <c r="O169" s="103">
        <f>VLOOKUP($A169,'OI(Value)'!$A$7:$O$306,12,0)</f>
        <v>-210</v>
      </c>
      <c r="P169" s="179">
        <f>VLOOKUP(A169,'OI(Value)'!A169:O370,8,0)</f>
        <v>183</v>
      </c>
      <c r="Q169" s="179">
        <f>VLOOKUP(A169,'OI(Value)'!A169:O370,9,0)</f>
        <v>-381</v>
      </c>
      <c r="R169" s="179">
        <f>VLOOKUP(A169,'OI(Value)'!A169:O370,11,0)</f>
        <v>112</v>
      </c>
      <c r="S169" s="179">
        <f>VLOOKUP(A169,'OI(Value)'!A169:O370,11,0)</f>
        <v>112</v>
      </c>
    </row>
    <row r="170" spans="1:19" x14ac:dyDescent="0.25">
      <c r="A170" s="105" t="str">
        <f>'Data shares'!C165</f>
        <v>OIL</v>
      </c>
      <c r="B170" s="143">
        <f>VLOOKUP($A170,'Data shares'!$C:$FA,118)</f>
        <v>0.67</v>
      </c>
      <c r="C170" s="143">
        <f>VLOOKUP($A170,'Data shares'!$C:$FA,119)</f>
        <v>0.62</v>
      </c>
      <c r="D170" s="143">
        <f>VLOOKUP($A170,'Data shares'!$C:$FA,121)*100</f>
        <v>8.06</v>
      </c>
      <c r="E170" s="143">
        <f>VLOOKUP($A170,'Data shares'!$C:$FA,124)</f>
        <v>0.45</v>
      </c>
      <c r="F170" s="143">
        <f>VLOOKUP($A170,'Data shares'!$C:$FA,125)</f>
        <v>0.42</v>
      </c>
      <c r="G170" s="143">
        <f>VLOOKUP($A170,'Data shares'!$C:$FA,127)*100</f>
        <v>7.1400000000000006</v>
      </c>
      <c r="H170" s="103">
        <f>VLOOKUP($A170,'OI(Volume)'!$A$7:$O$427,8)</f>
        <v>1388800</v>
      </c>
      <c r="I170" s="103">
        <f>VLOOKUP($A170,'OI(Volume)'!$A$7:$O$427,9)</f>
        <v>-4697000</v>
      </c>
      <c r="J170" s="103">
        <f>VLOOKUP($A170,'OI(Volume)'!$A$7:$O$427,11)</f>
        <v>933800</v>
      </c>
      <c r="K170" s="103">
        <f>VLOOKUP($A170,'OI(Volume)'!$A$7:$O$427,12)</f>
        <v>-2867200</v>
      </c>
      <c r="L170" s="103">
        <f>VLOOKUP($A170,'OI(Value)'!$A$7:$O$306,8,0)</f>
        <v>61</v>
      </c>
      <c r="M170" s="103">
        <f>VLOOKUP($A170,'OI(Value)'!$A$7:$O$306,9,0)</f>
        <v>-207</v>
      </c>
      <c r="N170" s="103">
        <f>VLOOKUP($A170,'OI(Value)'!$A$7:$O$306,11,0)</f>
        <v>41</v>
      </c>
      <c r="O170" s="103">
        <f>VLOOKUP($A170,'OI(Value)'!$A$7:$O$306,12,0)</f>
        <v>-126</v>
      </c>
      <c r="P170" s="179">
        <f>VLOOKUP(A170,'OI(Value)'!A170:O371,8,0)</f>
        <v>61</v>
      </c>
      <c r="Q170" s="179">
        <f>VLOOKUP(A170,'OI(Value)'!A170:O371,9,0)</f>
        <v>-207</v>
      </c>
      <c r="R170" s="179">
        <f>VLOOKUP(A170,'OI(Value)'!A170:O371,11,0)</f>
        <v>41</v>
      </c>
      <c r="S170" s="179">
        <f>VLOOKUP(A170,'OI(Value)'!A170:O371,11,0)</f>
        <v>41</v>
      </c>
    </row>
    <row r="171" spans="1:19" x14ac:dyDescent="0.25">
      <c r="A171" s="105" t="str">
        <f>'Data shares'!C166</f>
        <v>ONGC</v>
      </c>
      <c r="B171" s="143">
        <f>VLOOKUP($A171,'Data shares'!$C:$FA,118)</f>
        <v>0.9</v>
      </c>
      <c r="C171" s="143">
        <f>VLOOKUP($A171,'Data shares'!$C:$FA,119)</f>
        <v>0.3</v>
      </c>
      <c r="D171" s="143">
        <f>VLOOKUP($A171,'Data shares'!$C:$FA,121)*100</f>
        <v>200</v>
      </c>
      <c r="E171" s="143">
        <f>VLOOKUP($A171,'Data shares'!$C:$FA,124)</f>
        <v>0.63</v>
      </c>
      <c r="F171" s="143">
        <f>VLOOKUP($A171,'Data shares'!$C:$FA,125)</f>
        <v>0.42</v>
      </c>
      <c r="G171" s="143">
        <f>VLOOKUP($A171,'Data shares'!$C:$FA,127)*100</f>
        <v>50</v>
      </c>
      <c r="H171" s="103">
        <f>VLOOKUP($A171,'OI(Volume)'!$A$7:$O$427,8)</f>
        <v>12321000</v>
      </c>
      <c r="I171" s="103">
        <f>VLOOKUP($A171,'OI(Volume)'!$A$7:$O$427,9)</f>
        <v>-59589000</v>
      </c>
      <c r="J171" s="103">
        <f>VLOOKUP($A171,'OI(Volume)'!$A$7:$O$427,11)</f>
        <v>11110500</v>
      </c>
      <c r="K171" s="103">
        <f>VLOOKUP($A171,'OI(Volume)'!$A$7:$O$427,12)</f>
        <v>-10199250</v>
      </c>
      <c r="L171" s="103">
        <f>VLOOKUP($A171,'OI(Value)'!$A$7:$O$306,8,0)</f>
        <v>297</v>
      </c>
      <c r="M171" s="103">
        <f>VLOOKUP($A171,'OI(Value)'!$A$7:$O$306,9,0)</f>
        <v>-1436</v>
      </c>
      <c r="N171" s="103">
        <f>VLOOKUP($A171,'OI(Value)'!$A$7:$O$306,11,0)</f>
        <v>268</v>
      </c>
      <c r="O171" s="103">
        <f>VLOOKUP($A171,'OI(Value)'!$A$7:$O$306,12,0)</f>
        <v>-246</v>
      </c>
      <c r="P171" s="179">
        <f>VLOOKUP(A171,'OI(Value)'!A171:O372,8,0)</f>
        <v>297</v>
      </c>
      <c r="Q171" s="179">
        <f>VLOOKUP(A171,'OI(Value)'!A171:O372,9,0)</f>
        <v>-1436</v>
      </c>
      <c r="R171" s="179">
        <f>VLOOKUP(A171,'OI(Value)'!A171:O372,11,0)</f>
        <v>268</v>
      </c>
      <c r="S171" s="179">
        <f>VLOOKUP(A171,'OI(Value)'!A171:O372,11,0)</f>
        <v>268</v>
      </c>
    </row>
    <row r="172" spans="1:19" x14ac:dyDescent="0.25">
      <c r="A172" s="105" t="str">
        <f>'Data shares'!C167</f>
        <v>PAGEIND</v>
      </c>
      <c r="B172" s="143">
        <f>VLOOKUP($A172,'Data shares'!$C:$FA,118)</f>
        <v>0.28999999999999998</v>
      </c>
      <c r="C172" s="143">
        <f>VLOOKUP($A172,'Data shares'!$C:$FA,119)</f>
        <v>0.42</v>
      </c>
      <c r="D172" s="143">
        <f>VLOOKUP($A172,'Data shares'!$C:$FA,121)*100</f>
        <v>-30.95</v>
      </c>
      <c r="E172" s="143">
        <f>VLOOKUP($A172,'Data shares'!$C:$FA,124)</f>
        <v>0.26</v>
      </c>
      <c r="F172" s="143">
        <f>VLOOKUP($A172,'Data shares'!$C:$FA,125)</f>
        <v>0.2</v>
      </c>
      <c r="G172" s="143">
        <f>VLOOKUP($A172,'Data shares'!$C:$FA,127)*100</f>
        <v>30</v>
      </c>
      <c r="H172" s="103">
        <f>VLOOKUP($A172,'OI(Volume)'!$A$7:$O$427,8)</f>
        <v>10620</v>
      </c>
      <c r="I172" s="103">
        <f>VLOOKUP($A172,'OI(Volume)'!$A$7:$O$427,9)</f>
        <v>-46755</v>
      </c>
      <c r="J172" s="103">
        <f>VLOOKUP($A172,'OI(Volume)'!$A$7:$O$427,11)</f>
        <v>3060</v>
      </c>
      <c r="K172" s="103">
        <f>VLOOKUP($A172,'OI(Volume)'!$A$7:$O$427,12)</f>
        <v>-20865</v>
      </c>
      <c r="L172" s="103">
        <f>VLOOKUP($A172,'OI(Value)'!$A$7:$O$306,8,0)</f>
        <v>49</v>
      </c>
      <c r="M172" s="103">
        <f>VLOOKUP($A172,'OI(Value)'!$A$7:$O$306,9,0)</f>
        <v>-216</v>
      </c>
      <c r="N172" s="103">
        <f>VLOOKUP($A172,'OI(Value)'!$A$7:$O$306,11,0)</f>
        <v>14</v>
      </c>
      <c r="O172" s="103">
        <f>VLOOKUP($A172,'OI(Value)'!$A$7:$O$306,12,0)</f>
        <v>-96</v>
      </c>
      <c r="P172" s="179">
        <f>VLOOKUP(A172,'OI(Value)'!A172:O373,8,0)</f>
        <v>49</v>
      </c>
      <c r="Q172" s="179">
        <f>VLOOKUP(A172,'OI(Value)'!A172:O373,9,0)</f>
        <v>-216</v>
      </c>
      <c r="R172" s="179">
        <f>VLOOKUP(A172,'OI(Value)'!A172:O373,11,0)</f>
        <v>14</v>
      </c>
      <c r="S172" s="179">
        <f>VLOOKUP(A172,'OI(Value)'!A172:O373,11,0)</f>
        <v>14</v>
      </c>
    </row>
    <row r="173" spans="1:19" x14ac:dyDescent="0.25">
      <c r="A173" s="105" t="str">
        <f>'Data shares'!C168</f>
        <v>PATANJALI</v>
      </c>
      <c r="B173" s="143">
        <f>VLOOKUP($A173,'Data shares'!$C:$FA,118)</f>
        <v>0.56999999999999995</v>
      </c>
      <c r="C173" s="143">
        <f>VLOOKUP($A173,'Data shares'!$C:$FA,119)</f>
        <v>0.57999999999999996</v>
      </c>
      <c r="D173" s="143">
        <f>VLOOKUP($A173,'Data shares'!$C:$FA,121)*100</f>
        <v>-1.72</v>
      </c>
      <c r="E173" s="143">
        <f>VLOOKUP($A173,'Data shares'!$C:$FA,124)</f>
        <v>0.52</v>
      </c>
      <c r="F173" s="143">
        <f>VLOOKUP($A173,'Data shares'!$C:$FA,125)</f>
        <v>0.37</v>
      </c>
      <c r="G173" s="143">
        <f>VLOOKUP($A173,'Data shares'!$C:$FA,127)*100</f>
        <v>40.54</v>
      </c>
      <c r="H173" s="103">
        <f>VLOOKUP($A173,'OI(Volume)'!$A$7:$O$427,8)</f>
        <v>708300</v>
      </c>
      <c r="I173" s="103">
        <f>VLOOKUP($A173,'OI(Volume)'!$A$7:$O$427,9)</f>
        <v>-2991300</v>
      </c>
      <c r="J173" s="103">
        <f>VLOOKUP($A173,'OI(Volume)'!$A$7:$O$427,11)</f>
        <v>404400</v>
      </c>
      <c r="K173" s="103">
        <f>VLOOKUP($A173,'OI(Volume)'!$A$7:$O$427,12)</f>
        <v>-1736700</v>
      </c>
      <c r="L173" s="103">
        <f>VLOOKUP($A173,'OI(Value)'!$A$7:$O$306,8,0)</f>
        <v>133</v>
      </c>
      <c r="M173" s="103">
        <f>VLOOKUP($A173,'OI(Value)'!$A$7:$O$306,9,0)</f>
        <v>-563</v>
      </c>
      <c r="N173" s="103">
        <f>VLOOKUP($A173,'OI(Value)'!$A$7:$O$306,11,0)</f>
        <v>76</v>
      </c>
      <c r="O173" s="103">
        <f>VLOOKUP($A173,'OI(Value)'!$A$7:$O$306,12,0)</f>
        <v>-327</v>
      </c>
    </row>
    <row r="174" spans="1:19" x14ac:dyDescent="0.25">
      <c r="A174" s="105" t="str">
        <f>'Data shares'!C169</f>
        <v>PAYTM</v>
      </c>
      <c r="B174" s="143">
        <f>VLOOKUP($A174,'Data shares'!$C:$FA,118)</f>
        <v>0.7</v>
      </c>
      <c r="C174" s="143">
        <f>VLOOKUP($A174,'Data shares'!$C:$FA,119)</f>
        <v>0.72</v>
      </c>
      <c r="D174" s="143">
        <f>VLOOKUP($A174,'Data shares'!$C:$FA,121)*100</f>
        <v>-2.78</v>
      </c>
      <c r="E174" s="143">
        <f>VLOOKUP($A174,'Data shares'!$C:$FA,124)</f>
        <v>0.43</v>
      </c>
      <c r="F174" s="143">
        <f>VLOOKUP($A174,'Data shares'!$C:$FA,125)</f>
        <v>0.54</v>
      </c>
      <c r="G174" s="143">
        <f>VLOOKUP($A174,'Data shares'!$C:$FA,127)*100</f>
        <v>-20.369999999999997</v>
      </c>
      <c r="H174" s="103">
        <f>VLOOKUP($A174,'OI(Volume)'!$A$7:$O$427,8)</f>
        <v>4452950</v>
      </c>
      <c r="I174" s="103">
        <f>VLOOKUP($A174,'OI(Volume)'!$A$7:$O$427,9)</f>
        <v>-7153575</v>
      </c>
      <c r="J174" s="103">
        <f>VLOOKUP($A174,'OI(Volume)'!$A$7:$O$427,11)</f>
        <v>3135625</v>
      </c>
      <c r="K174" s="103">
        <f>VLOOKUP($A174,'OI(Volume)'!$A$7:$O$427,12)</f>
        <v>-5217825</v>
      </c>
      <c r="L174" s="103">
        <f>VLOOKUP($A174,'OI(Value)'!$A$7:$O$306,8,0)</f>
        <v>487</v>
      </c>
      <c r="M174" s="103">
        <f>VLOOKUP($A174,'OI(Value)'!$A$7:$O$306,9,0)</f>
        <v>-782</v>
      </c>
      <c r="N174" s="103">
        <f>VLOOKUP($A174,'OI(Value)'!$A$7:$O$306,11,0)</f>
        <v>343</v>
      </c>
      <c r="O174" s="103">
        <f>VLOOKUP($A174,'OI(Value)'!$A$7:$O$306,12,0)</f>
        <v>-570</v>
      </c>
    </row>
    <row r="175" spans="1:19" x14ac:dyDescent="0.25">
      <c r="A175" s="105" t="str">
        <f>'Data shares'!C170</f>
        <v>PEL</v>
      </c>
      <c r="B175" s="143">
        <f>VLOOKUP($A175,'Data shares'!$C:$FA,118)</f>
        <v>0.59</v>
      </c>
      <c r="C175" s="143">
        <f>VLOOKUP($A175,'Data shares'!$C:$FA,119)</f>
        <v>0.52</v>
      </c>
      <c r="D175" s="143">
        <f>VLOOKUP($A175,'Data shares'!$C:$FA,121)*100</f>
        <v>13.459999999999999</v>
      </c>
      <c r="E175" s="143">
        <f>VLOOKUP($A175,'Data shares'!$C:$FA,124)</f>
        <v>0.33</v>
      </c>
      <c r="F175" s="143">
        <f>VLOOKUP($A175,'Data shares'!$C:$FA,125)</f>
        <v>0.38</v>
      </c>
      <c r="G175" s="143">
        <f>VLOOKUP($A175,'Data shares'!$C:$FA,127)*100</f>
        <v>-13.16</v>
      </c>
      <c r="H175" s="103">
        <f>VLOOKUP($A175,'OI(Volume)'!$A$7:$O$427,8)</f>
        <v>2763000</v>
      </c>
      <c r="I175" s="103">
        <f>VLOOKUP($A175,'OI(Volume)'!$A$7:$O$427,9)</f>
        <v>-1291500</v>
      </c>
      <c r="J175" s="103">
        <f>VLOOKUP($A175,'OI(Volume)'!$A$7:$O$427,11)</f>
        <v>1632000</v>
      </c>
      <c r="K175" s="103">
        <f>VLOOKUP($A175,'OI(Volume)'!$A$7:$O$427,12)</f>
        <v>-471000</v>
      </c>
      <c r="L175" s="103">
        <f>VLOOKUP($A175,'OI(Value)'!$A$7:$O$306,8,0)</f>
        <v>0</v>
      </c>
      <c r="M175" s="103">
        <f>VLOOKUP($A175,'OI(Value)'!$A$7:$O$306,9,0)</f>
        <v>0</v>
      </c>
      <c r="N175" s="103">
        <f>VLOOKUP($A175,'OI(Value)'!$A$7:$O$306,11,0)</f>
        <v>0</v>
      </c>
      <c r="O175" s="103">
        <f>VLOOKUP($A175,'OI(Value)'!$A$7:$O$306,12,0)</f>
        <v>0</v>
      </c>
    </row>
    <row r="176" spans="1:19" x14ac:dyDescent="0.25">
      <c r="A176" s="105" t="str">
        <f>'Data shares'!C171</f>
        <v>PERSISTENT</v>
      </c>
      <c r="B176" s="143">
        <f>VLOOKUP($A176,'Data shares'!$C:$FA,118)</f>
        <v>0.51</v>
      </c>
      <c r="C176" s="143">
        <f>VLOOKUP($A176,'Data shares'!$C:$FA,119)</f>
        <v>0.47</v>
      </c>
      <c r="D176" s="143">
        <f>VLOOKUP($A176,'Data shares'!$C:$FA,121)*100</f>
        <v>8.51</v>
      </c>
      <c r="E176" s="143">
        <f>VLOOKUP($A176,'Data shares'!$C:$FA,124)</f>
        <v>0.49</v>
      </c>
      <c r="F176" s="143">
        <f>VLOOKUP($A176,'Data shares'!$C:$FA,125)</f>
        <v>0.35</v>
      </c>
      <c r="G176" s="143">
        <f>VLOOKUP($A176,'Data shares'!$C:$FA,127)*100</f>
        <v>40</v>
      </c>
      <c r="H176" s="103">
        <f>VLOOKUP($A176,'OI(Volume)'!$A$7:$O$427,8)</f>
        <v>1254600</v>
      </c>
      <c r="I176" s="103">
        <f>VLOOKUP($A176,'OI(Volume)'!$A$7:$O$427,9)</f>
        <v>-1481400</v>
      </c>
      <c r="J176" s="103">
        <f>VLOOKUP($A176,'OI(Volume)'!$A$7:$O$427,11)</f>
        <v>641800</v>
      </c>
      <c r="K176" s="103">
        <f>VLOOKUP($A176,'OI(Volume)'!$A$7:$O$427,12)</f>
        <v>-636200</v>
      </c>
      <c r="L176" s="103">
        <f>VLOOKUP($A176,'OI(Value)'!$A$7:$O$306,8,0)</f>
        <v>650</v>
      </c>
      <c r="M176" s="103">
        <f>VLOOKUP($A176,'OI(Value)'!$A$7:$O$306,9,0)</f>
        <v>-767</v>
      </c>
      <c r="N176" s="103">
        <f>VLOOKUP($A176,'OI(Value)'!$A$7:$O$306,11,0)</f>
        <v>332</v>
      </c>
      <c r="O176" s="103">
        <f>VLOOKUP($A176,'OI(Value)'!$A$7:$O$306,12,0)</f>
        <v>-329</v>
      </c>
    </row>
    <row r="177" spans="1:15" x14ac:dyDescent="0.25">
      <c r="A177" s="105" t="str">
        <f>'Data shares'!C172</f>
        <v>PETRONET</v>
      </c>
      <c r="B177" s="143">
        <f>VLOOKUP($A177,'Data shares'!$C:$FA,118)</f>
        <v>0.8</v>
      </c>
      <c r="C177" s="143">
        <f>VLOOKUP($A177,'Data shares'!$C:$FA,119)</f>
        <v>0.68</v>
      </c>
      <c r="D177" s="143">
        <f>VLOOKUP($A177,'Data shares'!$C:$FA,121)*100</f>
        <v>17.649999999999999</v>
      </c>
      <c r="E177" s="143">
        <f>VLOOKUP($A177,'Data shares'!$C:$FA,124)</f>
        <v>0.75</v>
      </c>
      <c r="F177" s="143">
        <f>VLOOKUP($A177,'Data shares'!$C:$FA,125)</f>
        <v>0.82</v>
      </c>
      <c r="G177" s="143">
        <f>VLOOKUP($A177,'Data shares'!$C:$FA,127)*100</f>
        <v>-8.5400000000000009</v>
      </c>
      <c r="H177" s="103">
        <f>VLOOKUP($A177,'OI(Volume)'!$A$7:$O$427,8)</f>
        <v>9086400</v>
      </c>
      <c r="I177" s="103">
        <f>VLOOKUP($A177,'OI(Volume)'!$A$7:$O$427,9)</f>
        <v>-6526800</v>
      </c>
      <c r="J177" s="103">
        <f>VLOOKUP($A177,'OI(Volume)'!$A$7:$O$427,11)</f>
        <v>7272000</v>
      </c>
      <c r="K177" s="103">
        <f>VLOOKUP($A177,'OI(Volume)'!$A$7:$O$427,12)</f>
        <v>-3326400</v>
      </c>
      <c r="L177" s="103">
        <f>VLOOKUP($A177,'OI(Value)'!$A$7:$O$306,8,0)</f>
        <v>263</v>
      </c>
      <c r="M177" s="103">
        <f>VLOOKUP($A177,'OI(Value)'!$A$7:$O$306,9,0)</f>
        <v>-189</v>
      </c>
      <c r="N177" s="103">
        <f>VLOOKUP($A177,'OI(Value)'!$A$7:$O$306,11,0)</f>
        <v>211</v>
      </c>
      <c r="O177" s="103">
        <f>VLOOKUP($A177,'OI(Value)'!$A$7:$O$306,12,0)</f>
        <v>-96</v>
      </c>
    </row>
    <row r="178" spans="1:15" x14ac:dyDescent="0.25">
      <c r="A178" s="105" t="str">
        <f>'Data shares'!C173</f>
        <v>PFC</v>
      </c>
      <c r="B178" s="143">
        <f>VLOOKUP($A178,'Data shares'!$C:$FA,118)</f>
        <v>1.04</v>
      </c>
      <c r="C178" s="143">
        <f>VLOOKUP($A178,'Data shares'!$C:$FA,119)</f>
        <v>0.77</v>
      </c>
      <c r="D178" s="143">
        <f>VLOOKUP($A178,'Data shares'!$C:$FA,121)*100</f>
        <v>35.06</v>
      </c>
      <c r="E178" s="143">
        <f>VLOOKUP($A178,'Data shares'!$C:$FA,124)</f>
        <v>0.77</v>
      </c>
      <c r="F178" s="143">
        <f>VLOOKUP($A178,'Data shares'!$C:$FA,125)</f>
        <v>0.76</v>
      </c>
      <c r="G178" s="143">
        <f>VLOOKUP($A178,'Data shares'!$C:$FA,127)*100</f>
        <v>1.32</v>
      </c>
      <c r="H178" s="103">
        <f>VLOOKUP($A178,'OI(Volume)'!$A$7:$O$427,8)</f>
        <v>12223900</v>
      </c>
      <c r="I178" s="103">
        <f>VLOOKUP($A178,'OI(Volume)'!$A$7:$O$427,9)</f>
        <v>-10151700</v>
      </c>
      <c r="J178" s="103">
        <f>VLOOKUP($A178,'OI(Volume)'!$A$7:$O$427,11)</f>
        <v>12669800</v>
      </c>
      <c r="K178" s="103">
        <f>VLOOKUP($A178,'OI(Volume)'!$A$7:$O$427,12)</f>
        <v>-4625400</v>
      </c>
      <c r="L178" s="103">
        <f>VLOOKUP($A178,'OI(Value)'!$A$7:$O$306,8,0)</f>
        <v>500</v>
      </c>
      <c r="M178" s="103">
        <f>VLOOKUP($A178,'OI(Value)'!$A$7:$O$306,9,0)</f>
        <v>-415</v>
      </c>
      <c r="N178" s="103">
        <f>VLOOKUP($A178,'OI(Value)'!$A$7:$O$306,11,0)</f>
        <v>518</v>
      </c>
      <c r="O178" s="103">
        <f>VLOOKUP($A178,'OI(Value)'!$A$7:$O$306,12,0)</f>
        <v>-189</v>
      </c>
    </row>
    <row r="179" spans="1:15" x14ac:dyDescent="0.25">
      <c r="A179" s="105" t="str">
        <f>'Data shares'!C174</f>
        <v>PGEL</v>
      </c>
      <c r="B179" s="143">
        <f>VLOOKUP($A179,'Data shares'!$C:$FA,118)</f>
        <v>0.42</v>
      </c>
      <c r="C179" s="143">
        <f>VLOOKUP($A179,'Data shares'!$C:$FA,119)</f>
        <v>0.56000000000000005</v>
      </c>
      <c r="D179" s="143">
        <f>VLOOKUP($A179,'Data shares'!$C:$FA,121)*100</f>
        <v>-25</v>
      </c>
      <c r="E179" s="143">
        <f>VLOOKUP($A179,'Data shares'!$C:$FA,124)</f>
        <v>0.25</v>
      </c>
      <c r="F179" s="143">
        <f>VLOOKUP($A179,'Data shares'!$C:$FA,125)</f>
        <v>0.32</v>
      </c>
      <c r="G179" s="143">
        <f>VLOOKUP($A179,'Data shares'!$C:$FA,127)*100</f>
        <v>-21.88</v>
      </c>
      <c r="H179" s="103">
        <f>VLOOKUP($A179,'OI(Volume)'!$A$7:$O$427,8)</f>
        <v>806400</v>
      </c>
      <c r="I179" s="103">
        <f>VLOOKUP($A179,'OI(Volume)'!$A$7:$O$427,9)</f>
        <v>-853300</v>
      </c>
      <c r="J179" s="103">
        <f>VLOOKUP($A179,'OI(Volume)'!$A$7:$O$427,11)</f>
        <v>341600</v>
      </c>
      <c r="K179" s="103">
        <f>VLOOKUP($A179,'OI(Volume)'!$A$7:$O$427,12)</f>
        <v>-581000</v>
      </c>
      <c r="L179" s="103">
        <f>VLOOKUP($A179,'OI(Value)'!$A$7:$O$306,8,0)</f>
        <v>66</v>
      </c>
      <c r="M179" s="103">
        <f>VLOOKUP($A179,'OI(Value)'!$A$7:$O$306,9,0)</f>
        <v>-70</v>
      </c>
      <c r="N179" s="103">
        <f>VLOOKUP($A179,'OI(Value)'!$A$7:$O$306,11,0)</f>
        <v>28</v>
      </c>
      <c r="O179" s="103">
        <f>VLOOKUP($A179,'OI(Value)'!$A$7:$O$306,12,0)</f>
        <v>-48</v>
      </c>
    </row>
    <row r="180" spans="1:15" x14ac:dyDescent="0.25">
      <c r="A180" s="105" t="str">
        <f>'Data shares'!C175</f>
        <v>PHOENIXLTD</v>
      </c>
      <c r="B180" s="143">
        <f>VLOOKUP($A180,'Data shares'!$C:$FA,118)</f>
        <v>0.57999999999999996</v>
      </c>
      <c r="C180" s="143">
        <f>VLOOKUP($A180,'Data shares'!$C:$FA,119)</f>
        <v>0.53</v>
      </c>
      <c r="D180" s="143">
        <f>VLOOKUP($A180,'Data shares'!$C:$FA,121)*100</f>
        <v>9.43</v>
      </c>
      <c r="E180" s="143">
        <f>VLOOKUP($A180,'Data shares'!$C:$FA,124)</f>
        <v>0.42</v>
      </c>
      <c r="F180" s="143">
        <f>VLOOKUP($A180,'Data shares'!$C:$FA,125)</f>
        <v>0.24</v>
      </c>
      <c r="G180" s="143">
        <f>VLOOKUP($A180,'Data shares'!$C:$FA,127)*100</f>
        <v>75</v>
      </c>
      <c r="H180" s="103">
        <f>VLOOKUP($A180,'OI(Volume)'!$A$7:$O$427,8)</f>
        <v>297150</v>
      </c>
      <c r="I180" s="103">
        <f>VLOOKUP($A180,'OI(Volume)'!$A$7:$O$427,9)</f>
        <v>-813400</v>
      </c>
      <c r="J180" s="103">
        <f>VLOOKUP($A180,'OI(Volume)'!$A$7:$O$427,11)</f>
        <v>173600</v>
      </c>
      <c r="K180" s="103">
        <f>VLOOKUP($A180,'OI(Volume)'!$A$7:$O$427,12)</f>
        <v>-410900</v>
      </c>
      <c r="L180" s="103">
        <f>VLOOKUP($A180,'OI(Value)'!$A$7:$O$306,8,0)</f>
        <v>44</v>
      </c>
      <c r="M180" s="103">
        <f>VLOOKUP($A180,'OI(Value)'!$A$7:$O$306,9,0)</f>
        <v>-121</v>
      </c>
      <c r="N180" s="103">
        <f>VLOOKUP($A180,'OI(Value)'!$A$7:$O$306,11,0)</f>
        <v>26</v>
      </c>
      <c r="O180" s="103">
        <f>VLOOKUP($A180,'OI(Value)'!$A$7:$O$306,12,0)</f>
        <v>-61</v>
      </c>
    </row>
    <row r="181" spans="1:15" x14ac:dyDescent="0.25">
      <c r="A181" s="105" t="str">
        <f>'Data shares'!C176</f>
        <v>PIDILITIND</v>
      </c>
      <c r="B181" s="143">
        <f>VLOOKUP($A181,'Data shares'!$C:$FA,118)</f>
        <v>0.77</v>
      </c>
      <c r="C181" s="143">
        <f>VLOOKUP($A181,'Data shares'!$C:$FA,119)</f>
        <v>0.53</v>
      </c>
      <c r="D181" s="143">
        <f>VLOOKUP($A181,'Data shares'!$C:$FA,121)*100</f>
        <v>45.28</v>
      </c>
      <c r="E181" s="143">
        <f>VLOOKUP($A181,'Data shares'!$C:$FA,124)</f>
        <v>0.53</v>
      </c>
      <c r="F181" s="143">
        <f>VLOOKUP($A181,'Data shares'!$C:$FA,125)</f>
        <v>0.31</v>
      </c>
      <c r="G181" s="143">
        <f>VLOOKUP($A181,'Data shares'!$C:$FA,127)*100</f>
        <v>70.97</v>
      </c>
      <c r="H181" s="103">
        <f>VLOOKUP($A181,'OI(Volume)'!$A$7:$O$427,8)</f>
        <v>320000</v>
      </c>
      <c r="I181" s="103">
        <f>VLOOKUP($A181,'OI(Volume)'!$A$7:$O$427,9)</f>
        <v>-736750</v>
      </c>
      <c r="J181" s="103">
        <f>VLOOKUP($A181,'OI(Volume)'!$A$7:$O$427,11)</f>
        <v>247500</v>
      </c>
      <c r="K181" s="103">
        <f>VLOOKUP($A181,'OI(Volume)'!$A$7:$O$427,12)</f>
        <v>-316000</v>
      </c>
      <c r="L181" s="103">
        <f>VLOOKUP($A181,'OI(Value)'!$A$7:$O$306,8,0)</f>
        <v>92</v>
      </c>
      <c r="M181" s="103">
        <f>VLOOKUP($A181,'OI(Value)'!$A$7:$O$306,9,0)</f>
        <v>-213</v>
      </c>
      <c r="N181" s="103">
        <f>VLOOKUP($A181,'OI(Value)'!$A$7:$O$306,11,0)</f>
        <v>71</v>
      </c>
      <c r="O181" s="103">
        <f>VLOOKUP($A181,'OI(Value)'!$A$7:$O$306,12,0)</f>
        <v>-91</v>
      </c>
    </row>
    <row r="182" spans="1:15" x14ac:dyDescent="0.25">
      <c r="A182" s="105" t="str">
        <f>'Data shares'!C177</f>
        <v>PIIND</v>
      </c>
      <c r="B182" s="143">
        <f>VLOOKUP($A182,'Data shares'!$C:$FA,118)</f>
        <v>0.56999999999999995</v>
      </c>
      <c r="C182" s="143">
        <f>VLOOKUP($A182,'Data shares'!$C:$FA,119)</f>
        <v>0.64</v>
      </c>
      <c r="D182" s="143">
        <f>VLOOKUP($A182,'Data shares'!$C:$FA,121)*100</f>
        <v>-10.94</v>
      </c>
      <c r="E182" s="143">
        <f>VLOOKUP($A182,'Data shares'!$C:$FA,124)</f>
        <v>0.28999999999999998</v>
      </c>
      <c r="F182" s="143">
        <f>VLOOKUP($A182,'Data shares'!$C:$FA,125)</f>
        <v>0.17</v>
      </c>
      <c r="G182" s="143">
        <f>VLOOKUP($A182,'Data shares'!$C:$FA,127)*100</f>
        <v>70.59</v>
      </c>
      <c r="H182" s="103">
        <f>VLOOKUP($A182,'OI(Volume)'!$A$7:$O$427,8)</f>
        <v>232750</v>
      </c>
      <c r="I182" s="103">
        <f>VLOOKUP($A182,'OI(Volume)'!$A$7:$O$427,9)</f>
        <v>-240450</v>
      </c>
      <c r="J182" s="103">
        <f>VLOOKUP($A182,'OI(Volume)'!$A$7:$O$427,11)</f>
        <v>131950</v>
      </c>
      <c r="K182" s="103">
        <f>VLOOKUP($A182,'OI(Volume)'!$A$7:$O$427,12)</f>
        <v>-170975</v>
      </c>
      <c r="L182" s="103">
        <f>VLOOKUP($A182,'OI(Value)'!$A$7:$O$306,8,0)</f>
        <v>99</v>
      </c>
      <c r="M182" s="103">
        <f>VLOOKUP($A182,'OI(Value)'!$A$7:$O$306,9,0)</f>
        <v>-102</v>
      </c>
      <c r="N182" s="103">
        <f>VLOOKUP($A182,'OI(Value)'!$A$7:$O$306,11,0)</f>
        <v>56</v>
      </c>
      <c r="O182" s="103">
        <f>VLOOKUP($A182,'OI(Value)'!$A$7:$O$306,12,0)</f>
        <v>-73</v>
      </c>
    </row>
    <row r="183" spans="1:15" x14ac:dyDescent="0.25">
      <c r="A183" s="105" t="str">
        <f>'Data shares'!C178</f>
        <v>PNB</v>
      </c>
      <c r="B183" s="143">
        <f>VLOOKUP($A183,'Data shares'!$C:$FA,118)</f>
        <v>0.67</v>
      </c>
      <c r="C183" s="143">
        <f>VLOOKUP($A183,'Data shares'!$C:$FA,119)</f>
        <v>0.66</v>
      </c>
      <c r="D183" s="143">
        <f>VLOOKUP($A183,'Data shares'!$C:$FA,121)*100</f>
        <v>1.52</v>
      </c>
      <c r="E183" s="143">
        <f>VLOOKUP($A183,'Data shares'!$C:$FA,124)</f>
        <v>0.65</v>
      </c>
      <c r="F183" s="143">
        <f>VLOOKUP($A183,'Data shares'!$C:$FA,125)</f>
        <v>0.54</v>
      </c>
      <c r="G183" s="143">
        <f>VLOOKUP($A183,'Data shares'!$C:$FA,127)*100</f>
        <v>20.369999999999997</v>
      </c>
      <c r="H183" s="103">
        <f>VLOOKUP($A183,'OI(Volume)'!$A$7:$O$427,8)</f>
        <v>93056000</v>
      </c>
      <c r="I183" s="103">
        <f>VLOOKUP($A183,'OI(Volume)'!$A$7:$O$427,9)</f>
        <v>-75944000</v>
      </c>
      <c r="J183" s="103">
        <f>VLOOKUP($A183,'OI(Volume)'!$A$7:$O$427,11)</f>
        <v>62432000</v>
      </c>
      <c r="K183" s="103">
        <f>VLOOKUP($A183,'OI(Volume)'!$A$7:$O$427,12)</f>
        <v>-48904000</v>
      </c>
      <c r="L183" s="103">
        <f>VLOOKUP($A183,'OI(Value)'!$A$7:$O$306,8,0)</f>
        <v>984</v>
      </c>
      <c r="M183" s="103">
        <f>VLOOKUP($A183,'OI(Value)'!$A$7:$O$306,9,0)</f>
        <v>-803</v>
      </c>
      <c r="N183" s="103">
        <f>VLOOKUP($A183,'OI(Value)'!$A$7:$O$306,11,0)</f>
        <v>660</v>
      </c>
      <c r="O183" s="103">
        <f>VLOOKUP($A183,'OI(Value)'!$A$7:$O$306,12,0)</f>
        <v>-517</v>
      </c>
    </row>
    <row r="184" spans="1:15" x14ac:dyDescent="0.25">
      <c r="A184" s="105" t="str">
        <f>'Data shares'!C179</f>
        <v>PNBHOUSING</v>
      </c>
      <c r="B184" s="143">
        <f>VLOOKUP($A184,'Data shares'!$C:$FA,118)</f>
        <v>0.88</v>
      </c>
      <c r="C184" s="143">
        <f>VLOOKUP($A184,'Data shares'!$C:$FA,119)</f>
        <v>0.55000000000000004</v>
      </c>
      <c r="D184" s="143">
        <f>VLOOKUP($A184,'Data shares'!$C:$FA,121)*100</f>
        <v>60</v>
      </c>
      <c r="E184" s="143">
        <f>VLOOKUP($A184,'Data shares'!$C:$FA,124)</f>
        <v>0.54</v>
      </c>
      <c r="F184" s="143">
        <f>VLOOKUP($A184,'Data shares'!$C:$FA,125)</f>
        <v>0.41</v>
      </c>
      <c r="G184" s="143">
        <f>VLOOKUP($A184,'Data shares'!$C:$FA,127)*100</f>
        <v>31.71</v>
      </c>
      <c r="H184" s="103">
        <f>VLOOKUP($A184,'OI(Volume)'!$A$7:$O$427,8)</f>
        <v>1069250</v>
      </c>
      <c r="I184" s="103">
        <f>VLOOKUP($A184,'OI(Volume)'!$A$7:$O$427,9)</f>
        <v>-2721550</v>
      </c>
      <c r="J184" s="103">
        <f>VLOOKUP($A184,'OI(Volume)'!$A$7:$O$427,11)</f>
        <v>943150</v>
      </c>
      <c r="K184" s="103">
        <f>VLOOKUP($A184,'OI(Volume)'!$A$7:$O$427,12)</f>
        <v>-1153750</v>
      </c>
      <c r="L184" s="103">
        <f>VLOOKUP($A184,'OI(Value)'!$A$7:$O$306,8,0)</f>
        <v>105</v>
      </c>
      <c r="M184" s="103">
        <f>VLOOKUP($A184,'OI(Value)'!$A$7:$O$306,9,0)</f>
        <v>-268</v>
      </c>
      <c r="N184" s="103">
        <f>VLOOKUP($A184,'OI(Value)'!$A$7:$O$306,11,0)</f>
        <v>93</v>
      </c>
      <c r="O184" s="103">
        <f>VLOOKUP($A184,'OI(Value)'!$A$7:$O$306,12,0)</f>
        <v>-114</v>
      </c>
    </row>
    <row r="185" spans="1:15" x14ac:dyDescent="0.25">
      <c r="A185" s="105" t="str">
        <f>'Data shares'!C180</f>
        <v>POLICYBZR</v>
      </c>
      <c r="B185" s="143">
        <f>VLOOKUP($A185,'Data shares'!$C:$FA,118)</f>
        <v>1.27</v>
      </c>
      <c r="C185" s="143">
        <f>VLOOKUP($A185,'Data shares'!$C:$FA,119)</f>
        <v>0.68</v>
      </c>
      <c r="D185" s="143">
        <f>VLOOKUP($A185,'Data shares'!$C:$FA,121)*100</f>
        <v>86.76</v>
      </c>
      <c r="E185" s="143">
        <f>VLOOKUP($A185,'Data shares'!$C:$FA,124)</f>
        <v>0.37</v>
      </c>
      <c r="F185" s="143">
        <f>VLOOKUP($A185,'Data shares'!$C:$FA,125)</f>
        <v>0.25</v>
      </c>
      <c r="G185" s="143">
        <f>VLOOKUP($A185,'Data shares'!$C:$FA,127)*100</f>
        <v>48</v>
      </c>
      <c r="H185" s="103">
        <f>VLOOKUP($A185,'OI(Volume)'!$A$7:$O$427,8)</f>
        <v>333900</v>
      </c>
      <c r="I185" s="103">
        <f>VLOOKUP($A185,'OI(Volume)'!$A$7:$O$427,9)</f>
        <v>-1197000</v>
      </c>
      <c r="J185" s="103">
        <f>VLOOKUP($A185,'OI(Volume)'!$A$7:$O$427,11)</f>
        <v>423850</v>
      </c>
      <c r="K185" s="103">
        <f>VLOOKUP($A185,'OI(Volume)'!$A$7:$O$427,12)</f>
        <v>-612150</v>
      </c>
      <c r="L185" s="103">
        <f>VLOOKUP($A185,'OI(Value)'!$A$7:$O$306,8,0)</f>
        <v>61</v>
      </c>
      <c r="M185" s="103">
        <f>VLOOKUP($A185,'OI(Value)'!$A$7:$O$306,9,0)</f>
        <v>-218</v>
      </c>
      <c r="N185" s="103">
        <f>VLOOKUP($A185,'OI(Value)'!$A$7:$O$306,11,0)</f>
        <v>77</v>
      </c>
      <c r="O185" s="103">
        <f>VLOOKUP($A185,'OI(Value)'!$A$7:$O$306,12,0)</f>
        <v>-111</v>
      </c>
    </row>
    <row r="186" spans="1:15" x14ac:dyDescent="0.25">
      <c r="A186" s="105" t="str">
        <f>'Data shares'!C181</f>
        <v>POLYCAB</v>
      </c>
      <c r="B186" s="143">
        <f>VLOOKUP($A186,'Data shares'!$C:$FA,118)</f>
        <v>0.57999999999999996</v>
      </c>
      <c r="C186" s="143">
        <f>VLOOKUP($A186,'Data shares'!$C:$FA,119)</f>
        <v>0.77</v>
      </c>
      <c r="D186" s="143">
        <f>VLOOKUP($A186,'Data shares'!$C:$FA,121)*100</f>
        <v>-24.68</v>
      </c>
      <c r="E186" s="143">
        <f>VLOOKUP($A186,'Data shares'!$C:$FA,124)</f>
        <v>0.56999999999999995</v>
      </c>
      <c r="F186" s="143">
        <f>VLOOKUP($A186,'Data shares'!$C:$FA,125)</f>
        <v>0.71</v>
      </c>
      <c r="G186" s="143">
        <f>VLOOKUP($A186,'Data shares'!$C:$FA,127)*100</f>
        <v>-19.72</v>
      </c>
      <c r="H186" s="103">
        <f>VLOOKUP($A186,'OI(Volume)'!$A$7:$O$427,8)</f>
        <v>533000</v>
      </c>
      <c r="I186" s="103">
        <f>VLOOKUP($A186,'OI(Volume)'!$A$7:$O$427,9)</f>
        <v>-693625</v>
      </c>
      <c r="J186" s="103">
        <f>VLOOKUP($A186,'OI(Volume)'!$A$7:$O$427,11)</f>
        <v>310250</v>
      </c>
      <c r="K186" s="103">
        <f>VLOOKUP($A186,'OI(Volume)'!$A$7:$O$427,12)</f>
        <v>-639750</v>
      </c>
      <c r="L186" s="103">
        <f>VLOOKUP($A186,'OI(Value)'!$A$7:$O$306,8,0)</f>
        <v>364</v>
      </c>
      <c r="M186" s="103">
        <f>VLOOKUP($A186,'OI(Value)'!$A$7:$O$306,9,0)</f>
        <v>-474</v>
      </c>
      <c r="N186" s="103">
        <f>VLOOKUP($A186,'OI(Value)'!$A$7:$O$306,11,0)</f>
        <v>212</v>
      </c>
      <c r="O186" s="103">
        <f>VLOOKUP($A186,'OI(Value)'!$A$7:$O$306,12,0)</f>
        <v>-437</v>
      </c>
    </row>
    <row r="187" spans="1:15" x14ac:dyDescent="0.25">
      <c r="A187" s="105" t="str">
        <f>'Data shares'!C182</f>
        <v>POONAWALLA</v>
      </c>
      <c r="B187" s="143">
        <f>VLOOKUP($A187,'Data shares'!$C:$FA,118)</f>
        <v>0.66</v>
      </c>
      <c r="C187" s="143">
        <f>VLOOKUP($A187,'Data shares'!$C:$FA,119)</f>
        <v>0.53</v>
      </c>
      <c r="D187" s="143">
        <f>VLOOKUP($A187,'Data shares'!$C:$FA,121)*100</f>
        <v>24.529999999999998</v>
      </c>
      <c r="E187" s="143">
        <f>VLOOKUP($A187,'Data shares'!$C:$FA,124)</f>
        <v>0.46</v>
      </c>
      <c r="F187" s="143">
        <f>VLOOKUP($A187,'Data shares'!$C:$FA,125)</f>
        <v>0.49</v>
      </c>
      <c r="G187" s="143">
        <f>VLOOKUP($A187,'Data shares'!$C:$FA,127)*100</f>
        <v>-6.12</v>
      </c>
      <c r="H187" s="103">
        <f>VLOOKUP($A187,'OI(Volume)'!$A$7:$O$427,8)</f>
        <v>2475200</v>
      </c>
      <c r="I187" s="103">
        <f>VLOOKUP($A187,'OI(Volume)'!$A$7:$O$427,9)</f>
        <v>-6063900</v>
      </c>
      <c r="J187" s="103">
        <f>VLOOKUP($A187,'OI(Volume)'!$A$7:$O$427,11)</f>
        <v>1637100</v>
      </c>
      <c r="K187" s="103">
        <f>VLOOKUP($A187,'OI(Volume)'!$A$7:$O$427,12)</f>
        <v>-2913800</v>
      </c>
      <c r="L187" s="103">
        <f>VLOOKUP($A187,'OI(Value)'!$A$7:$O$306,8,0)</f>
        <v>105</v>
      </c>
      <c r="M187" s="103">
        <f>VLOOKUP($A187,'OI(Value)'!$A$7:$O$306,9,0)</f>
        <v>-257</v>
      </c>
      <c r="N187" s="103">
        <f>VLOOKUP($A187,'OI(Value)'!$A$7:$O$306,11,0)</f>
        <v>69</v>
      </c>
      <c r="O187" s="103">
        <f>VLOOKUP($A187,'OI(Value)'!$A$7:$O$306,12,0)</f>
        <v>-124</v>
      </c>
    </row>
    <row r="188" spans="1:15" x14ac:dyDescent="0.25">
      <c r="A188" s="105" t="str">
        <f>'Data shares'!C183</f>
        <v>POWERGRID</v>
      </c>
      <c r="B188" s="143">
        <f>VLOOKUP($A188,'Data shares'!$C:$FA,118)</f>
        <v>1.1100000000000001</v>
      </c>
      <c r="C188" s="143">
        <f>VLOOKUP($A188,'Data shares'!$C:$FA,119)</f>
        <v>0.65</v>
      </c>
      <c r="D188" s="143">
        <f>VLOOKUP($A188,'Data shares'!$C:$FA,121)*100</f>
        <v>70.77</v>
      </c>
      <c r="E188" s="143">
        <f>VLOOKUP($A188,'Data shares'!$C:$FA,124)</f>
        <v>0.72</v>
      </c>
      <c r="F188" s="143">
        <f>VLOOKUP($A188,'Data shares'!$C:$FA,125)</f>
        <v>0.88</v>
      </c>
      <c r="G188" s="143">
        <f>VLOOKUP($A188,'Data shares'!$C:$FA,127)*100</f>
        <v>-18.18</v>
      </c>
      <c r="H188" s="103">
        <f>VLOOKUP($A188,'OI(Volume)'!$A$7:$O$427,8)</f>
        <v>8595600</v>
      </c>
      <c r="I188" s="103">
        <f>VLOOKUP($A188,'OI(Volume)'!$A$7:$O$427,9)</f>
        <v>-18756800</v>
      </c>
      <c r="J188" s="103">
        <f>VLOOKUP($A188,'OI(Volume)'!$A$7:$O$427,11)</f>
        <v>9576000</v>
      </c>
      <c r="K188" s="103">
        <f>VLOOKUP($A188,'OI(Volume)'!$A$7:$O$427,12)</f>
        <v>-8208000</v>
      </c>
      <c r="L188" s="103">
        <f>VLOOKUP($A188,'OI(Value)'!$A$7:$O$306,8,0)</f>
        <v>251</v>
      </c>
      <c r="M188" s="103">
        <f>VLOOKUP($A188,'OI(Value)'!$A$7:$O$306,9,0)</f>
        <v>-548</v>
      </c>
      <c r="N188" s="103">
        <f>VLOOKUP($A188,'OI(Value)'!$A$7:$O$306,11,0)</f>
        <v>280</v>
      </c>
      <c r="O188" s="103">
        <f>VLOOKUP($A188,'OI(Value)'!$A$7:$O$306,12,0)</f>
        <v>-240</v>
      </c>
    </row>
    <row r="189" spans="1:15" x14ac:dyDescent="0.25">
      <c r="A189" s="105" t="str">
        <f>'Data shares'!C184</f>
        <v>PPLPHARMA</v>
      </c>
      <c r="B189" s="143">
        <f>VLOOKUP($A189,'Data shares'!$C:$FA,118)</f>
        <v>0.59</v>
      </c>
      <c r="C189" s="143">
        <f>VLOOKUP($A189,'Data shares'!$C:$FA,119)</f>
        <v>0.56000000000000005</v>
      </c>
      <c r="D189" s="143">
        <f>VLOOKUP($A189,'Data shares'!$C:$FA,121)*100</f>
        <v>5.36</v>
      </c>
      <c r="E189" s="143">
        <f>VLOOKUP($A189,'Data shares'!$C:$FA,124)</f>
        <v>0.69</v>
      </c>
      <c r="F189" s="143">
        <f>VLOOKUP($A189,'Data shares'!$C:$FA,125)</f>
        <v>0.59</v>
      </c>
      <c r="G189" s="143">
        <f>VLOOKUP($A189,'Data shares'!$C:$FA,127)*100</f>
        <v>16.950000000000003</v>
      </c>
      <c r="H189" s="103">
        <f>VLOOKUP($A189,'OI(Volume)'!$A$7:$O$427,8)</f>
        <v>8595600</v>
      </c>
      <c r="I189" s="103">
        <f>VLOOKUP($A189,'OI(Volume)'!$A$7:$O$427,9)</f>
        <v>-18756800</v>
      </c>
      <c r="J189" s="103">
        <f>VLOOKUP($A189,'OI(Volume)'!$A$7:$O$427,11)</f>
        <v>9576000</v>
      </c>
      <c r="K189" s="103">
        <f>VLOOKUP($A189,'OI(Volume)'!$A$7:$O$427,12)</f>
        <v>-8208000</v>
      </c>
      <c r="L189" s="103"/>
      <c r="M189" s="103"/>
      <c r="N189" s="103"/>
      <c r="O189" s="103"/>
    </row>
    <row r="190" spans="1:15" x14ac:dyDescent="0.25">
      <c r="A190" s="105" t="str">
        <f>'Data shares'!C231</f>
        <v>ZYDUSLIFE</v>
      </c>
      <c r="B190" s="143">
        <f>VLOOKUP($A190,'Data shares'!$C:$FA,118)</f>
        <v>0.78</v>
      </c>
      <c r="C190" s="143">
        <f>VLOOKUP($A190,'Data shares'!$C:$FA,119)</f>
        <v>0.77</v>
      </c>
      <c r="D190" s="143">
        <f>VLOOKUP($A190,'Data shares'!$C:$FA,121)*100</f>
        <v>1.3</v>
      </c>
      <c r="E190" s="143">
        <f>VLOOKUP($A190,'Data shares'!$C:$FA,124)</f>
        <v>1.24</v>
      </c>
      <c r="F190" s="143">
        <f>VLOOKUP($A190,'Data shares'!$C:$FA,125)</f>
        <v>0.44</v>
      </c>
      <c r="G190" s="143">
        <f>VLOOKUP($A190,'Data shares'!$C:$FA,127)*100</f>
        <v>181.82</v>
      </c>
      <c r="H190" s="103">
        <f>VLOOKUP($A190,'OI(Volume)'!$A$7:$O$427,8)</f>
        <v>0</v>
      </c>
      <c r="I190" s="103">
        <f>VLOOKUP($A190,'OI(Volume)'!$A$7:$O$427,9)</f>
        <v>0</v>
      </c>
      <c r="J190" s="103">
        <f>VLOOKUP($A190,'OI(Volume)'!$A$7:$O$427,11)</f>
        <v>0</v>
      </c>
      <c r="K190" s="103">
        <f>VLOOKUP($A190,'OI(Volume)'!$A$7:$O$427,12)</f>
        <v>0</v>
      </c>
      <c r="L190" s="103">
        <f>VLOOKUP($A190,'OI(Value)'!$A$7:$O$306,8,0)</f>
        <v>123</v>
      </c>
      <c r="M190" s="103">
        <f>VLOOKUP($A190,'OI(Value)'!$A$7:$O$306,9,0)</f>
        <v>-175</v>
      </c>
      <c r="N190" s="103">
        <f>VLOOKUP($A190,'OI(Value)'!$A$7:$O$306,11,0)</f>
        <v>95</v>
      </c>
      <c r="O190" s="103">
        <f>VLOOKUP($A190,'OI(Value)'!$A$7:$O$306,12,0)</f>
        <v>-135</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1982394129</v>
      </c>
      <c r="I192" s="135">
        <f t="shared" si="0"/>
        <v>-2990051913</v>
      </c>
      <c r="J192" s="135">
        <f t="shared" si="0"/>
        <v>1590745185</v>
      </c>
      <c r="K192" s="135">
        <f t="shared" si="0"/>
        <v>-1506292450</v>
      </c>
      <c r="L192" s="135">
        <f t="shared" si="0"/>
        <v>414661</v>
      </c>
      <c r="M192" s="135">
        <f t="shared" si="0"/>
        <v>-642203</v>
      </c>
      <c r="N192" s="135">
        <f t="shared" si="0"/>
        <v>412330</v>
      </c>
      <c r="O192" s="135">
        <f t="shared" si="0"/>
        <v>-427277</v>
      </c>
    </row>
    <row r="193" spans="1:15" x14ac:dyDescent="0.25">
      <c r="A193" s="126" t="s">
        <v>415</v>
      </c>
      <c r="B193" s="136"/>
      <c r="C193" s="136"/>
      <c r="D193" s="136"/>
      <c r="E193" s="136"/>
      <c r="F193" s="136"/>
      <c r="G193" s="136"/>
      <c r="H193" s="137">
        <f>H192/10000000</f>
        <v>198.23941289999999</v>
      </c>
      <c r="I193" s="137">
        <f>I192/10000000</f>
        <v>-299.00519129999998</v>
      </c>
      <c r="J193" s="137">
        <f>J192/10000000</f>
        <v>159.07451850000001</v>
      </c>
      <c r="K193" s="137">
        <f>K192/10000000</f>
        <v>-150.629245</v>
      </c>
      <c r="L193" s="138">
        <f>L192</f>
        <v>414661</v>
      </c>
      <c r="M193" s="138">
        <f>M192</f>
        <v>-642203</v>
      </c>
      <c r="N193" s="138">
        <f>N192</f>
        <v>412330</v>
      </c>
      <c r="O193" s="138">
        <f>O192</f>
        <v>-427277</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2025-08-01T03:35:49Z</dcterms:modified>
</cp:coreProperties>
</file>